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David\Documents\reactArticleCounter\"/>
    </mc:Choice>
  </mc:AlternateContent>
  <xr:revisionPtr revIDLastSave="0" documentId="13_ncr:1_{FC3B7124-17F9-4E81-9B40-15E6570F7898}" xr6:coauthVersionLast="37" xr6:coauthVersionMax="37" xr10:uidLastSave="{00000000-0000-0000-0000-000000000000}"/>
  <bookViews>
    <workbookView xWindow="0" yWindow="0" windowWidth="28800" windowHeight="12225" activeTab="1" xr2:uid="{6F397C3C-3810-4CC3-8E27-1A34E7DFFA89}"/>
  </bookViews>
  <sheets>
    <sheet name="Totals" sheetId="2" r:id="rId1"/>
    <sheet name="Recruitment" sheetId="6" r:id="rId2"/>
    <sheet name="Code Quality" sheetId="5" r:id="rId3"/>
    <sheet name="Goodwill &amp; Prestige" sheetId="4" r:id="rId4"/>
    <sheet name="R&amp;D" sheetId="1" r:id="rId5"/>
    <sheet name="Constants" sheetId="3" r:id="rId6"/>
  </sheets>
  <calcPr calcId="179021"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7" i="4" l="1"/>
  <c r="Q21" i="6"/>
  <c r="P21" i="6"/>
  <c r="O21" i="6"/>
  <c r="N21" i="6"/>
  <c r="M21" i="6"/>
  <c r="L21" i="6"/>
  <c r="K21" i="6"/>
  <c r="J21" i="6"/>
  <c r="I21" i="6"/>
  <c r="H21" i="6"/>
  <c r="G21" i="6"/>
  <c r="F21" i="6"/>
  <c r="E21" i="6"/>
  <c r="D21" i="6"/>
  <c r="P18" i="5"/>
  <c r="O18" i="5"/>
  <c r="N18" i="5"/>
  <c r="M18" i="5"/>
  <c r="L18" i="5"/>
  <c r="K18" i="5"/>
  <c r="J18" i="5"/>
  <c r="I18" i="5"/>
  <c r="H18" i="5"/>
  <c r="G18" i="5"/>
  <c r="F18" i="5"/>
  <c r="E18" i="5"/>
  <c r="D18" i="5"/>
  <c r="C18" i="5"/>
  <c r="C8" i="2"/>
  <c r="C35" i="1"/>
  <c r="M34" i="1"/>
  <c r="L34" i="1"/>
  <c r="K34" i="1"/>
  <c r="J34" i="1"/>
  <c r="I34" i="1"/>
  <c r="H34" i="1"/>
  <c r="G34" i="1"/>
  <c r="F34" i="1"/>
  <c r="E34" i="1"/>
  <c r="D34" i="1"/>
  <c r="C34" i="1"/>
  <c r="M32" i="1"/>
  <c r="L32" i="1"/>
  <c r="K32" i="1"/>
  <c r="J32" i="1"/>
  <c r="I32" i="1"/>
  <c r="H32" i="1"/>
  <c r="G32" i="1"/>
  <c r="F32" i="1"/>
  <c r="E32" i="1"/>
  <c r="D32" i="1"/>
  <c r="C32" i="1"/>
  <c r="P18" i="4"/>
  <c r="O18" i="4"/>
  <c r="N18" i="4"/>
  <c r="M18" i="4"/>
  <c r="L18" i="4"/>
  <c r="K18" i="4"/>
  <c r="J18" i="4"/>
  <c r="I18" i="4"/>
  <c r="H18" i="4"/>
  <c r="G18" i="4"/>
  <c r="F18" i="4"/>
  <c r="F20" i="4" s="1"/>
  <c r="F22" i="4" s="1"/>
  <c r="E18" i="4"/>
  <c r="I15" i="4"/>
  <c r="J15" i="4" s="1"/>
  <c r="K15" i="4" s="1"/>
  <c r="L15" i="4" s="1"/>
  <c r="M15" i="4" s="1"/>
  <c r="N15" i="4" s="1"/>
  <c r="O15" i="4" s="1"/>
  <c r="P15" i="4" s="1"/>
  <c r="H15" i="4"/>
  <c r="G15" i="4"/>
  <c r="G14" i="4" s="1"/>
  <c r="H14" i="4" s="1"/>
  <c r="H16" i="4"/>
  <c r="I16" i="4" s="1"/>
  <c r="J16" i="4" s="1"/>
  <c r="K16" i="4" s="1"/>
  <c r="L16" i="4" s="1"/>
  <c r="M16" i="4" s="1"/>
  <c r="N16" i="4" s="1"/>
  <c r="O16" i="4" s="1"/>
  <c r="P16" i="4" s="1"/>
  <c r="G16" i="4"/>
  <c r="I17" i="4"/>
  <c r="J17" i="4" s="1"/>
  <c r="K17" i="4" s="1"/>
  <c r="L17" i="4" s="1"/>
  <c r="M17" i="4" s="1"/>
  <c r="N17" i="4" s="1"/>
  <c r="O17" i="4" s="1"/>
  <c r="P17" i="4" s="1"/>
  <c r="G17" i="4"/>
  <c r="F17" i="4"/>
  <c r="F15" i="4"/>
  <c r="P10" i="4"/>
  <c r="O10" i="4"/>
  <c r="N10" i="4"/>
  <c r="M10" i="4"/>
  <c r="L10" i="4"/>
  <c r="K10" i="4"/>
  <c r="J10" i="4"/>
  <c r="I10" i="4"/>
  <c r="H10" i="4"/>
  <c r="G10" i="4"/>
  <c r="F10" i="4"/>
  <c r="E10" i="4"/>
  <c r="D10" i="4"/>
  <c r="D20" i="4" s="1"/>
  <c r="D22" i="4" s="1"/>
  <c r="C10" i="4"/>
  <c r="C20" i="4" s="1"/>
  <c r="C22" i="4" s="1"/>
  <c r="H8" i="4"/>
  <c r="I8" i="4" s="1"/>
  <c r="J8" i="4" s="1"/>
  <c r="K8" i="4" s="1"/>
  <c r="L8" i="4" s="1"/>
  <c r="M8" i="4" s="1"/>
  <c r="N8" i="4" s="1"/>
  <c r="O8" i="4" s="1"/>
  <c r="P8" i="4" s="1"/>
  <c r="G8" i="4"/>
  <c r="F9" i="4"/>
  <c r="G9" i="4" s="1"/>
  <c r="H9" i="4" s="1"/>
  <c r="I9" i="4" s="1"/>
  <c r="J9" i="4" s="1"/>
  <c r="K9" i="4" s="1"/>
  <c r="L9" i="4" s="1"/>
  <c r="M9" i="4" s="1"/>
  <c r="N9" i="4" s="1"/>
  <c r="O9" i="4" s="1"/>
  <c r="P9" i="4" s="1"/>
  <c r="E9" i="4"/>
  <c r="D9" i="4"/>
  <c r="G6" i="4"/>
  <c r="H6" i="4"/>
  <c r="I6" i="4" s="1"/>
  <c r="J6" i="4" s="1"/>
  <c r="K6" i="4" s="1"/>
  <c r="L6" i="4" s="1"/>
  <c r="M6" i="4" s="1"/>
  <c r="N6" i="4" s="1"/>
  <c r="O6" i="4" s="1"/>
  <c r="P6" i="4" s="1"/>
  <c r="H7" i="4"/>
  <c r="I7" i="4" s="1"/>
  <c r="J7" i="4" s="1"/>
  <c r="K7" i="4" s="1"/>
  <c r="L7" i="4" s="1"/>
  <c r="M7" i="4" s="1"/>
  <c r="N7" i="4" s="1"/>
  <c r="O7" i="4" s="1"/>
  <c r="P7" i="4" s="1"/>
  <c r="G7" i="4"/>
  <c r="F7" i="4"/>
  <c r="D7" i="4"/>
  <c r="E7" i="4"/>
  <c r="E6" i="4"/>
  <c r="F13" i="5"/>
  <c r="F14" i="5" s="1"/>
  <c r="F15" i="5" s="1"/>
  <c r="F16" i="5" s="1"/>
  <c r="F17" i="5" s="1"/>
  <c r="E13" i="5"/>
  <c r="E14" i="5" s="1"/>
  <c r="E15" i="5" s="1"/>
  <c r="E16" i="5" s="1"/>
  <c r="E17" i="5" s="1"/>
  <c r="D13" i="5"/>
  <c r="D14" i="5" s="1"/>
  <c r="D15" i="5" s="1"/>
  <c r="D16" i="5" s="1"/>
  <c r="D17" i="5" s="1"/>
  <c r="C13" i="5"/>
  <c r="C14" i="5" s="1"/>
  <c r="C15" i="5" s="1"/>
  <c r="C16" i="5" s="1"/>
  <c r="C17" i="5" s="1"/>
  <c r="G18" i="6"/>
  <c r="F18" i="6"/>
  <c r="F19" i="6" s="1"/>
  <c r="E18" i="6"/>
  <c r="E19" i="6" s="1"/>
  <c r="D18" i="6"/>
  <c r="D19" i="6" s="1"/>
  <c r="G18" i="3"/>
  <c r="H18" i="3" s="1"/>
  <c r="F18" i="3"/>
  <c r="E18" i="3"/>
  <c r="E9" i="5"/>
  <c r="E8" i="5"/>
  <c r="E7" i="5"/>
  <c r="E6" i="5"/>
  <c r="E5" i="5"/>
  <c r="G19" i="6"/>
  <c r="F5" i="6"/>
  <c r="D13" i="6" s="1"/>
  <c r="E19" i="5" l="1"/>
  <c r="C19" i="5"/>
  <c r="D19" i="5"/>
  <c r="N20" i="4"/>
  <c r="N22" i="4" s="1"/>
  <c r="G20" i="4"/>
  <c r="G22" i="4" s="1"/>
  <c r="K20" i="4"/>
  <c r="K22" i="4" s="1"/>
  <c r="O20" i="4"/>
  <c r="O22" i="4" s="1"/>
  <c r="H20" i="4"/>
  <c r="H22" i="4" s="1"/>
  <c r="L20" i="4"/>
  <c r="L22" i="4" s="1"/>
  <c r="P20" i="4"/>
  <c r="P22" i="4" s="1"/>
  <c r="J20" i="4"/>
  <c r="J22" i="4" s="1"/>
  <c r="F19" i="5"/>
  <c r="E20" i="4"/>
  <c r="E22" i="4" s="1"/>
  <c r="I20" i="4"/>
  <c r="I22" i="4" s="1"/>
  <c r="M20" i="4"/>
  <c r="M22" i="4" s="1"/>
  <c r="I14" i="4"/>
  <c r="J14" i="4" s="1"/>
  <c r="K14" i="4" s="1"/>
  <c r="L14" i="4" s="1"/>
  <c r="M14" i="4" s="1"/>
  <c r="N14" i="4" s="1"/>
  <c r="O14" i="4" s="1"/>
  <c r="P14" i="4" s="1"/>
  <c r="D12" i="6"/>
  <c r="D15" i="6" s="1"/>
  <c r="D20" i="6" s="1"/>
  <c r="D22" i="6" s="1"/>
  <c r="H17" i="3"/>
  <c r="I18" i="3"/>
  <c r="J18" i="3" s="1"/>
  <c r="K18" i="3" s="1"/>
  <c r="L18" i="3" s="1"/>
  <c r="M18" i="3" s="1"/>
  <c r="N18" i="3" s="1"/>
  <c r="O18" i="3" s="1"/>
  <c r="P18" i="3" s="1"/>
  <c r="Q18" i="3" s="1"/>
  <c r="C20" i="1"/>
  <c r="C13" i="1"/>
  <c r="C16" i="1" s="1"/>
  <c r="E9" i="1"/>
  <c r="E8" i="1"/>
  <c r="E7" i="1"/>
  <c r="E6" i="1"/>
  <c r="E5" i="1"/>
  <c r="C24" i="4" l="1"/>
  <c r="C7" i="2" s="1"/>
  <c r="F20" i="6"/>
  <c r="F22" i="6" s="1"/>
  <c r="I17" i="3"/>
  <c r="G13" i="5"/>
  <c r="G14" i="5" s="1"/>
  <c r="G15" i="5" s="1"/>
  <c r="G16" i="5" s="1"/>
  <c r="G17" i="5" s="1"/>
  <c r="G19" i="5" s="1"/>
  <c r="H18" i="6"/>
  <c r="H19" i="6" s="1"/>
  <c r="H20" i="6" s="1"/>
  <c r="H22" i="6" s="1"/>
  <c r="E20" i="6"/>
  <c r="E22" i="6" s="1"/>
  <c r="G20" i="6"/>
  <c r="G22" i="6" s="1"/>
  <c r="C19" i="1"/>
  <c r="J17" i="3" l="1"/>
  <c r="H13" i="5"/>
  <c r="H14" i="5" s="1"/>
  <c r="H15" i="5" s="1"/>
  <c r="H16" i="5" s="1"/>
  <c r="H17" i="5" s="1"/>
  <c r="H19" i="5" s="1"/>
  <c r="I18" i="6"/>
  <c r="I19" i="6" s="1"/>
  <c r="I20" i="6" s="1"/>
  <c r="I22" i="6" s="1"/>
  <c r="K17" i="3" l="1"/>
  <c r="I13" i="5"/>
  <c r="I14" i="5" s="1"/>
  <c r="I15" i="5" s="1"/>
  <c r="I16" i="5" s="1"/>
  <c r="I17" i="5" s="1"/>
  <c r="I19" i="5" s="1"/>
  <c r="J18" i="6"/>
  <c r="J19" i="6" s="1"/>
  <c r="J20" i="6" s="1"/>
  <c r="J22" i="6" s="1"/>
  <c r="L17" i="3" l="1"/>
  <c r="J13" i="5"/>
  <c r="J14" i="5" s="1"/>
  <c r="J15" i="5" s="1"/>
  <c r="J16" i="5" s="1"/>
  <c r="J17" i="5" s="1"/>
  <c r="J19" i="5" s="1"/>
  <c r="K18" i="6"/>
  <c r="K19" i="6" s="1"/>
  <c r="K20" i="6" s="1"/>
  <c r="K22" i="6" s="1"/>
  <c r="M17" i="3" l="1"/>
  <c r="K13" i="5"/>
  <c r="K14" i="5" s="1"/>
  <c r="K15" i="5" s="1"/>
  <c r="K16" i="5" s="1"/>
  <c r="K17" i="5" s="1"/>
  <c r="K19" i="5" s="1"/>
  <c r="L18" i="6"/>
  <c r="L19" i="6" s="1"/>
  <c r="L20" i="6" s="1"/>
  <c r="L22" i="6" s="1"/>
  <c r="N17" i="3" l="1"/>
  <c r="L13" i="5"/>
  <c r="L14" i="5" s="1"/>
  <c r="L15" i="5" s="1"/>
  <c r="L16" i="5" s="1"/>
  <c r="L17" i="5" s="1"/>
  <c r="L19" i="5" s="1"/>
  <c r="M18" i="6"/>
  <c r="M19" i="6" s="1"/>
  <c r="M20" i="6" s="1"/>
  <c r="M22" i="6" s="1"/>
  <c r="O17" i="3" l="1"/>
  <c r="M13" i="5"/>
  <c r="M14" i="5" s="1"/>
  <c r="M15" i="5" s="1"/>
  <c r="M16" i="5" s="1"/>
  <c r="M17" i="5" s="1"/>
  <c r="M19" i="5" s="1"/>
  <c r="N18" i="6"/>
  <c r="N19" i="6" s="1"/>
  <c r="N20" i="6" s="1"/>
  <c r="N22" i="6" s="1"/>
  <c r="P17" i="3" l="1"/>
  <c r="N13" i="5"/>
  <c r="N14" i="5" s="1"/>
  <c r="N15" i="5" s="1"/>
  <c r="N16" i="5" s="1"/>
  <c r="N17" i="5" s="1"/>
  <c r="N19" i="5" s="1"/>
  <c r="O18" i="6"/>
  <c r="O19" i="6" s="1"/>
  <c r="O20" i="6" s="1"/>
  <c r="O22" i="6" s="1"/>
  <c r="Q17" i="3" l="1"/>
  <c r="O13" i="5"/>
  <c r="O14" i="5" s="1"/>
  <c r="O15" i="5" s="1"/>
  <c r="O16" i="5" s="1"/>
  <c r="O17" i="5" s="1"/>
  <c r="O19" i="5" s="1"/>
  <c r="P18" i="6"/>
  <c r="P19" i="6" s="1"/>
  <c r="P20" i="6" s="1"/>
  <c r="P22" i="6" s="1"/>
  <c r="Q18" i="6" l="1"/>
  <c r="Q19" i="6" s="1"/>
  <c r="Q20" i="6" s="1"/>
  <c r="Q22" i="6" s="1"/>
  <c r="D24" i="6" s="1"/>
  <c r="C5" i="2" s="1"/>
  <c r="C9" i="2" s="1"/>
  <c r="P13" i="5"/>
  <c r="P14" i="5" s="1"/>
  <c r="P15" i="5" s="1"/>
  <c r="P16" i="5" s="1"/>
  <c r="P17" i="5" s="1"/>
  <c r="P19" i="5" s="1"/>
  <c r="C21" i="5" s="1"/>
  <c r="C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author>
  </authors>
  <commentList>
    <comment ref="C10" authorId="0" shapeId="0" xr:uid="{B2FF7BCA-D345-416F-AB5E-35CBCB685C0F}">
      <text>
        <r>
          <rPr>
            <b/>
            <sz val="9"/>
            <color indexed="81"/>
            <rFont val="Tahoma"/>
            <family val="2"/>
          </rPr>
          <t>David:
Roughly based on number of hires / number who apply. Theres a lot going on there, some of which doesn’t relate to skillsets
90% comes from here
https://www.quora.com/What-is-the-offer-acceptance-rate-for-Facebook-software-engineering-positions</t>
        </r>
      </text>
    </comment>
    <comment ref="C14" authorId="0" shapeId="0" xr:uid="{221D30BF-5996-46B2-8CAB-A8D9892E7668}">
      <text>
        <r>
          <rPr>
            <b/>
            <sz val="9"/>
            <color indexed="81"/>
            <rFont val="Tahoma"/>
            <family val="2"/>
          </rPr>
          <t>David:</t>
        </r>
        <r>
          <rPr>
            <sz val="9"/>
            <color indexed="81"/>
            <rFont val="Tahoma"/>
            <family val="2"/>
          </rPr>
          <t xml:space="preserve">
Refferal programs like Triple Byte and SO. Good ballpark for the value they bring to companies and that’s only the value we see.</t>
        </r>
      </text>
    </comment>
    <comment ref="C19" authorId="0" shapeId="0" xr:uid="{05DE2B36-53F3-4D8A-9A86-2625D7F98989}">
      <text>
        <r>
          <rPr>
            <b/>
            <sz val="9"/>
            <color indexed="81"/>
            <rFont val="Tahoma"/>
            <family val="2"/>
          </rPr>
          <t>David:</t>
        </r>
        <r>
          <rPr>
            <sz val="9"/>
            <color indexed="81"/>
            <rFont val="Tahoma"/>
            <family val="2"/>
          </rPr>
          <t xml:space="preserve">
Reoccuring because keeping people saves the money you would have spent on finding new people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author>
  </authors>
  <commentList>
    <comment ref="G4" authorId="0" shapeId="0" xr:uid="{0AB246C0-A3A2-4EB1-994F-A6F073A581D9}">
      <text>
        <r>
          <rPr>
            <b/>
            <sz val="9"/>
            <color indexed="81"/>
            <rFont val="Tahoma"/>
            <family val="2"/>
          </rPr>
          <t>David:</t>
        </r>
        <r>
          <rPr>
            <sz val="9"/>
            <color indexed="81"/>
            <rFont val="Tahoma"/>
            <family val="2"/>
          </rPr>
          <t xml:space="preserve">
If FB developers didn’t have the framework, There would most likey be more complex frontend. The value that the community gives to FB is that they can worry about creating new features and building new ideas instead of the complexities of component state. Would love someone to rephrase but that's what im working off of</t>
        </r>
      </text>
    </comment>
    <comment ref="B5" authorId="0" shapeId="0" xr:uid="{790E3D24-450C-4E71-B510-D2F6A61A2EE7}">
      <text>
        <r>
          <rPr>
            <b/>
            <sz val="9"/>
            <color indexed="81"/>
            <rFont val="Tahoma"/>
            <family val="2"/>
          </rPr>
          <t>David:
Private Document</t>
        </r>
      </text>
    </comment>
    <comment ref="B6" authorId="0" shapeId="0" xr:uid="{B540F4BC-7E70-4BF0-A1A5-B36075EAED60}">
      <text>
        <r>
          <rPr>
            <b/>
            <sz val="9"/>
            <color indexed="81"/>
            <rFont val="Tahoma"/>
            <family val="2"/>
          </rPr>
          <t>David:</t>
        </r>
        <r>
          <rPr>
            <sz val="9"/>
            <color indexed="81"/>
            <rFont val="Tahoma"/>
            <family val="2"/>
          </rPr>
          <t xml:space="preserve">
Glassdoor</t>
        </r>
      </text>
    </comment>
    <comment ref="B14" authorId="0" shapeId="0" xr:uid="{C080E17F-1321-46AA-8CD4-6A099695F130}">
      <text>
        <r>
          <rPr>
            <b/>
            <sz val="9"/>
            <color indexed="81"/>
            <rFont val="Tahoma"/>
            <family val="2"/>
          </rPr>
          <t>David:</t>
        </r>
        <r>
          <rPr>
            <sz val="9"/>
            <color indexed="81"/>
            <rFont val="Tahoma"/>
            <family val="2"/>
          </rPr>
          <t xml:space="preserve">
ROUGH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author>
  </authors>
  <commentList>
    <comment ref="H3" authorId="0" shapeId="0" xr:uid="{D5BEF186-AFF7-4F7F-89E2-CEE65D439AA3}">
      <text>
        <r>
          <rPr>
            <b/>
            <sz val="9"/>
            <color indexed="81"/>
            <rFont val="Tahoma"/>
            <family val="2"/>
          </rPr>
          <t>David:</t>
        </r>
        <r>
          <rPr>
            <sz val="9"/>
            <color indexed="81"/>
            <rFont val="Tahoma"/>
            <family val="2"/>
          </rPr>
          <t xml:space="preserve">
Goodwill also includes the value of the brand. Developers highly respect organizations that support open source and this tries to measure that value. Feel free to add to this as this is the one I feel that needs a lot of help to truly quantify the value, if its even quantifiable at all!
I did this for just react and react-native but Facebook has a ton of other open source libraries out there.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author>
  </authors>
  <commentList>
    <comment ref="B5" authorId="0" shapeId="0" xr:uid="{24810D37-4E22-4B47-9148-540AFF9E6EF2}">
      <text>
        <r>
          <rPr>
            <b/>
            <sz val="9"/>
            <color indexed="81"/>
            <rFont val="Tahoma"/>
            <family val="2"/>
          </rPr>
          <t>David:
Private Document</t>
        </r>
      </text>
    </comment>
    <comment ref="B6" authorId="0" shapeId="0" xr:uid="{16D68CFD-BB37-483E-8ABA-4C63ABDEFFC9}">
      <text>
        <r>
          <rPr>
            <b/>
            <sz val="9"/>
            <color indexed="81"/>
            <rFont val="Tahoma"/>
            <family val="2"/>
          </rPr>
          <t>David:</t>
        </r>
        <r>
          <rPr>
            <sz val="9"/>
            <color indexed="81"/>
            <rFont val="Tahoma"/>
            <family val="2"/>
          </rPr>
          <t xml:space="preserve">
Glassdoor</t>
        </r>
      </text>
    </comment>
    <comment ref="B15" authorId="0" shapeId="0" xr:uid="{7F8B64D3-BD20-4015-92E0-903D94B58C90}">
      <text>
        <r>
          <rPr>
            <b/>
            <sz val="9"/>
            <color indexed="81"/>
            <rFont val="Tahoma"/>
            <family val="2"/>
          </rPr>
          <t>David:</t>
        </r>
        <r>
          <rPr>
            <sz val="9"/>
            <color indexed="81"/>
            <rFont val="Tahoma"/>
            <family val="2"/>
          </rPr>
          <t xml:space="preserve">
https://wpcouple.com/interview-react-team-facebook-wordpress-gutenberg/
Scroll down to the bottom where he talks about the react team. Says less than 10.</t>
        </r>
      </text>
    </comment>
    <comment ref="B18" authorId="0" shapeId="0" xr:uid="{5305B640-B832-4650-B6B2-1D0F1E87D2C1}">
      <text>
        <r>
          <rPr>
            <b/>
            <sz val="9"/>
            <color indexed="81"/>
            <rFont val="Tahoma"/>
            <family val="2"/>
          </rPr>
          <t>David:</t>
        </r>
        <r>
          <rPr>
            <sz val="9"/>
            <color indexed="81"/>
            <rFont val="Tahoma"/>
            <family val="2"/>
          </rPr>
          <t xml:space="preserve">
https://github.com/orgs/reactjs/people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David</author>
  </authors>
  <commentList>
    <comment ref="C9" authorId="0" shapeId="0" xr:uid="{8034379C-F144-4760-9AB2-5C1772297B67}">
      <text>
        <r>
          <rPr>
            <b/>
            <sz val="9"/>
            <color indexed="81"/>
            <rFont val="Tahoma"/>
            <family val="2"/>
          </rPr>
          <t>David:</t>
        </r>
        <r>
          <rPr>
            <sz val="9"/>
            <color indexed="81"/>
            <rFont val="Tahoma"/>
            <family val="2"/>
          </rPr>
          <t xml:space="preserve">
Tried to account for both frontend and full stack</t>
        </r>
      </text>
    </comment>
    <comment ref="C27" authorId="0" shapeId="0" xr:uid="{B40029AF-9392-4868-86A2-3C8039634591}">
      <text>
        <r>
          <rPr>
            <b/>
            <sz val="9"/>
            <color indexed="81"/>
            <rFont val="Tahoma"/>
            <family val="2"/>
          </rPr>
          <t>David:</t>
        </r>
        <r>
          <rPr>
            <sz val="9"/>
            <color indexed="81"/>
            <rFont val="Tahoma"/>
            <family val="2"/>
          </rPr>
          <t xml:space="preserve">
Assumed.</t>
        </r>
      </text>
    </comment>
  </commentList>
</comments>
</file>

<file path=xl/sharedStrings.xml><?xml version="1.0" encoding="utf-8"?>
<sst xmlns="http://schemas.openxmlformats.org/spreadsheetml/2006/main" count="110" uniqueCount="71">
  <si>
    <t>Salaries and Incentives Expense</t>
  </si>
  <si>
    <t>Cash</t>
  </si>
  <si>
    <t>Stock</t>
  </si>
  <si>
    <t>Facebook Jr Developer Salary</t>
  </si>
  <si>
    <t>Software Engineer IV</t>
  </si>
  <si>
    <t>Senior Software Engineer</t>
  </si>
  <si>
    <t>Software Engineer V</t>
  </si>
  <si>
    <t>Application Developer</t>
  </si>
  <si>
    <t>Title</t>
  </si>
  <si>
    <t>Total</t>
  </si>
  <si>
    <t>Development Expense</t>
  </si>
  <si>
    <t>Average Expense</t>
  </si>
  <si>
    <t>React Developers listed as contributors on github</t>
  </si>
  <si>
    <t>React Developers as of Oct 9th 2017</t>
  </si>
  <si>
    <t>2018 Expense</t>
  </si>
  <si>
    <t>2017 Expense</t>
  </si>
  <si>
    <t>Weighted Average Cost of Capital</t>
  </si>
  <si>
    <t/>
  </si>
  <si>
    <t>SG&amp;A</t>
  </si>
  <si>
    <t>Growth Rate</t>
  </si>
  <si>
    <t>R&amp;D</t>
  </si>
  <si>
    <t>R&amp;D Growth Rate</t>
  </si>
  <si>
    <t>Discount Factor</t>
  </si>
  <si>
    <t>Current Year</t>
  </si>
  <si>
    <t>Compiled By David Axelrod</t>
  </si>
  <si>
    <t>Technical Recruiter</t>
  </si>
  <si>
    <t>Time spent prospecting</t>
  </si>
  <si>
    <t>Cost of hiring a single applicant using a service</t>
  </si>
  <si>
    <t>Facebook Headcount</t>
  </si>
  <si>
    <t>Year</t>
  </si>
  <si>
    <t>Front end developers as a % of Engineering</t>
  </si>
  <si>
    <t>Time spent with candidates that don't have the right skillset without open source</t>
  </si>
  <si>
    <t>Time spent with candidates that don't have the right skillset with open source</t>
  </si>
  <si>
    <t>People who do front end</t>
  </si>
  <si>
    <t>Cost of hiring a single applicant before OSS</t>
  </si>
  <si>
    <t>Cost of hiring a single applicant after OSS</t>
  </si>
  <si>
    <t>Net Benefit of OSS</t>
  </si>
  <si>
    <t>OSS Benefit</t>
  </si>
  <si>
    <t>Discount Facor</t>
  </si>
  <si>
    <t>Total benefit</t>
  </si>
  <si>
    <t>Discounted</t>
  </si>
  <si>
    <t>Developers as a % of headcount</t>
  </si>
  <si>
    <t>Downloads on NPM</t>
  </si>
  <si>
    <t>Rational</t>
  </si>
  <si>
    <t>FB Headcount</t>
  </si>
  <si>
    <t>Rough Engineer Salaries Expense</t>
  </si>
  <si>
    <t>People who work with frontend expense</t>
  </si>
  <si>
    <t>Productivity Bonus for tested with code</t>
  </si>
  <si>
    <t>Benefit of OSS</t>
  </si>
  <si>
    <t>Discounted Benefit</t>
  </si>
  <si>
    <t>Sum of Discounted</t>
  </si>
  <si>
    <t>Recruitment Benefit</t>
  </si>
  <si>
    <t>Goodwill Benefit</t>
  </si>
  <si>
    <t>Development Cost</t>
  </si>
  <si>
    <t>Net Benefit</t>
  </si>
  <si>
    <t>Code Quality &amp; Development Speed Benefit</t>
  </si>
  <si>
    <t>React</t>
  </si>
  <si>
    <t>React Native</t>
  </si>
  <si>
    <t>Value of a github star</t>
  </si>
  <si>
    <t>Value of an npm download</t>
  </si>
  <si>
    <t>Stars on Github</t>
  </si>
  <si>
    <t>NPM Value</t>
  </si>
  <si>
    <t>Github stars Value</t>
  </si>
  <si>
    <t>Total Estimated Value to developers</t>
  </si>
  <si>
    <t>Discount factor</t>
  </si>
  <si>
    <t>Discounted value</t>
  </si>
  <si>
    <t xml:space="preserve">Net Goodwill Benefit </t>
  </si>
  <si>
    <t>Total Cost</t>
  </si>
  <si>
    <t>Discounted Cost</t>
  </si>
  <si>
    <t>The value of Facebook's Open Source</t>
  </si>
  <si>
    <t>Constants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</si>
</sst>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4" formatCode="_(&quot;$&quot;* #,##0.00_);_(&quot;$&quot;* \(#,##0.00\);_(&quot;$&quot;* &quot;-&quot;??_);_(@_)"/>
    <numFmt numFmtId="43" formatCode="_(* #,##0.00_);_(* \(#,##0.00\);_(* &quot;-&quot;??_);_(@_)"/>
    <numFmt numFmtId="164" formatCode="_(&quot;$&quot;* #,##0_);_(&quot;$&quot;* \(#,##0\);_(&quot;$&quot;* &quot;-&quot;??_);_(@_)"/>
    <numFmt numFmtId="165" formatCode="0.0%"/>
    <numFmt numFmtId="166" formatCode="0.0"/>
    <numFmt numFmtId="181" formatCode="_(* #,##0_);_(* \(#,##0\);_(* &quot;-&quot;??_);_(@_)"/>
    <numFmt numFmtId="183" formatCode="&quot;$&quot;#,##0.0_);[Red]\(&quot;$&quot;#,##0.0\)"/>
  </numFmts>
  <fonts count="10">
    <font>
      <sz val="11"/>
      <color theme="1"/>
      <name val="Calibri"/>
      <family val="2"/>
      <scheme val="minor"/>
    </font>
    <font>
      <sz val="11"/>
      <color theme="1"/>
      <name val="Calibri"/>
      <family val="2"/>
      <scheme val="minor"/>
    </font>
    <font>
      <sz val="12"/>
      <color theme="1"/>
      <name val="Calibri"/>
      <family val="2"/>
      <scheme val="minor"/>
    </font>
    <font>
      <sz val="12"/>
      <color theme="1"/>
      <name val="Book Antiqua"/>
      <family val="1"/>
    </font>
    <font>
      <sz val="9"/>
      <color rgb="FF404040"/>
      <name val="Inherit"/>
    </font>
    <font>
      <sz val="9"/>
      <color indexed="81"/>
      <name val="Tahoma"/>
      <family val="2"/>
    </font>
    <font>
      <b/>
      <sz val="9"/>
      <color indexed="81"/>
      <name val="Tahoma"/>
      <family val="2"/>
    </font>
    <font>
      <i/>
      <sz val="11"/>
      <color theme="1"/>
      <name val="Calibri"/>
      <family val="2"/>
      <scheme val="minor"/>
    </font>
    <font>
      <sz val="12"/>
      <color rgb="FF333333"/>
      <name val="Book Antiqua"/>
      <family val="1"/>
    </font>
    <font>
      <sz val="11"/>
      <color theme="1"/>
      <name val="Book Antiqua"/>
      <family val="1"/>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95">
    <xf numFmtId="0" fontId="0" fillId="0" borderId="0" xfId="0"/>
    <xf numFmtId="0" fontId="0" fillId="0" borderId="0" xfId="0" quotePrefix="1"/>
    <xf numFmtId="0" fontId="3" fillId="0" borderId="0" xfId="0" applyFont="1" applyBorder="1"/>
    <xf numFmtId="0" fontId="0" fillId="2" borderId="2" xfId="0" applyFill="1" applyBorder="1" applyAlignment="1">
      <alignment horizontal="centerContinuous"/>
    </xf>
    <xf numFmtId="0" fontId="0" fillId="2" borderId="3" xfId="0" applyFill="1" applyBorder="1" applyAlignment="1">
      <alignment horizontal="centerContinuous"/>
    </xf>
    <xf numFmtId="0" fontId="0" fillId="3" borderId="4" xfId="0" applyFill="1" applyBorder="1"/>
    <xf numFmtId="0" fontId="0" fillId="3" borderId="0" xfId="0" applyFill="1" applyBorder="1"/>
    <xf numFmtId="0" fontId="0" fillId="3" borderId="5" xfId="0" applyFill="1" applyBorder="1"/>
    <xf numFmtId="0" fontId="0" fillId="3" borderId="4" xfId="0" applyFill="1" applyBorder="1" applyAlignment="1">
      <alignment horizontal="left" indent="1"/>
    </xf>
    <xf numFmtId="166" fontId="0" fillId="3" borderId="0" xfId="0" applyNumberFormat="1" applyFill="1" applyBorder="1"/>
    <xf numFmtId="166" fontId="0" fillId="3" borderId="5" xfId="0" applyNumberFormat="1" applyFill="1" applyBorder="1"/>
    <xf numFmtId="0" fontId="0" fillId="3" borderId="6" xfId="0" applyFill="1" applyBorder="1"/>
    <xf numFmtId="44" fontId="0" fillId="3" borderId="0" xfId="0" applyNumberFormat="1" applyFill="1" applyBorder="1"/>
    <xf numFmtId="44" fontId="0" fillId="3" borderId="5" xfId="0" applyNumberFormat="1" applyFill="1" applyBorder="1"/>
    <xf numFmtId="2" fontId="0" fillId="3" borderId="0" xfId="0" applyNumberFormat="1" applyFill="1" applyBorder="1"/>
    <xf numFmtId="2" fontId="0" fillId="3" borderId="5" xfId="0" applyNumberFormat="1" applyFill="1" applyBorder="1"/>
    <xf numFmtId="44" fontId="0" fillId="3" borderId="7" xfId="0" applyNumberFormat="1" applyFill="1" applyBorder="1"/>
    <xf numFmtId="44" fontId="0" fillId="3" borderId="8" xfId="0" applyNumberFormat="1" applyFill="1" applyBorder="1"/>
    <xf numFmtId="164" fontId="2" fillId="0" borderId="0" xfId="0" applyNumberFormat="1" applyFont="1" applyFill="1" applyBorder="1"/>
    <xf numFmtId="2" fontId="0" fillId="3" borderId="7" xfId="0" applyNumberFormat="1" applyFill="1" applyBorder="1"/>
    <xf numFmtId="2" fontId="0" fillId="3" borderId="8" xfId="0" applyNumberFormat="1" applyFill="1" applyBorder="1"/>
    <xf numFmtId="0" fontId="0" fillId="2" borderId="1" xfId="0" applyFill="1" applyBorder="1" applyAlignment="1">
      <alignment horizontal="centerContinuous"/>
    </xf>
    <xf numFmtId="44" fontId="0" fillId="3" borderId="8" xfId="0" applyNumberFormat="1" applyFill="1" applyBorder="1" applyAlignment="1">
      <alignment horizontal="center"/>
    </xf>
    <xf numFmtId="43" fontId="0" fillId="3" borderId="5" xfId="0" applyNumberFormat="1" applyFill="1" applyBorder="1"/>
    <xf numFmtId="11" fontId="3" fillId="2" borderId="1" xfId="0" applyNumberFormat="1" applyFont="1" applyFill="1" applyBorder="1" applyAlignment="1">
      <alignment horizontal="centerContinuous"/>
    </xf>
    <xf numFmtId="0" fontId="3" fillId="2" borderId="2" xfId="0" applyFont="1" applyFill="1" applyBorder="1" applyAlignment="1">
      <alignment horizontal="centerContinuous"/>
    </xf>
    <xf numFmtId="0" fontId="0" fillId="3" borderId="1" xfId="0" applyFill="1" applyBorder="1"/>
    <xf numFmtId="165" fontId="0" fillId="3" borderId="2" xfId="0" applyNumberFormat="1" applyFill="1" applyBorder="1"/>
    <xf numFmtId="165" fontId="0" fillId="3" borderId="0" xfId="0" applyNumberFormat="1" applyFill="1" applyBorder="1"/>
    <xf numFmtId="0" fontId="0" fillId="3" borderId="3" xfId="0" applyFill="1" applyBorder="1"/>
    <xf numFmtId="0" fontId="0" fillId="3" borderId="8" xfId="0" applyFill="1" applyBorder="1"/>
    <xf numFmtId="0" fontId="0" fillId="3" borderId="2" xfId="0" applyFill="1" applyBorder="1"/>
    <xf numFmtId="181" fontId="0" fillId="3" borderId="0" xfId="1" applyNumberFormat="1" applyFont="1" applyFill="1" applyBorder="1"/>
    <xf numFmtId="1" fontId="0" fillId="3" borderId="0" xfId="0" applyNumberFormat="1" applyFill="1" applyBorder="1"/>
    <xf numFmtId="1" fontId="0" fillId="3" borderId="5" xfId="0" applyNumberFormat="1" applyFill="1" applyBorder="1"/>
    <xf numFmtId="44" fontId="0" fillId="3" borderId="0" xfId="0" applyNumberFormat="1" applyFont="1" applyFill="1" applyBorder="1"/>
    <xf numFmtId="44" fontId="0" fillId="3" borderId="5" xfId="0" applyNumberFormat="1" applyFont="1" applyFill="1" applyBorder="1"/>
    <xf numFmtId="0" fontId="0" fillId="3" borderId="7" xfId="0" applyFill="1" applyBorder="1"/>
    <xf numFmtId="181" fontId="0" fillId="3" borderId="5" xfId="1" applyNumberFormat="1" applyFont="1" applyFill="1" applyBorder="1"/>
    <xf numFmtId="11" fontId="3" fillId="3" borderId="1" xfId="0" applyNumberFormat="1" applyFont="1" applyFill="1" applyBorder="1" applyAlignment="1">
      <alignment horizontal="centerContinuous"/>
    </xf>
    <xf numFmtId="11" fontId="2" fillId="3" borderId="2" xfId="0" applyNumberFormat="1" applyFont="1" applyFill="1" applyBorder="1" applyAlignment="1">
      <alignment horizontal="centerContinuous"/>
    </xf>
    <xf numFmtId="11" fontId="2" fillId="3" borderId="3" xfId="0" applyNumberFormat="1" applyFont="1" applyFill="1" applyBorder="1" applyAlignment="1">
      <alignment horizontal="centerContinuous"/>
    </xf>
    <xf numFmtId="0" fontId="2" fillId="3" borderId="4" xfId="0" applyFont="1" applyFill="1" applyBorder="1" applyAlignment="1">
      <alignment horizontal="center"/>
    </xf>
    <xf numFmtId="0" fontId="3" fillId="3" borderId="0" xfId="0" applyFont="1" applyFill="1" applyBorder="1" applyAlignment="1">
      <alignment horizontal="center"/>
    </xf>
    <xf numFmtId="0" fontId="2" fillId="3" borderId="5" xfId="0" applyFont="1" applyFill="1" applyBorder="1" applyAlignment="1">
      <alignment horizontal="center"/>
    </xf>
    <xf numFmtId="0" fontId="2" fillId="3" borderId="4" xfId="0" applyFont="1" applyFill="1" applyBorder="1"/>
    <xf numFmtId="164" fontId="2" fillId="3" borderId="0" xfId="0" applyNumberFormat="1" applyFont="1" applyFill="1" applyBorder="1"/>
    <xf numFmtId="164" fontId="2" fillId="3" borderId="5" xfId="0" applyNumberFormat="1" applyFont="1" applyFill="1" applyBorder="1"/>
    <xf numFmtId="0" fontId="2" fillId="3" borderId="6" xfId="0" applyFont="1" applyFill="1" applyBorder="1"/>
    <xf numFmtId="164" fontId="2" fillId="3" borderId="7" xfId="0" applyNumberFormat="1" applyFont="1" applyFill="1" applyBorder="1"/>
    <xf numFmtId="164" fontId="2" fillId="3" borderId="8" xfId="0" applyNumberFormat="1" applyFont="1" applyFill="1" applyBorder="1"/>
    <xf numFmtId="0" fontId="0" fillId="3" borderId="0" xfId="0" applyFill="1"/>
    <xf numFmtId="0" fontId="0" fillId="3" borderId="11" xfId="0" applyFill="1" applyBorder="1"/>
    <xf numFmtId="44" fontId="0" fillId="3" borderId="12" xfId="0" applyNumberFormat="1" applyFill="1" applyBorder="1"/>
    <xf numFmtId="10" fontId="7" fillId="3" borderId="0" xfId="0" applyNumberFormat="1" applyFont="1" applyFill="1" applyBorder="1"/>
    <xf numFmtId="10" fontId="7" fillId="3" borderId="5" xfId="0" applyNumberFormat="1" applyFont="1" applyFill="1" applyBorder="1"/>
    <xf numFmtId="43" fontId="0" fillId="3" borderId="7" xfId="0" applyNumberFormat="1" applyFill="1" applyBorder="1"/>
    <xf numFmtId="43" fontId="0" fillId="3" borderId="8" xfId="0" applyNumberFormat="1" applyFill="1" applyBorder="1"/>
    <xf numFmtId="43" fontId="0" fillId="3" borderId="0" xfId="1" applyFont="1" applyFill="1" applyBorder="1"/>
    <xf numFmtId="10" fontId="0" fillId="3" borderId="0" xfId="0" applyNumberFormat="1" applyFill="1" applyBorder="1"/>
    <xf numFmtId="10" fontId="0" fillId="3" borderId="0" xfId="0" applyNumberFormat="1" applyFont="1" applyFill="1" applyBorder="1"/>
    <xf numFmtId="43" fontId="0" fillId="3" borderId="0" xfId="0" applyNumberFormat="1" applyFill="1" applyBorder="1"/>
    <xf numFmtId="43" fontId="0" fillId="3" borderId="5" xfId="1" applyFont="1" applyFill="1" applyBorder="1"/>
    <xf numFmtId="10" fontId="0" fillId="3" borderId="5" xfId="0" applyNumberFormat="1" applyFont="1" applyFill="1" applyBorder="1"/>
    <xf numFmtId="10" fontId="0" fillId="3" borderId="5" xfId="0" applyNumberFormat="1" applyFill="1" applyBorder="1"/>
    <xf numFmtId="11" fontId="2" fillId="2" borderId="2" xfId="0" applyNumberFormat="1" applyFont="1" applyFill="1" applyBorder="1" applyAlignment="1">
      <alignment horizontal="centerContinuous"/>
    </xf>
    <xf numFmtId="11" fontId="2" fillId="2" borderId="3" xfId="0" applyNumberFormat="1" applyFont="1" applyFill="1" applyBorder="1" applyAlignment="1">
      <alignment horizontal="centerContinuous"/>
    </xf>
    <xf numFmtId="0" fontId="4" fillId="2" borderId="1" xfId="0" applyFont="1" applyFill="1" applyBorder="1" applyAlignment="1">
      <alignment horizontal="centerContinuous" vertical="center"/>
    </xf>
    <xf numFmtId="164" fontId="0" fillId="3" borderId="5" xfId="0" applyNumberFormat="1" applyFill="1" applyBorder="1"/>
    <xf numFmtId="0" fontId="0" fillId="3" borderId="4" xfId="0" applyFill="1" applyBorder="1" applyAlignment="1">
      <alignment horizontal="left"/>
    </xf>
    <xf numFmtId="0" fontId="0" fillId="3" borderId="5" xfId="0" applyFill="1" applyBorder="1" applyAlignment="1">
      <alignment horizontal="right"/>
    </xf>
    <xf numFmtId="10" fontId="0" fillId="3" borderId="8" xfId="0" applyNumberFormat="1" applyFill="1" applyBorder="1"/>
    <xf numFmtId="0" fontId="3" fillId="2" borderId="1" xfId="0" applyFont="1" applyFill="1" applyBorder="1" applyAlignment="1">
      <alignment horizontal="centerContinuous"/>
    </xf>
    <xf numFmtId="0" fontId="3" fillId="2" borderId="3" xfId="0" applyFont="1" applyFill="1" applyBorder="1" applyAlignment="1">
      <alignment horizontal="centerContinuous"/>
    </xf>
    <xf numFmtId="0" fontId="3" fillId="3" borderId="9" xfId="0" applyFont="1" applyFill="1" applyBorder="1"/>
    <xf numFmtId="6" fontId="3" fillId="3" borderId="13" xfId="0" applyNumberFormat="1" applyFont="1" applyFill="1" applyBorder="1"/>
    <xf numFmtId="0" fontId="3" fillId="3" borderId="13" xfId="0" applyFont="1" applyFill="1" applyBorder="1"/>
    <xf numFmtId="183" fontId="3" fillId="3" borderId="10" xfId="0" applyNumberFormat="1" applyFont="1" applyFill="1" applyBorder="1"/>
    <xf numFmtId="9" fontId="3" fillId="3" borderId="10" xfId="0" applyNumberFormat="1" applyFont="1" applyFill="1" applyBorder="1"/>
    <xf numFmtId="0" fontId="0" fillId="3" borderId="6" xfId="0" applyFill="1" applyBorder="1" applyAlignment="1">
      <alignment horizontal="left" indent="1"/>
    </xf>
    <xf numFmtId="10" fontId="0" fillId="3" borderId="7" xfId="0" applyNumberFormat="1" applyFill="1" applyBorder="1"/>
    <xf numFmtId="10" fontId="3" fillId="3" borderId="10" xfId="0" applyNumberFormat="1" applyFont="1" applyFill="1" applyBorder="1"/>
    <xf numFmtId="0" fontId="3" fillId="3" borderId="9" xfId="0" applyFont="1" applyFill="1" applyBorder="1" applyAlignment="1">
      <alignment horizontal="center"/>
    </xf>
    <xf numFmtId="10" fontId="8" fillId="3" borderId="10" xfId="0" applyNumberFormat="1" applyFont="1" applyFill="1" applyBorder="1"/>
    <xf numFmtId="0" fontId="3" fillId="3" borderId="0" xfId="0" applyFont="1" applyFill="1" applyBorder="1" applyAlignment="1">
      <alignment horizontal="centerContinuous"/>
    </xf>
    <xf numFmtId="0" fontId="3" fillId="3" borderId="10" xfId="0" applyFont="1" applyFill="1" applyBorder="1"/>
    <xf numFmtId="11" fontId="9" fillId="2" borderId="1" xfId="0" applyNumberFormat="1" applyFont="1" applyFill="1" applyBorder="1" applyAlignment="1">
      <alignment horizontal="centerContinuous"/>
    </xf>
    <xf numFmtId="0" fontId="9" fillId="2" borderId="2" xfId="0" applyFont="1" applyFill="1" applyBorder="1" applyAlignment="1">
      <alignment horizontal="centerContinuous"/>
    </xf>
    <xf numFmtId="0" fontId="0" fillId="2" borderId="3" xfId="0" applyFont="1" applyFill="1" applyBorder="1" applyAlignment="1">
      <alignment horizontal="centerContinuous"/>
    </xf>
    <xf numFmtId="0" fontId="9" fillId="3" borderId="4" xfId="0" applyFont="1" applyFill="1" applyBorder="1"/>
    <xf numFmtId="0" fontId="9" fillId="3" borderId="0" xfId="0" applyFont="1" applyFill="1" applyBorder="1"/>
    <xf numFmtId="0" fontId="9" fillId="3" borderId="5" xfId="0" applyFont="1" applyFill="1" applyBorder="1"/>
    <xf numFmtId="0" fontId="9" fillId="3" borderId="6" xfId="0" applyFont="1" applyFill="1" applyBorder="1"/>
    <xf numFmtId="44" fontId="9" fillId="3" borderId="7" xfId="0" applyNumberFormat="1" applyFont="1" applyFill="1" applyBorder="1"/>
    <xf numFmtId="44" fontId="0" fillId="3" borderId="8"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React Development</a:t>
            </a:r>
            <a:r>
              <a:rPr lang="en-US" baseline="0"/>
              <a:t>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('R&amp;D'!$B$16,'R&amp;D'!$B$19)</c:f>
              <c:strCache>
                <c:ptCount val="2"/>
                <c:pt idx="0">
                  <c:v>2017 Expense</c:v>
                </c:pt>
                <c:pt idx="1">
                  <c:v>2018 Expense</c:v>
                </c:pt>
              </c:strCache>
            </c:strRef>
          </c:cat>
          <c:val>
            <c:numRef>
              <c:f>('R&amp;D'!$C$16,'R&amp;D'!$C$19)</c:f>
              <c:numCache>
                <c:formatCode>_("$"* #,##0_);_("$"* \(#,##0\);_("$"* "-"??_);_(@_)</c:formatCode>
                <c:ptCount val="2"/>
                <c:pt idx="0">
                  <c:v>1656576</c:v>
                </c:pt>
                <c:pt idx="1">
                  <c:v>7730688</c:v>
                </c:pt>
              </c:numCache>
            </c:numRef>
          </c:val>
          <c:extLst>
            <c:ext xmlns:c16="http://schemas.microsoft.com/office/drawing/2014/chart" uri="{C3380CC4-5D6E-409C-BE32-E72D297353CC}">
              <c16:uniqueId val="{00000000-579B-4724-9BF2-48CAB1AC2955}"/>
            </c:ext>
          </c:extLst>
        </c:ser>
        <c:dLbls>
          <c:showLegendKey val="0"/>
          <c:showVal val="0"/>
          <c:showCatName val="0"/>
          <c:showSerName val="0"/>
          <c:showPercent val="0"/>
          <c:showBubbleSize val="0"/>
        </c:dLbls>
        <c:gapWidth val="219"/>
        <c:overlap val="-27"/>
        <c:axId val="537265712"/>
        <c:axId val="537267024"/>
      </c:barChart>
      <c:catAx>
        <c:axId val="53726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267024"/>
        <c:crosses val="autoZero"/>
        <c:auto val="1"/>
        <c:lblAlgn val="ctr"/>
        <c:lblOffset val="100"/>
        <c:noMultiLvlLbl val="0"/>
      </c:catAx>
      <c:valAx>
        <c:axId val="53726702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26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476250</xdr:colOff>
      <xdr:row>26</xdr:row>
      <xdr:rowOff>114300</xdr:rowOff>
    </xdr:from>
    <xdr:to>
      <xdr:col>5</xdr:col>
      <xdr:colOff>647007</xdr:colOff>
      <xdr:row>34</xdr:row>
      <xdr:rowOff>133157</xdr:rowOff>
    </xdr:to>
    <xdr:pic>
      <xdr:nvPicPr>
        <xdr:cNvPr id="2" name="Picture 1">
          <a:extLst>
            <a:ext uri="{FF2B5EF4-FFF2-40B4-BE49-F238E27FC236}">
              <a16:creationId xmlns:a16="http://schemas.microsoft.com/office/drawing/2014/main" id="{76E49D4C-11B1-4FBD-86EF-3E0EFD371732}"/>
            </a:ext>
          </a:extLst>
        </xdr:cNvPr>
        <xdr:cNvPicPr>
          <a:picLocks noChangeAspect="1"/>
        </xdr:cNvPicPr>
      </xdr:nvPicPr>
      <xdr:blipFill>
        <a:blip xmlns:r="http://schemas.openxmlformats.org/officeDocument/2006/relationships" r:embed="rId1"/>
        <a:stretch>
          <a:fillRect/>
        </a:stretch>
      </xdr:blipFill>
      <xdr:spPr>
        <a:xfrm>
          <a:off x="476250" y="5067300"/>
          <a:ext cx="5542857" cy="15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1133475</xdr:colOff>
      <xdr:row>10</xdr:row>
      <xdr:rowOff>147637</xdr:rowOff>
    </xdr:from>
    <xdr:to>
      <xdr:col>10</xdr:col>
      <xdr:colOff>19050</xdr:colOff>
      <xdr:row>25</xdr:row>
      <xdr:rowOff>33337</xdr:rowOff>
    </xdr:to>
    <xdr:graphicFrame macro="">
      <xdr:nvGraphicFramePr>
        <xdr:cNvPr id="3" name="Chart 2">
          <a:extLst>
            <a:ext uri="{FF2B5EF4-FFF2-40B4-BE49-F238E27FC236}">
              <a16:creationId xmlns:a16="http://schemas.microsoft.com/office/drawing/2014/main" id="{B2FCBDC9-6F91-41AF-86B6-9C94BEF93F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glassdoor.com/Salary/Facebook-Software-Engineer-IV-Salaries-E40772_D_KO9,29.htm" TargetMode="External"/><Relationship Id="rId2" Type="http://schemas.openxmlformats.org/officeDocument/2006/relationships/hyperlink" Target="https://www.glassdoor.com/Salary/Facebook-Senior-Software-Engineer-Salaries-E40772_D_KO9,33.htm" TargetMode="External"/><Relationship Id="rId1" Type="http://schemas.openxmlformats.org/officeDocument/2006/relationships/hyperlink" Target="https://www.glassdoor.com/Salary/Facebook-Software-Engineer-V-Salaries-E40772_D_KO9,28.ht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glassdoor.com/Salary/Facebook-Software-Engineer-IV-Salaries-E40772_D_KO9,29.htm" TargetMode="External"/><Relationship Id="rId7" Type="http://schemas.openxmlformats.org/officeDocument/2006/relationships/comments" Target="../comments4.xml"/><Relationship Id="rId2" Type="http://schemas.openxmlformats.org/officeDocument/2006/relationships/hyperlink" Target="https://www.glassdoor.com/Salary/Facebook-Senior-Software-Engineer-Salaries-E40772_D_KO9,33.htm" TargetMode="External"/><Relationship Id="rId1" Type="http://schemas.openxmlformats.org/officeDocument/2006/relationships/hyperlink" Target="https://www.glassdoor.com/Salary/Facebook-Software-Engineer-V-Salaries-E40772_D_KO9,28.htm" TargetMode="External"/><Relationship Id="rId6" Type="http://schemas.openxmlformats.org/officeDocument/2006/relationships/vmlDrawing" Target="../drawings/vmlDrawing4.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E6A98-0ABE-4E77-999D-6C960BAE830E}">
  <dimension ref="B4:XFD3144"/>
  <sheetViews>
    <sheetView showGridLines="0" workbookViewId="0">
      <selection activeCell="C4" sqref="C4"/>
    </sheetView>
  </sheetViews>
  <sheetFormatPr defaultRowHeight="15"/>
  <cols>
    <col min="2" max="2" width="40.7109375" bestFit="1" customWidth="1"/>
    <col min="3" max="3" width="16.7109375" customWidth="1"/>
    <col min="4" max="4" width="11.5703125" bestFit="1" customWidth="1"/>
    <col min="5" max="6" width="9" bestFit="1" customWidth="1"/>
    <col min="7" max="8" width="9.7109375" bestFit="1" customWidth="1"/>
    <col min="9" max="13" width="10.5703125" bestFit="1" customWidth="1"/>
    <col min="14" max="15" width="13.28515625" bestFit="1" customWidth="1"/>
  </cols>
  <sheetData>
    <row r="4" spans="2:3">
      <c r="B4" s="21" t="s">
        <v>69</v>
      </c>
      <c r="C4" s="4"/>
    </row>
    <row r="5" spans="2:3">
      <c r="B5" s="5" t="s">
        <v>51</v>
      </c>
      <c r="C5" s="13">
        <f>Recruitment!D24</f>
        <v>1347.5780799333309</v>
      </c>
    </row>
    <row r="6" spans="2:3">
      <c r="B6" s="5" t="s">
        <v>55</v>
      </c>
      <c r="C6" s="13">
        <f>'Code Quality'!C21</f>
        <v>13598.750611232381</v>
      </c>
    </row>
    <row r="7" spans="2:3">
      <c r="B7" s="5" t="s">
        <v>52</v>
      </c>
      <c r="C7" s="23">
        <f>'Goodwill &amp; Prestige'!C24</f>
        <v>5073.4624841534787</v>
      </c>
    </row>
    <row r="8" spans="2:3">
      <c r="B8" s="5" t="s">
        <v>53</v>
      </c>
      <c r="C8" s="13">
        <f>'R&amp;D'!C35</f>
        <v>1006.2191693989703</v>
      </c>
    </row>
    <row r="9" spans="2:3">
      <c r="B9" s="11" t="s">
        <v>54</v>
      </c>
      <c r="C9" s="22">
        <f>SUM(C5:C7)-C8</f>
        <v>19013.572005920221</v>
      </c>
    </row>
    <row r="21" spans="15:15">
      <c r="O21" s="1" t="s">
        <v>17</v>
      </c>
    </row>
    <row r="22" spans="15:15">
      <c r="O22" s="1" t="s">
        <v>17</v>
      </c>
    </row>
    <row r="23" spans="15:15">
      <c r="O23" s="1" t="s">
        <v>17</v>
      </c>
    </row>
    <row r="25" spans="15:15">
      <c r="O25" s="1" t="s">
        <v>17</v>
      </c>
    </row>
    <row r="3144" spans="16384:16384">
      <c r="XFD314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31A0-170E-4EF8-A568-85C60B4FEF30}">
  <dimension ref="C3:Q24"/>
  <sheetViews>
    <sheetView tabSelected="1" workbookViewId="0">
      <selection activeCell="L7" sqref="L7"/>
    </sheetView>
  </sheetViews>
  <sheetFormatPr defaultRowHeight="15"/>
  <cols>
    <col min="3" max="3" width="55.28515625" bestFit="1" customWidth="1"/>
    <col min="4" max="17" width="15.28515625" bestFit="1" customWidth="1"/>
  </cols>
  <sheetData>
    <row r="3" spans="3:6" ht="16.5">
      <c r="C3" s="86" t="s">
        <v>0</v>
      </c>
      <c r="D3" s="87"/>
      <c r="E3" s="87"/>
      <c r="F3" s="88"/>
    </row>
    <row r="4" spans="3:6" ht="16.5">
      <c r="C4" s="89" t="s">
        <v>8</v>
      </c>
      <c r="D4" s="90" t="s">
        <v>1</v>
      </c>
      <c r="E4" s="90" t="s">
        <v>2</v>
      </c>
      <c r="F4" s="91" t="s">
        <v>9</v>
      </c>
    </row>
    <row r="5" spans="3:6" ht="16.5">
      <c r="C5" s="92" t="s">
        <v>25</v>
      </c>
      <c r="D5" s="93">
        <v>132550</v>
      </c>
      <c r="E5" s="93">
        <v>39750</v>
      </c>
      <c r="F5" s="94">
        <f>SUM(D5:E5)</f>
        <v>172300</v>
      </c>
    </row>
    <row r="8" spans="3:6">
      <c r="C8" s="26" t="s">
        <v>26</v>
      </c>
      <c r="D8" s="27">
        <v>0.3</v>
      </c>
      <c r="E8" s="29"/>
    </row>
    <row r="9" spans="3:6">
      <c r="C9" s="5" t="s">
        <v>32</v>
      </c>
      <c r="D9" s="28">
        <v>0.8</v>
      </c>
      <c r="E9" s="7"/>
    </row>
    <row r="10" spans="3:6">
      <c r="C10" s="5" t="s">
        <v>31</v>
      </c>
      <c r="D10" s="28">
        <v>0.95</v>
      </c>
      <c r="E10" s="7"/>
    </row>
    <row r="11" spans="3:6">
      <c r="C11" s="5"/>
      <c r="D11" s="6"/>
      <c r="E11" s="7"/>
    </row>
    <row r="12" spans="3:6">
      <c r="C12" s="5" t="s">
        <v>34</v>
      </c>
      <c r="D12" s="12">
        <f>$F$5*(1-D9)*$D$8</f>
        <v>10337.999999999998</v>
      </c>
      <c r="E12" s="7"/>
    </row>
    <row r="13" spans="3:6">
      <c r="C13" s="5" t="s">
        <v>35</v>
      </c>
      <c r="D13" s="12">
        <f>$F$5*(1-D10)*$D$8</f>
        <v>2584.5000000000023</v>
      </c>
      <c r="E13" s="7"/>
    </row>
    <row r="14" spans="3:6">
      <c r="C14" s="5" t="s">
        <v>27</v>
      </c>
      <c r="D14" s="6"/>
      <c r="E14" s="13">
        <v>5000</v>
      </c>
    </row>
    <row r="15" spans="3:6">
      <c r="C15" s="11" t="s">
        <v>36</v>
      </c>
      <c r="D15" s="16">
        <f>D12-D13</f>
        <v>7753.4999999999964</v>
      </c>
      <c r="E15" s="30"/>
    </row>
    <row r="17" spans="3:17">
      <c r="C17" s="26" t="s">
        <v>29</v>
      </c>
      <c r="D17" s="31">
        <v>2015</v>
      </c>
      <c r="E17" s="31">
        <v>2016</v>
      </c>
      <c r="F17" s="31">
        <v>2017</v>
      </c>
      <c r="G17" s="31">
        <v>2018</v>
      </c>
      <c r="H17" s="31">
        <v>2019</v>
      </c>
      <c r="I17" s="31">
        <v>2020</v>
      </c>
      <c r="J17" s="31">
        <v>2021</v>
      </c>
      <c r="K17" s="31">
        <v>2022</v>
      </c>
      <c r="L17" s="31">
        <v>2023</v>
      </c>
      <c r="M17" s="31">
        <v>2024</v>
      </c>
      <c r="N17" s="31">
        <v>2025</v>
      </c>
      <c r="O17" s="31">
        <v>2026</v>
      </c>
      <c r="P17" s="31">
        <v>2027</v>
      </c>
      <c r="Q17" s="29">
        <v>2028</v>
      </c>
    </row>
    <row r="18" spans="3:17">
      <c r="C18" s="5" t="s">
        <v>28</v>
      </c>
      <c r="D18" s="32">
        <f>Constants!D17</f>
        <v>12691</v>
      </c>
      <c r="E18" s="32">
        <f>Constants!E17</f>
        <v>17048</v>
      </c>
      <c r="F18" s="32">
        <f>Constants!F17</f>
        <v>25105</v>
      </c>
      <c r="G18" s="32">
        <f>Constants!G17</f>
        <v>30275</v>
      </c>
      <c r="H18" s="32">
        <f>Constants!H17</f>
        <v>34639.279028082055</v>
      </c>
      <c r="I18" s="32">
        <f>Constants!I17</f>
        <v>38134.665826004391</v>
      </c>
      <c r="J18" s="32">
        <f>Constants!J17</f>
        <v>40828.335782423899</v>
      </c>
      <c r="K18" s="32">
        <f>Constants!K17</f>
        <v>42847.093292419166</v>
      </c>
      <c r="L18" s="32">
        <f>Constants!L17</f>
        <v>44330.095790452469</v>
      </c>
      <c r="M18" s="32">
        <f>Constants!M17</f>
        <v>45404.127805708216</v>
      </c>
      <c r="N18" s="32">
        <f>Constants!N17</f>
        <v>46174.165411379661</v>
      </c>
      <c r="O18" s="32">
        <f>Constants!O17</f>
        <v>46722.333427084835</v>
      </c>
      <c r="P18" s="32">
        <f>Constants!P17</f>
        <v>47110.606436525522</v>
      </c>
      <c r="Q18" s="38">
        <f>Constants!Q17</f>
        <v>47384.656187836903</v>
      </c>
    </row>
    <row r="19" spans="3:17">
      <c r="C19" s="5" t="s">
        <v>33</v>
      </c>
      <c r="D19" s="33">
        <f>D18*Constants!$C$10</f>
        <v>5710.95</v>
      </c>
      <c r="E19" s="33">
        <f>E18*Constants!$C$10</f>
        <v>7671.6</v>
      </c>
      <c r="F19" s="33">
        <f>F18*Constants!$C$10</f>
        <v>11297.25</v>
      </c>
      <c r="G19" s="33">
        <f>G18*Constants!$C$10</f>
        <v>13623.75</v>
      </c>
      <c r="H19" s="33">
        <f>H18*Constants!$C$10</f>
        <v>15587.675562636925</v>
      </c>
      <c r="I19" s="33">
        <f>I18*Constants!$C$10</f>
        <v>17160.599621701978</v>
      </c>
      <c r="J19" s="33">
        <f>J18*Constants!$C$10</f>
        <v>18372.751102090755</v>
      </c>
      <c r="K19" s="33">
        <f>K18*Constants!$C$10</f>
        <v>19281.191981588625</v>
      </c>
      <c r="L19" s="33">
        <f>L18*Constants!$C$10</f>
        <v>19948.543105703611</v>
      </c>
      <c r="M19" s="33">
        <f>M18*Constants!$C$10</f>
        <v>20431.857512568698</v>
      </c>
      <c r="N19" s="33">
        <f>N18*Constants!$C$10</f>
        <v>20778.374435120848</v>
      </c>
      <c r="O19" s="33">
        <f>O18*Constants!$C$10</f>
        <v>21025.050042188177</v>
      </c>
      <c r="P19" s="33">
        <f>P18*Constants!$C$10</f>
        <v>21199.772896436487</v>
      </c>
      <c r="Q19" s="34">
        <f>Q18*Constants!$C$10</f>
        <v>21323.095284526607</v>
      </c>
    </row>
    <row r="20" spans="3:17">
      <c r="C20" s="5" t="s">
        <v>37</v>
      </c>
      <c r="D20" s="12">
        <f>D19*$D$15 /1000000</f>
        <v>44.279850824999983</v>
      </c>
      <c r="E20" s="12">
        <f t="shared" ref="E20:Q20" si="0">E19*$D$15 /1000000</f>
        <v>59.48175059999997</v>
      </c>
      <c r="F20" s="12">
        <f t="shared" si="0"/>
        <v>87.593227874999954</v>
      </c>
      <c r="G20" s="12">
        <f t="shared" si="0"/>
        <v>105.63174562499995</v>
      </c>
      <c r="H20" s="12">
        <f t="shared" si="0"/>
        <v>120.85904247490534</v>
      </c>
      <c r="I20" s="12">
        <f t="shared" si="0"/>
        <v>133.05470916686622</v>
      </c>
      <c r="J20" s="12">
        <f t="shared" si="0"/>
        <v>142.45312567006061</v>
      </c>
      <c r="K20" s="12">
        <f t="shared" si="0"/>
        <v>149.49672202924734</v>
      </c>
      <c r="L20" s="12">
        <f t="shared" si="0"/>
        <v>154.67102897007285</v>
      </c>
      <c r="M20" s="12">
        <f t="shared" si="0"/>
        <v>158.41840722370134</v>
      </c>
      <c r="N20" s="12">
        <f t="shared" si="0"/>
        <v>161.10512618270943</v>
      </c>
      <c r="O20" s="12">
        <f t="shared" si="0"/>
        <v>163.01772550210595</v>
      </c>
      <c r="P20" s="12">
        <f t="shared" si="0"/>
        <v>164.3724391525202</v>
      </c>
      <c r="Q20" s="13">
        <f t="shared" si="0"/>
        <v>165.32861928857696</v>
      </c>
    </row>
    <row r="21" spans="3:17">
      <c r="C21" s="5" t="s">
        <v>38</v>
      </c>
      <c r="D21" s="14">
        <f>(1+Constants!$C$4)^(D17-Constants!$C$7)</f>
        <v>0.80743667691115995</v>
      </c>
      <c r="E21" s="14">
        <f>(1+Constants!$C$4)^(E17-Constants!$C$7)</f>
        <v>0.86710624733489461</v>
      </c>
      <c r="F21" s="14">
        <f>(1+Constants!$C$4)^(F17-Constants!$C$7)</f>
        <v>0.93118539901294339</v>
      </c>
      <c r="G21" s="14">
        <f>(1+Constants!$C$4)^(G17-Constants!$C$7)</f>
        <v>1</v>
      </c>
      <c r="H21" s="14">
        <f>(1+Constants!$C$4)^(H17-Constants!$C$7)</f>
        <v>1.0739000000000001</v>
      </c>
      <c r="I21" s="14">
        <f>(1+Constants!$C$4)^(I17-Constants!$C$7)</f>
        <v>1.1532612100000001</v>
      </c>
      <c r="J21" s="14">
        <f>(1+Constants!$C$4)^(J17-Constants!$C$7)</f>
        <v>1.2384872134190001</v>
      </c>
      <c r="K21" s="14">
        <f>(1+Constants!$C$4)^(K17-Constants!$C$7)</f>
        <v>1.3300114184906644</v>
      </c>
      <c r="L21" s="14">
        <f>(1+Constants!$C$4)^(L17-Constants!$C$7)</f>
        <v>1.4282992623171247</v>
      </c>
      <c r="M21" s="14">
        <f>(1+Constants!$C$4)^(M17-Constants!$C$7)</f>
        <v>1.5338505778023601</v>
      </c>
      <c r="N21" s="14">
        <f>(1+Constants!$C$4)^(N17-Constants!$C$7)</f>
        <v>1.6472021355019546</v>
      </c>
      <c r="O21" s="14">
        <f>(1+Constants!$C$4)^(O17-Constants!$C$7)</f>
        <v>1.7689303733155493</v>
      </c>
      <c r="P21" s="14">
        <f>(1+Constants!$C$4)^(P17-Constants!$C$7)</f>
        <v>1.8996543279035685</v>
      </c>
      <c r="Q21" s="15">
        <f>(1+Constants!$C$4)^(Q17-Constants!$C$7)</f>
        <v>2.0400387827356421</v>
      </c>
    </row>
    <row r="22" spans="3:17">
      <c r="C22" s="5" t="s">
        <v>40</v>
      </c>
      <c r="D22" s="35">
        <f>D20/D21</f>
        <v>54.840029058863244</v>
      </c>
      <c r="E22" s="35">
        <f t="shared" ref="E22:F22" si="1">E20/E21</f>
        <v>68.597995669874209</v>
      </c>
      <c r="F22" s="35">
        <f t="shared" si="1"/>
        <v>94.066367414962457</v>
      </c>
      <c r="G22" s="35">
        <f t="shared" ref="G22" si="2">G20/G21</f>
        <v>105.63174562499995</v>
      </c>
      <c r="H22" s="35">
        <f t="shared" ref="H22" si="3">H20/H21</f>
        <v>112.542175691317</v>
      </c>
      <c r="I22" s="35">
        <f t="shared" ref="I22" si="4">I20/I21</f>
        <v>115.37256955591717</v>
      </c>
      <c r="J22" s="35">
        <f t="shared" ref="J22" si="5">J20/J21</f>
        <v>115.02187840664159</v>
      </c>
      <c r="K22" s="35">
        <f t="shared" ref="K22" si="6">K20/K21</f>
        <v>112.40258538449284</v>
      </c>
      <c r="L22" s="35">
        <f t="shared" ref="L22" si="7">L20/L21</f>
        <v>108.2903513645667</v>
      </c>
      <c r="M22" s="35">
        <f t="shared" ref="M22" si="8">M20/M21</f>
        <v>103.28151223874552</v>
      </c>
      <c r="N22" s="35">
        <f t="shared" ref="N22" si="9">N20/N21</f>
        <v>97.80531648814042</v>
      </c>
      <c r="O22" s="35">
        <f t="shared" ref="O22" si="10">O20/O21</f>
        <v>92.156100636430281</v>
      </c>
      <c r="P22" s="35">
        <f t="shared" ref="P22" si="11">P20/P21</f>
        <v>86.527552269953915</v>
      </c>
      <c r="Q22" s="36">
        <f t="shared" ref="Q22" si="12">Q20/Q21</f>
        <v>81.041900128425667</v>
      </c>
    </row>
    <row r="23" spans="3:17">
      <c r="C23" s="5"/>
      <c r="D23" s="12"/>
      <c r="E23" s="6"/>
      <c r="F23" s="6"/>
      <c r="G23" s="6"/>
      <c r="H23" s="6"/>
      <c r="I23" s="6"/>
      <c r="J23" s="6"/>
      <c r="K23" s="6"/>
      <c r="L23" s="6"/>
      <c r="M23" s="6"/>
      <c r="N23" s="6"/>
      <c r="O23" s="6"/>
      <c r="P23" s="6"/>
      <c r="Q23" s="7"/>
    </row>
    <row r="24" spans="3:17">
      <c r="C24" s="11" t="s">
        <v>39</v>
      </c>
      <c r="D24" s="16">
        <f>SUM(D22:Q22)</f>
        <v>1347.5780799333309</v>
      </c>
      <c r="E24" s="37"/>
      <c r="F24" s="37"/>
      <c r="G24" s="37"/>
      <c r="H24" s="37"/>
      <c r="I24" s="37"/>
      <c r="J24" s="37"/>
      <c r="K24" s="37"/>
      <c r="L24" s="37"/>
      <c r="M24" s="37"/>
      <c r="N24" s="37"/>
      <c r="O24" s="37"/>
      <c r="P24" s="37"/>
      <c r="Q24" s="3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164D5-DA3D-46A2-BBE0-6D9ECC87056D}">
  <dimension ref="B3:P21"/>
  <sheetViews>
    <sheetView showGridLines="0" workbookViewId="0">
      <selection activeCell="C17" sqref="C17"/>
    </sheetView>
  </sheetViews>
  <sheetFormatPr defaultRowHeight="15"/>
  <cols>
    <col min="2" max="2" width="38.140625" bestFit="1" customWidth="1"/>
    <col min="3" max="16" width="18" bestFit="1" customWidth="1"/>
  </cols>
  <sheetData>
    <row r="3" spans="2:16" ht="15.75">
      <c r="B3" s="39" t="s">
        <v>0</v>
      </c>
      <c r="C3" s="40"/>
      <c r="D3" s="40"/>
      <c r="E3" s="41"/>
    </row>
    <row r="4" spans="2:16" ht="15.75">
      <c r="B4" s="42" t="s">
        <v>8</v>
      </c>
      <c r="C4" s="43" t="s">
        <v>1</v>
      </c>
      <c r="D4" s="43" t="s">
        <v>2</v>
      </c>
      <c r="E4" s="44" t="s">
        <v>9</v>
      </c>
      <c r="G4" s="51" t="s">
        <v>43</v>
      </c>
    </row>
    <row r="5" spans="2:16" ht="15.75">
      <c r="B5" s="45" t="s">
        <v>3</v>
      </c>
      <c r="C5" s="46">
        <v>111500</v>
      </c>
      <c r="D5" s="46">
        <v>39750</v>
      </c>
      <c r="E5" s="47">
        <f>D5+C5</f>
        <v>151250</v>
      </c>
    </row>
    <row r="6" spans="2:16" ht="15.75">
      <c r="B6" s="45" t="s">
        <v>7</v>
      </c>
      <c r="C6" s="46">
        <v>143135</v>
      </c>
      <c r="D6" s="46">
        <v>39750</v>
      </c>
      <c r="E6" s="47">
        <f t="shared" ref="E6:E9" si="0">D6+C6</f>
        <v>182885</v>
      </c>
    </row>
    <row r="7" spans="2:16" ht="15.75">
      <c r="B7" s="45" t="s">
        <v>4</v>
      </c>
      <c r="C7" s="46">
        <v>139435</v>
      </c>
      <c r="D7" s="46">
        <v>39750</v>
      </c>
      <c r="E7" s="47">
        <f t="shared" si="0"/>
        <v>179185</v>
      </c>
    </row>
    <row r="8" spans="2:16" ht="15.75">
      <c r="B8" s="45" t="s">
        <v>5</v>
      </c>
      <c r="C8" s="46">
        <v>167500</v>
      </c>
      <c r="D8" s="46">
        <v>39750</v>
      </c>
      <c r="E8" s="47">
        <f t="shared" si="0"/>
        <v>207250</v>
      </c>
    </row>
    <row r="9" spans="2:16" ht="15.75">
      <c r="B9" s="48" t="s">
        <v>6</v>
      </c>
      <c r="C9" s="49">
        <v>160000</v>
      </c>
      <c r="D9" s="49">
        <v>39750</v>
      </c>
      <c r="E9" s="50">
        <f t="shared" si="0"/>
        <v>199750</v>
      </c>
    </row>
    <row r="11" spans="2:16" ht="15.75">
      <c r="C11" s="18"/>
    </row>
    <row r="12" spans="2:16">
      <c r="B12" s="26" t="s">
        <v>29</v>
      </c>
      <c r="C12" s="31">
        <v>2015</v>
      </c>
      <c r="D12" s="31">
        <v>2016</v>
      </c>
      <c r="E12" s="29">
        <v>2017</v>
      </c>
      <c r="F12" s="31">
        <v>2018</v>
      </c>
      <c r="G12" s="31">
        <v>2019</v>
      </c>
      <c r="H12" s="31">
        <v>2020</v>
      </c>
      <c r="I12" s="31">
        <v>2021</v>
      </c>
      <c r="J12" s="31">
        <v>2022</v>
      </c>
      <c r="K12" s="31">
        <v>2023</v>
      </c>
      <c r="L12" s="31">
        <v>2024</v>
      </c>
      <c r="M12" s="31">
        <v>2025</v>
      </c>
      <c r="N12" s="31">
        <v>2026</v>
      </c>
      <c r="O12" s="31">
        <v>2027</v>
      </c>
      <c r="P12" s="29">
        <v>2028</v>
      </c>
    </row>
    <row r="13" spans="2:16">
      <c r="B13" s="5" t="s">
        <v>28</v>
      </c>
      <c r="C13" s="32">
        <f>Constants!D17</f>
        <v>12691</v>
      </c>
      <c r="D13" s="32">
        <f>Constants!E17</f>
        <v>17048</v>
      </c>
      <c r="E13" s="38">
        <f>Constants!F17</f>
        <v>25105</v>
      </c>
      <c r="F13" s="32">
        <f>Constants!G17</f>
        <v>30275</v>
      </c>
      <c r="G13" s="32">
        <f>Constants!H17</f>
        <v>34639.279028082055</v>
      </c>
      <c r="H13" s="32">
        <f>Constants!I17</f>
        <v>38134.665826004391</v>
      </c>
      <c r="I13" s="32">
        <f>Constants!J17</f>
        <v>40828.335782423899</v>
      </c>
      <c r="J13" s="32">
        <f>Constants!K17</f>
        <v>42847.093292419166</v>
      </c>
      <c r="K13" s="32">
        <f>Constants!L17</f>
        <v>44330.095790452469</v>
      </c>
      <c r="L13" s="32">
        <f>Constants!M17</f>
        <v>45404.127805708216</v>
      </c>
      <c r="M13" s="32">
        <f>Constants!N17</f>
        <v>46174.165411379661</v>
      </c>
      <c r="N13" s="32">
        <f>Constants!O17</f>
        <v>46722.333427084835</v>
      </c>
      <c r="O13" s="32">
        <f>Constants!P17</f>
        <v>47110.606436525522</v>
      </c>
      <c r="P13" s="38">
        <f>Constants!Q17</f>
        <v>47384.656187836903</v>
      </c>
    </row>
    <row r="14" spans="2:16">
      <c r="B14" s="5" t="s">
        <v>45</v>
      </c>
      <c r="C14" s="12">
        <f>C13*Constants!C13*AVERAGE($E$5:$E$9)/1000000</f>
        <v>1868.7649792000002</v>
      </c>
      <c r="D14" s="12">
        <f t="shared" ref="D14:P14" si="1">D13*AVERAGE($E$5:$E$9) / 1000000</f>
        <v>3137.923072</v>
      </c>
      <c r="E14" s="13">
        <f t="shared" si="1"/>
        <v>4620.9267200000004</v>
      </c>
      <c r="F14" s="12">
        <f t="shared" si="1"/>
        <v>5572.5375999999997</v>
      </c>
      <c r="G14" s="12">
        <f t="shared" si="1"/>
        <v>6375.8442550248956</v>
      </c>
      <c r="H14" s="12">
        <f t="shared" si="1"/>
        <v>7019.2191305976721</v>
      </c>
      <c r="I14" s="12">
        <f t="shared" si="1"/>
        <v>7515.0267974560729</v>
      </c>
      <c r="J14" s="12">
        <f t="shared" si="1"/>
        <v>7886.6073797758418</v>
      </c>
      <c r="K14" s="12">
        <f t="shared" si="1"/>
        <v>8159.5747515738431</v>
      </c>
      <c r="L14" s="12">
        <f t="shared" si="1"/>
        <v>8357.265380429877</v>
      </c>
      <c r="M14" s="12">
        <f t="shared" si="1"/>
        <v>8499.0015822801852</v>
      </c>
      <c r="N14" s="12">
        <f t="shared" si="1"/>
        <v>8599.8995799229433</v>
      </c>
      <c r="O14" s="12">
        <f t="shared" si="1"/>
        <v>8671.3666631326323</v>
      </c>
      <c r="P14" s="13">
        <f t="shared" si="1"/>
        <v>8721.8093565580111</v>
      </c>
    </row>
    <row r="15" spans="2:16">
      <c r="B15" s="5" t="s">
        <v>46</v>
      </c>
      <c r="C15" s="12">
        <f>C14*Constants!$C$10</f>
        <v>840.94424064000009</v>
      </c>
      <c r="D15" s="12">
        <f>D14*Constants!$C$10</f>
        <v>1412.0653824000001</v>
      </c>
      <c r="E15" s="13">
        <f>E14*Constants!$C$10</f>
        <v>2079.4170240000003</v>
      </c>
      <c r="F15" s="12">
        <f>F14*Constants!$C$10</f>
        <v>2507.64192</v>
      </c>
      <c r="G15" s="12">
        <f>G14*Constants!$C$10</f>
        <v>2869.1299147612031</v>
      </c>
      <c r="H15" s="12">
        <f>H14*Constants!$C$10</f>
        <v>3158.6486087689527</v>
      </c>
      <c r="I15" s="12">
        <f>I14*Constants!$C$10</f>
        <v>3381.7620588552327</v>
      </c>
      <c r="J15" s="12">
        <f>J14*Constants!$C$10</f>
        <v>3548.9733208991288</v>
      </c>
      <c r="K15" s="12">
        <f>K14*Constants!$C$10</f>
        <v>3671.8086382082292</v>
      </c>
      <c r="L15" s="12">
        <f>L14*Constants!$C$10</f>
        <v>3760.7694211934449</v>
      </c>
      <c r="M15" s="12">
        <f>M14*Constants!$C$10</f>
        <v>3824.5507120260836</v>
      </c>
      <c r="N15" s="12">
        <f>N14*Constants!$C$10</f>
        <v>3869.9548109653247</v>
      </c>
      <c r="O15" s="12">
        <f>O14*Constants!$C$10</f>
        <v>3902.1149984096846</v>
      </c>
      <c r="P15" s="13">
        <f>P14*Constants!$C$10</f>
        <v>3924.8142104511053</v>
      </c>
    </row>
    <row r="16" spans="2:16">
      <c r="B16" s="5" t="s">
        <v>48</v>
      </c>
      <c r="C16" s="12">
        <f>C15/(1-Constants!$C$21)</f>
        <v>1201.3489152000002</v>
      </c>
      <c r="D16" s="12">
        <f>D15/(1-Constants!$C$21)</f>
        <v>2017.2362605714288</v>
      </c>
      <c r="E16" s="13">
        <f>E15/(1-Constants!$C$21)</f>
        <v>2970.5957485714293</v>
      </c>
      <c r="F16" s="12">
        <f>F15/(1-Constants!$C$21)</f>
        <v>3582.3456000000001</v>
      </c>
      <c r="G16" s="12">
        <f>G15/(1-Constants!$C$21)</f>
        <v>4098.7570210874328</v>
      </c>
      <c r="H16" s="12">
        <f>H15/(1-Constants!$C$21)</f>
        <v>4512.3551553842181</v>
      </c>
      <c r="I16" s="12">
        <f>I15/(1-Constants!$C$21)</f>
        <v>4831.0886555074758</v>
      </c>
      <c r="J16" s="12">
        <f>J15/(1-Constants!$C$21)</f>
        <v>5069.9618869987553</v>
      </c>
      <c r="K16" s="12">
        <f>K15/(1-Constants!$C$21)</f>
        <v>5245.440911726042</v>
      </c>
      <c r="L16" s="12">
        <f>L15/(1-Constants!$C$21)</f>
        <v>5372.527744562065</v>
      </c>
      <c r="M16" s="12">
        <f>M15/(1-Constants!$C$21)</f>
        <v>5463.6438743229774</v>
      </c>
      <c r="N16" s="12">
        <f>N15/(1-Constants!$C$21)</f>
        <v>5528.5068728076067</v>
      </c>
      <c r="O16" s="12">
        <f>O15/(1-Constants!$C$21)</f>
        <v>5574.4499977281212</v>
      </c>
      <c r="P16" s="13">
        <f>P15/(1-Constants!$C$21)</f>
        <v>5606.8774435015794</v>
      </c>
    </row>
    <row r="17" spans="2:16">
      <c r="B17" s="5" t="s">
        <v>36</v>
      </c>
      <c r="C17" s="12">
        <f>C16-C15</f>
        <v>360.4046745600001</v>
      </c>
      <c r="D17" s="12">
        <f t="shared" ref="D17:P17" si="2">D16-D15</f>
        <v>605.17087817142874</v>
      </c>
      <c r="E17" s="13">
        <f t="shared" si="2"/>
        <v>891.17872457142903</v>
      </c>
      <c r="F17" s="12">
        <f t="shared" si="2"/>
        <v>1074.7036800000001</v>
      </c>
      <c r="G17" s="12">
        <f t="shared" si="2"/>
        <v>1229.6271063262298</v>
      </c>
      <c r="H17" s="12">
        <f t="shared" si="2"/>
        <v>1353.7065466152653</v>
      </c>
      <c r="I17" s="12">
        <f t="shared" si="2"/>
        <v>1449.3265966522431</v>
      </c>
      <c r="J17" s="12">
        <f t="shared" si="2"/>
        <v>1520.9885660996265</v>
      </c>
      <c r="K17" s="12">
        <f t="shared" si="2"/>
        <v>1573.6322735178128</v>
      </c>
      <c r="L17" s="12">
        <f t="shared" si="2"/>
        <v>1611.75832336862</v>
      </c>
      <c r="M17" s="12">
        <f t="shared" si="2"/>
        <v>1639.0931622968938</v>
      </c>
      <c r="N17" s="12">
        <f t="shared" si="2"/>
        <v>1658.552061842282</v>
      </c>
      <c r="O17" s="12">
        <f t="shared" si="2"/>
        <v>1672.3349993184365</v>
      </c>
      <c r="P17" s="13">
        <f t="shared" si="2"/>
        <v>1682.0632330504741</v>
      </c>
    </row>
    <row r="18" spans="2:16">
      <c r="B18" s="5" t="s">
        <v>38</v>
      </c>
      <c r="C18" s="14">
        <f>(1+Constants!$C$4)^(C12-Constants!$C$7)</f>
        <v>0.80743667691115995</v>
      </c>
      <c r="D18" s="14">
        <f>(1+Constants!$C$4)^(D12-Constants!$C$7)</f>
        <v>0.86710624733489461</v>
      </c>
      <c r="E18" s="15">
        <f>(1+Constants!$C$4)^(E12-Constants!$C$7)</f>
        <v>0.93118539901294339</v>
      </c>
      <c r="F18" s="14">
        <f>(1+Constants!$C$4)^(F12-Constants!$C$7)</f>
        <v>1</v>
      </c>
      <c r="G18" s="14">
        <f>(1+Constants!$C$4)^(G12-Constants!$C$7)</f>
        <v>1.0739000000000001</v>
      </c>
      <c r="H18" s="14">
        <f>(1+Constants!$C$4)^(H12-Constants!$C$7)</f>
        <v>1.1532612100000001</v>
      </c>
      <c r="I18" s="14">
        <f>(1+Constants!$C$4)^(I12-Constants!$C$7)</f>
        <v>1.2384872134190001</v>
      </c>
      <c r="J18" s="14">
        <f>(1+Constants!$C$4)^(J12-Constants!$C$7)</f>
        <v>1.3300114184906644</v>
      </c>
      <c r="K18" s="14">
        <f>(1+Constants!$C$4)^(K12-Constants!$C$7)</f>
        <v>1.4282992623171247</v>
      </c>
      <c r="L18" s="14">
        <f>(1+Constants!$C$4)^(L12-Constants!$C$7)</f>
        <v>1.5338505778023601</v>
      </c>
      <c r="M18" s="14">
        <f>(1+Constants!$C$4)^(M12-Constants!$C$7)</f>
        <v>1.6472021355019546</v>
      </c>
      <c r="N18" s="14">
        <f>(1+Constants!$C$4)^(N12-Constants!$C$7)</f>
        <v>1.7689303733155493</v>
      </c>
      <c r="O18" s="14">
        <f>(1+Constants!$C$4)^(O12-Constants!$C$7)</f>
        <v>1.8996543279035685</v>
      </c>
      <c r="P18" s="15">
        <f>(1+Constants!$C$4)^(P12-Constants!$C$7)</f>
        <v>2.0400387827356421</v>
      </c>
    </row>
    <row r="19" spans="2:16">
      <c r="B19" s="11" t="s">
        <v>49</v>
      </c>
      <c r="C19" s="16">
        <f>C17/C18</f>
        <v>446.35658109899612</v>
      </c>
      <c r="D19" s="16">
        <f t="shared" ref="D19:P19" si="3">D17/D18</f>
        <v>697.92009921674457</v>
      </c>
      <c r="E19" s="17">
        <f t="shared" si="3"/>
        <v>957.03683231725768</v>
      </c>
      <c r="F19" s="16">
        <f t="shared" si="3"/>
        <v>1074.7036800000001</v>
      </c>
      <c r="G19" s="16">
        <f t="shared" si="3"/>
        <v>1145.0108076415213</v>
      </c>
      <c r="H19" s="16">
        <f t="shared" si="3"/>
        <v>1173.8074036282424</v>
      </c>
      <c r="I19" s="16">
        <f t="shared" si="3"/>
        <v>1170.2394509598482</v>
      </c>
      <c r="J19" s="16">
        <f t="shared" si="3"/>
        <v>1143.5906075345492</v>
      </c>
      <c r="K19" s="16">
        <f t="shared" si="3"/>
        <v>1101.7524933569698</v>
      </c>
      <c r="L19" s="16">
        <f t="shared" si="3"/>
        <v>1050.7922653573487</v>
      </c>
      <c r="M19" s="16">
        <f t="shared" si="3"/>
        <v>995.07712318343386</v>
      </c>
      <c r="N19" s="16">
        <f t="shared" si="3"/>
        <v>937.60166418173799</v>
      </c>
      <c r="O19" s="16">
        <f t="shared" si="3"/>
        <v>880.33647740744584</v>
      </c>
      <c r="P19" s="17">
        <f t="shared" si="3"/>
        <v>824.52512534828793</v>
      </c>
    </row>
    <row r="21" spans="2:16">
      <c r="B21" s="52" t="s">
        <v>50</v>
      </c>
      <c r="C21" s="53">
        <f>SUM(C19:P19)</f>
        <v>13598.750611232381</v>
      </c>
    </row>
  </sheetData>
  <hyperlinks>
    <hyperlink ref="B9" r:id="rId1" display="https://www.glassdoor.com/Salary/Facebook-Software-Engineer-V-Salaries-E40772_D_KO9,28.htm" xr:uid="{528A953A-7D8A-40B5-88A6-DE1EAE8391AB}"/>
    <hyperlink ref="B8" r:id="rId2" display="https://www.glassdoor.com/Salary/Facebook-Senior-Software-Engineer-Salaries-E40772_D_KO9,33.htm" xr:uid="{DB926CA7-AEFA-4B63-94EB-8B258FF594D3}"/>
    <hyperlink ref="B7" r:id="rId3" display="https://www.glassdoor.com/Salary/Facebook-Software-Engineer-IV-Salaries-E40772_D_KO9,29.htm" xr:uid="{A28EBDE0-787C-489D-879C-A88C2B1EABC1}"/>
  </hyperlinks>
  <pageMargins left="0.7" right="0.7" top="0.75" bottom="0.75" header="0.3" footer="0.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D4D6-6A34-48B2-9E04-4597F948A02D}">
  <dimension ref="B3:P24"/>
  <sheetViews>
    <sheetView showGridLines="0" workbookViewId="0">
      <selection activeCell="D21" sqref="D21"/>
    </sheetView>
  </sheetViews>
  <sheetFormatPr defaultRowHeight="15"/>
  <cols>
    <col min="2" max="2" width="33.85546875" bestFit="1" customWidth="1"/>
    <col min="3" max="4" width="11.5703125" bestFit="1" customWidth="1"/>
    <col min="5" max="5" width="14.42578125" bestFit="1" customWidth="1"/>
    <col min="6" max="6" width="15.42578125" bestFit="1" customWidth="1"/>
    <col min="7" max="7" width="15.28515625" bestFit="1" customWidth="1"/>
    <col min="8" max="9" width="16.85546875" bestFit="1" customWidth="1"/>
    <col min="10" max="13" width="18" bestFit="1" customWidth="1"/>
    <col min="14" max="16" width="19" bestFit="1" customWidth="1"/>
  </cols>
  <sheetData>
    <row r="3" spans="2:16">
      <c r="H3" t="s">
        <v>43</v>
      </c>
    </row>
    <row r="4" spans="2:16">
      <c r="B4" s="21" t="s">
        <v>60</v>
      </c>
      <c r="C4" s="3"/>
      <c r="D4" s="3"/>
      <c r="E4" s="3"/>
      <c r="F4" s="3"/>
      <c r="G4" s="3"/>
      <c r="H4" s="3"/>
      <c r="I4" s="3"/>
      <c r="J4" s="3"/>
      <c r="K4" s="3"/>
      <c r="L4" s="3"/>
      <c r="M4" s="3"/>
      <c r="N4" s="3"/>
      <c r="O4" s="3"/>
      <c r="P4" s="4"/>
    </row>
    <row r="5" spans="2:16">
      <c r="B5" s="5" t="s">
        <v>29</v>
      </c>
      <c r="C5" s="6">
        <v>2015</v>
      </c>
      <c r="D5" s="6">
        <v>2016</v>
      </c>
      <c r="E5" s="6">
        <v>2017</v>
      </c>
      <c r="F5" s="6">
        <v>2018</v>
      </c>
      <c r="G5" s="6">
        <v>2019</v>
      </c>
      <c r="H5" s="6">
        <v>2020</v>
      </c>
      <c r="I5" s="6">
        <v>2021</v>
      </c>
      <c r="J5" s="6">
        <v>2022</v>
      </c>
      <c r="K5" s="6">
        <v>2023</v>
      </c>
      <c r="L5" s="6">
        <v>2024</v>
      </c>
      <c r="M5" s="6">
        <v>2025</v>
      </c>
      <c r="N5" s="6">
        <v>2026</v>
      </c>
      <c r="O5" s="6">
        <v>2027</v>
      </c>
      <c r="P5" s="7">
        <v>2028</v>
      </c>
    </row>
    <row r="6" spans="2:16">
      <c r="B6" s="5" t="s">
        <v>56</v>
      </c>
      <c r="C6" s="32">
        <v>23940</v>
      </c>
      <c r="D6" s="32">
        <v>55000</v>
      </c>
      <c r="E6" s="32">
        <f>AVERAGE(F6,D6)</f>
        <v>84281.5</v>
      </c>
      <c r="F6" s="32">
        <v>113563</v>
      </c>
      <c r="G6" s="32">
        <f>F6*(1+G7)</f>
        <v>141181.23756281033</v>
      </c>
      <c r="H6" s="32">
        <f t="shared" ref="H6:P6" si="0">G6*(1+H7)</f>
        <v>165215.68426547654</v>
      </c>
      <c r="I6" s="32">
        <f t="shared" si="0"/>
        <v>184903.90444635972</v>
      </c>
      <c r="J6" s="32">
        <f t="shared" si="0"/>
        <v>200327.98575837797</v>
      </c>
      <c r="K6" s="32">
        <f t="shared" si="0"/>
        <v>212025.48130593411</v>
      </c>
      <c r="L6" s="32">
        <f t="shared" si="0"/>
        <v>220691.85400423105</v>
      </c>
      <c r="M6" s="32">
        <f t="shared" si="0"/>
        <v>227006.27665074007</v>
      </c>
      <c r="N6" s="32">
        <f t="shared" si="0"/>
        <v>231552.84003186491</v>
      </c>
      <c r="O6" s="32">
        <f t="shared" si="0"/>
        <v>234799.17654366474</v>
      </c>
      <c r="P6" s="38">
        <f t="shared" si="0"/>
        <v>237103.47131178135</v>
      </c>
    </row>
    <row r="7" spans="2:16">
      <c r="B7" s="8" t="s">
        <v>19</v>
      </c>
      <c r="C7" s="6"/>
      <c r="D7" s="54">
        <f>(D6-C6)/C6</f>
        <v>1.2974101921470342</v>
      </c>
      <c r="E7" s="54">
        <f>(E6-D6)/D6</f>
        <v>0.53239090909090914</v>
      </c>
      <c r="F7" s="54">
        <f>(F6-E6)/E6</f>
        <v>0.3474249983685625</v>
      </c>
      <c r="G7" s="54">
        <f>F7*0.7</f>
        <v>0.24319749885799374</v>
      </c>
      <c r="H7" s="54">
        <f t="shared" ref="H7:P9" si="1">G7*0.7</f>
        <v>0.1702382492005956</v>
      </c>
      <c r="I7" s="54">
        <f t="shared" si="1"/>
        <v>0.11916677444041691</v>
      </c>
      <c r="J7" s="54">
        <f t="shared" si="1"/>
        <v>8.3416742108291836E-2</v>
      </c>
      <c r="K7" s="54">
        <f t="shared" si="1"/>
        <v>5.839171947580428E-2</v>
      </c>
      <c r="L7" s="54">
        <f t="shared" si="1"/>
        <v>4.0874203633062996E-2</v>
      </c>
      <c r="M7" s="54">
        <f t="shared" si="1"/>
        <v>2.8611942543144094E-2</v>
      </c>
      <c r="N7" s="54">
        <f t="shared" si="1"/>
        <v>2.0028359780200865E-2</v>
      </c>
      <c r="O7" s="54">
        <f t="shared" si="1"/>
        <v>1.4019851846140604E-2</v>
      </c>
      <c r="P7" s="55">
        <f t="shared" si="1"/>
        <v>9.8138962922984223E-3</v>
      </c>
    </row>
    <row r="8" spans="2:16">
      <c r="B8" s="5" t="s">
        <v>57</v>
      </c>
      <c r="C8" s="6">
        <v>2610</v>
      </c>
      <c r="D8" s="6">
        <v>29280</v>
      </c>
      <c r="E8" s="6">
        <v>40000</v>
      </c>
      <c r="F8" s="6">
        <v>70000</v>
      </c>
      <c r="G8" s="32">
        <f>F8*(1+G9)</f>
        <v>106750</v>
      </c>
      <c r="H8" s="32">
        <f t="shared" ref="H8:P8" si="2">G8*(1+H9)</f>
        <v>145980.625</v>
      </c>
      <c r="I8" s="32">
        <f t="shared" si="2"/>
        <v>183534.14078125</v>
      </c>
      <c r="J8" s="32">
        <f t="shared" si="2"/>
        <v>216584.05118243358</v>
      </c>
      <c r="K8" s="32">
        <f t="shared" si="2"/>
        <v>243885.01229410726</v>
      </c>
      <c r="L8" s="32">
        <f t="shared" si="2"/>
        <v>265404.63315264927</v>
      </c>
      <c r="M8" s="32">
        <f t="shared" si="2"/>
        <v>281797.54273768165</v>
      </c>
      <c r="N8" s="32">
        <f t="shared" si="2"/>
        <v>293981.34340896964</v>
      </c>
      <c r="O8" s="32">
        <f t="shared" si="2"/>
        <v>302878.74910691282</v>
      </c>
      <c r="P8" s="38">
        <f t="shared" si="2"/>
        <v>309295.43036222161</v>
      </c>
    </row>
    <row r="9" spans="2:16">
      <c r="B9" s="8" t="s">
        <v>19</v>
      </c>
      <c r="C9" s="6"/>
      <c r="D9" s="54">
        <f>(D8-C8)/C8</f>
        <v>10.218390804597702</v>
      </c>
      <c r="E9" s="54">
        <f>(E8-D8)/D8</f>
        <v>0.36612021857923499</v>
      </c>
      <c r="F9" s="54">
        <f>(F8-E8)/E8</f>
        <v>0.75</v>
      </c>
      <c r="G9" s="54">
        <f>F9*0.7</f>
        <v>0.52499999999999991</v>
      </c>
      <c r="H9" s="54">
        <f t="shared" si="1"/>
        <v>0.36749999999999994</v>
      </c>
      <c r="I9" s="54">
        <f t="shared" si="1"/>
        <v>0.25724999999999992</v>
      </c>
      <c r="J9" s="54">
        <f t="shared" si="1"/>
        <v>0.18007499999999993</v>
      </c>
      <c r="K9" s="54">
        <f t="shared" si="1"/>
        <v>0.12605249999999996</v>
      </c>
      <c r="L9" s="54">
        <f t="shared" si="1"/>
        <v>8.8236749999999961E-2</v>
      </c>
      <c r="M9" s="54">
        <f t="shared" si="1"/>
        <v>6.1765724999999966E-2</v>
      </c>
      <c r="N9" s="54">
        <f t="shared" si="1"/>
        <v>4.3236007499999972E-2</v>
      </c>
      <c r="O9" s="54">
        <f t="shared" si="1"/>
        <v>3.0265205249999979E-2</v>
      </c>
      <c r="P9" s="55">
        <f t="shared" si="1"/>
        <v>2.1185643674999984E-2</v>
      </c>
    </row>
    <row r="10" spans="2:16">
      <c r="B10" s="11" t="s">
        <v>62</v>
      </c>
      <c r="C10" s="56">
        <f>(C8+C6 * Constants!$C$28) / 1000000</f>
        <v>0.24201</v>
      </c>
      <c r="D10" s="56">
        <f>(D8+D6 * Constants!$C$28) / 1000000</f>
        <v>0.57928000000000002</v>
      </c>
      <c r="E10" s="56">
        <f>(E8+E6 * Constants!$C$28) / 1000000</f>
        <v>0.88281500000000002</v>
      </c>
      <c r="F10" s="56">
        <f>(F8+F6 * Constants!$C$28) / 1000000</f>
        <v>1.20563</v>
      </c>
      <c r="G10" s="56">
        <f>(G8+G6 * Constants!$C$28) / 1000000</f>
        <v>1.5185623756281033</v>
      </c>
      <c r="H10" s="56">
        <f>(H8+H6 * Constants!$C$28) / 1000000</f>
        <v>1.7981374676547655</v>
      </c>
      <c r="I10" s="56">
        <f>(I8+I6 * Constants!$C$28) / 1000000</f>
        <v>2.0325731852448472</v>
      </c>
      <c r="J10" s="56">
        <f>(J8+J6 * Constants!$C$28) / 1000000</f>
        <v>2.2198639087662135</v>
      </c>
      <c r="K10" s="56">
        <f>(K8+K6 * Constants!$C$28) / 1000000</f>
        <v>2.3641398253534485</v>
      </c>
      <c r="L10" s="56">
        <f>(L8+L6 * Constants!$C$28) / 1000000</f>
        <v>2.47232317319496</v>
      </c>
      <c r="M10" s="56">
        <f>(M8+M6 * Constants!$C$28) / 1000000</f>
        <v>2.5518603092450824</v>
      </c>
      <c r="N10" s="56">
        <f>(N8+N6 * Constants!$C$28) / 1000000</f>
        <v>2.6095097437276187</v>
      </c>
      <c r="O10" s="56">
        <f>(O8+O6 * Constants!$C$28) / 1000000</f>
        <v>2.6508705145435605</v>
      </c>
      <c r="P10" s="57">
        <f>(P8+P6 * Constants!$C$28) / 1000000</f>
        <v>2.6803301434800355</v>
      </c>
    </row>
    <row r="12" spans="2:16">
      <c r="B12" s="21" t="s">
        <v>42</v>
      </c>
      <c r="C12" s="3"/>
      <c r="D12" s="3"/>
      <c r="E12" s="3"/>
      <c r="F12" s="3"/>
      <c r="G12" s="3"/>
      <c r="H12" s="3"/>
      <c r="I12" s="3"/>
      <c r="J12" s="3"/>
      <c r="K12" s="3"/>
      <c r="L12" s="3"/>
      <c r="M12" s="3"/>
      <c r="N12" s="3"/>
      <c r="O12" s="3"/>
      <c r="P12" s="4"/>
    </row>
    <row r="13" spans="2:16">
      <c r="B13" s="5" t="s">
        <v>29</v>
      </c>
      <c r="C13" s="6"/>
      <c r="D13" s="6"/>
      <c r="E13" s="6">
        <v>2017</v>
      </c>
      <c r="F13" s="6">
        <v>2018</v>
      </c>
      <c r="G13" s="6">
        <v>2019</v>
      </c>
      <c r="H13" s="6">
        <v>2020</v>
      </c>
      <c r="I13" s="6">
        <v>2021</v>
      </c>
      <c r="J13" s="6">
        <v>2022</v>
      </c>
      <c r="K13" s="6">
        <v>2023</v>
      </c>
      <c r="L13" s="6">
        <v>2024</v>
      </c>
      <c r="M13" s="6">
        <v>2025</v>
      </c>
      <c r="N13" s="6">
        <v>2026</v>
      </c>
      <c r="O13" s="6">
        <v>2027</v>
      </c>
      <c r="P13" s="7">
        <v>2028</v>
      </c>
    </row>
    <row r="14" spans="2:16">
      <c r="B14" s="5" t="s">
        <v>56</v>
      </c>
      <c r="C14" s="6"/>
      <c r="D14" s="6"/>
      <c r="E14" s="58">
        <v>16263242</v>
      </c>
      <c r="F14" s="58">
        <v>113976757</v>
      </c>
      <c r="G14" s="58">
        <f>F14*(1+G15)</f>
        <v>387896792.24932742</v>
      </c>
      <c r="H14" s="58">
        <f t="shared" ref="H14:P14" si="3">G14*(1+H15)</f>
        <v>760789321.57804596</v>
      </c>
      <c r="I14" s="58">
        <f t="shared" si="3"/>
        <v>1053333792.2496868</v>
      </c>
      <c r="J14" s="58">
        <f t="shared" si="3"/>
        <v>1215348146.5285146</v>
      </c>
      <c r="K14" s="58">
        <f t="shared" si="3"/>
        <v>1290121726.0462646</v>
      </c>
      <c r="L14" s="58">
        <f t="shared" si="3"/>
        <v>1321871318.0444565</v>
      </c>
      <c r="M14" s="58">
        <f t="shared" si="3"/>
        <v>1334883694.8379679</v>
      </c>
      <c r="N14" s="58">
        <f t="shared" si="3"/>
        <v>1340139882.6001606</v>
      </c>
      <c r="O14" s="58">
        <f t="shared" si="3"/>
        <v>1342250636.3318267</v>
      </c>
      <c r="P14" s="62">
        <f t="shared" si="3"/>
        <v>1343096267.6203969</v>
      </c>
    </row>
    <row r="15" spans="2:16">
      <c r="B15" s="8" t="s">
        <v>19</v>
      </c>
      <c r="C15" s="6"/>
      <c r="D15" s="6"/>
      <c r="E15" s="6"/>
      <c r="F15" s="59">
        <f>(F14-E14)/E14</f>
        <v>6.0082433133565862</v>
      </c>
      <c r="G15" s="60">
        <f>F15*0.4</f>
        <v>2.4032973253426348</v>
      </c>
      <c r="H15" s="60">
        <f t="shared" ref="H15:P15" si="4">G15*0.4</f>
        <v>0.96131893013705394</v>
      </c>
      <c r="I15" s="60">
        <f t="shared" si="4"/>
        <v>0.38452757205482158</v>
      </c>
      <c r="J15" s="60">
        <f t="shared" si="4"/>
        <v>0.15381102882192865</v>
      </c>
      <c r="K15" s="60">
        <f t="shared" si="4"/>
        <v>6.1524411528771465E-2</v>
      </c>
      <c r="L15" s="60">
        <f t="shared" si="4"/>
        <v>2.4609764611508586E-2</v>
      </c>
      <c r="M15" s="60">
        <f t="shared" si="4"/>
        <v>9.8439058446034358E-3</v>
      </c>
      <c r="N15" s="60">
        <f t="shared" si="4"/>
        <v>3.9375623378413742E-3</v>
      </c>
      <c r="O15" s="60">
        <f t="shared" si="4"/>
        <v>1.5750249351365497E-3</v>
      </c>
      <c r="P15" s="63">
        <f t="shared" si="4"/>
        <v>6.300099740546199E-4</v>
      </c>
    </row>
    <row r="16" spans="2:16">
      <c r="B16" s="5" t="s">
        <v>57</v>
      </c>
      <c r="C16" s="6"/>
      <c r="D16" s="6"/>
      <c r="E16" s="58">
        <v>1305223</v>
      </c>
      <c r="F16" s="58">
        <v>7238043</v>
      </c>
      <c r="G16" s="58">
        <f>F16*(1+G17)</f>
        <v>30268133.942223664</v>
      </c>
      <c r="H16" s="58">
        <f t="shared" ref="H16:P16" si="5">G16*(1+H17)</f>
        <v>59160386.060958706</v>
      </c>
      <c r="I16" s="58">
        <f t="shared" si="5"/>
        <v>98690201.640086576</v>
      </c>
      <c r="J16" s="58">
        <f t="shared" si="5"/>
        <v>144850208.54734105</v>
      </c>
      <c r="K16" s="58">
        <f t="shared" si="5"/>
        <v>192275389.17482337</v>
      </c>
      <c r="L16" s="58">
        <f t="shared" si="5"/>
        <v>236342198.65545076</v>
      </c>
      <c r="M16" s="58">
        <f t="shared" si="5"/>
        <v>274258609.4844985</v>
      </c>
      <c r="N16" s="58">
        <f t="shared" si="5"/>
        <v>305058151.49960971</v>
      </c>
      <c r="O16" s="58">
        <f t="shared" si="5"/>
        <v>329039006.50458932</v>
      </c>
      <c r="P16" s="62">
        <f t="shared" si="5"/>
        <v>347145212.37722743</v>
      </c>
    </row>
    <row r="17" spans="2:16">
      <c r="B17" s="8" t="s">
        <v>19</v>
      </c>
      <c r="C17" s="6"/>
      <c r="D17" s="6"/>
      <c r="E17" s="6"/>
      <c r="F17" s="59">
        <f>(F16-E16)/E16</f>
        <v>4.5454454909237736</v>
      </c>
      <c r="G17" s="59">
        <f>F17*0.7</f>
        <v>3.1818118436466412</v>
      </c>
      <c r="H17" s="59">
        <f>G17*0.3</f>
        <v>0.9545435530939923</v>
      </c>
      <c r="I17" s="59">
        <f t="shared" ref="H17:P17" si="6">H17*0.7</f>
        <v>0.66818048716579459</v>
      </c>
      <c r="J17" s="59">
        <f t="shared" si="6"/>
        <v>0.4677263410160562</v>
      </c>
      <c r="K17" s="59">
        <f t="shared" si="6"/>
        <v>0.32740843871123931</v>
      </c>
      <c r="L17" s="59">
        <f t="shared" si="6"/>
        <v>0.22918590709786751</v>
      </c>
      <c r="M17" s="59">
        <f t="shared" si="6"/>
        <v>0.16043013496850725</v>
      </c>
      <c r="N17" s="59">
        <f t="shared" si="6"/>
        <v>0.11230109447795507</v>
      </c>
      <c r="O17" s="59">
        <f t="shared" si="6"/>
        <v>7.8610766134568549E-2</v>
      </c>
      <c r="P17" s="64">
        <f t="shared" si="6"/>
        <v>5.502753629419798E-2</v>
      </c>
    </row>
    <row r="18" spans="2:16">
      <c r="B18" s="5" t="s">
        <v>61</v>
      </c>
      <c r="C18" s="6"/>
      <c r="D18" s="6"/>
      <c r="E18" s="61">
        <f>(E16+E14 * Constants!$C$30) / 1000000</f>
        <v>9.4368440000000007</v>
      </c>
      <c r="F18" s="61">
        <f>(F16+F14 * Constants!$C$30) / 1000000</f>
        <v>64.226421500000001</v>
      </c>
      <c r="G18" s="61">
        <f>(G16+G14 * Constants!$C$30) / 1000000</f>
        <v>224.21653006688737</v>
      </c>
      <c r="H18" s="61">
        <f>(H16+H14 * Constants!$C$30) / 1000000</f>
        <v>439.55504684998169</v>
      </c>
      <c r="I18" s="61">
        <f>(I16+I14 * Constants!$C$30) / 1000000</f>
        <v>625.35709776493002</v>
      </c>
      <c r="J18" s="61">
        <f>(J16+J14 * Constants!$C$30) / 1000000</f>
        <v>752.52428181159826</v>
      </c>
      <c r="K18" s="61">
        <f>(K16+K14 * Constants!$C$30) / 1000000</f>
        <v>837.33625219795567</v>
      </c>
      <c r="L18" s="61">
        <f>(L16+L14 * Constants!$C$30) / 1000000</f>
        <v>897.27785767767909</v>
      </c>
      <c r="M18" s="61">
        <f>(M16+M14 * Constants!$C$30) / 1000000</f>
        <v>941.7004569034824</v>
      </c>
      <c r="N18" s="61">
        <f>(N16+N14 * Constants!$C$30) / 1000000</f>
        <v>975.12809279968997</v>
      </c>
      <c r="O18" s="61">
        <f>(O16+O14 * Constants!$C$30) / 1000000</f>
        <v>1000.1643246705027</v>
      </c>
      <c r="P18" s="23">
        <f>(P16+P14 * Constants!$C$30) / 1000000</f>
        <v>1018.6933461874258</v>
      </c>
    </row>
    <row r="19" spans="2:16">
      <c r="B19" s="5"/>
      <c r="C19" s="6"/>
      <c r="D19" s="6"/>
      <c r="E19" s="6"/>
      <c r="F19" s="6"/>
      <c r="G19" s="6"/>
      <c r="H19" s="6"/>
      <c r="I19" s="6"/>
      <c r="J19" s="6"/>
      <c r="K19" s="6"/>
      <c r="L19" s="6"/>
      <c r="M19" s="6"/>
      <c r="N19" s="6"/>
      <c r="O19" s="6"/>
      <c r="P19" s="7"/>
    </row>
    <row r="20" spans="2:16">
      <c r="B20" s="5" t="s">
        <v>63</v>
      </c>
      <c r="C20" s="61">
        <f t="shared" ref="C20:E20" si="7">C18+C10</f>
        <v>0.24201</v>
      </c>
      <c r="D20" s="61">
        <f t="shared" si="7"/>
        <v>0.57928000000000002</v>
      </c>
      <c r="E20" s="61">
        <f>E18+E10</f>
        <v>10.319659000000001</v>
      </c>
      <c r="F20" s="61">
        <f t="shared" ref="F20:P20" si="8">F18+F10</f>
        <v>65.4320515</v>
      </c>
      <c r="G20" s="61">
        <f t="shared" si="8"/>
        <v>225.73509244251548</v>
      </c>
      <c r="H20" s="61">
        <f t="shared" si="8"/>
        <v>441.35318431763648</v>
      </c>
      <c r="I20" s="61">
        <f t="shared" si="8"/>
        <v>627.38967095017483</v>
      </c>
      <c r="J20" s="61">
        <f t="shared" si="8"/>
        <v>754.74414572036449</v>
      </c>
      <c r="K20" s="61">
        <f t="shared" si="8"/>
        <v>839.70039202330918</v>
      </c>
      <c r="L20" s="61">
        <f t="shared" si="8"/>
        <v>899.75018085087402</v>
      </c>
      <c r="M20" s="61">
        <f t="shared" si="8"/>
        <v>944.25231721272746</v>
      </c>
      <c r="N20" s="61">
        <f t="shared" si="8"/>
        <v>977.73760254341755</v>
      </c>
      <c r="O20" s="61">
        <f t="shared" si="8"/>
        <v>1002.8151951850463</v>
      </c>
      <c r="P20" s="23">
        <f t="shared" si="8"/>
        <v>1021.3736763309059</v>
      </c>
    </row>
    <row r="21" spans="2:16">
      <c r="B21" s="5" t="s">
        <v>64</v>
      </c>
      <c r="C21" s="14">
        <v>0.80743667691115995</v>
      </c>
      <c r="D21" s="14">
        <v>0.86710624733489461</v>
      </c>
      <c r="E21" s="14">
        <v>0.93118539901294339</v>
      </c>
      <c r="F21" s="14">
        <v>1</v>
      </c>
      <c r="G21" s="14">
        <v>1.0739000000000001</v>
      </c>
      <c r="H21" s="14">
        <v>1.1532612100000001</v>
      </c>
      <c r="I21" s="14">
        <v>1.2384872134190001</v>
      </c>
      <c r="J21" s="14">
        <v>1.3300114184906644</v>
      </c>
      <c r="K21" s="14">
        <v>1.4282992623171247</v>
      </c>
      <c r="L21" s="14">
        <v>1.5338505778023601</v>
      </c>
      <c r="M21" s="14">
        <v>1.6472021355019546</v>
      </c>
      <c r="N21" s="14">
        <v>1.7689303733155493</v>
      </c>
      <c r="O21" s="14">
        <v>1.8996543279035685</v>
      </c>
      <c r="P21" s="15">
        <v>2.0400387827356421</v>
      </c>
    </row>
    <row r="22" spans="2:16">
      <c r="B22" s="11" t="s">
        <v>65</v>
      </c>
      <c r="C22" s="56">
        <f>C20/C21</f>
        <v>0.2997262905195322</v>
      </c>
      <c r="D22" s="56">
        <f t="shared" ref="D22:P22" si="9">D20/D21</f>
        <v>0.66806115372880015</v>
      </c>
      <c r="E22" s="56">
        <f t="shared" si="9"/>
        <v>11.082281800100002</v>
      </c>
      <c r="F22" s="56">
        <f t="shared" si="9"/>
        <v>65.4320515</v>
      </c>
      <c r="G22" s="56">
        <f t="shared" si="9"/>
        <v>210.20122212730743</v>
      </c>
      <c r="H22" s="56">
        <f t="shared" si="9"/>
        <v>382.70010340297182</v>
      </c>
      <c r="I22" s="56">
        <f t="shared" si="9"/>
        <v>506.57743104039525</v>
      </c>
      <c r="J22" s="56">
        <f t="shared" si="9"/>
        <v>567.47192935897499</v>
      </c>
      <c r="K22" s="56">
        <f t="shared" si="9"/>
        <v>587.90227942921865</v>
      </c>
      <c r="L22" s="56">
        <f t="shared" si="9"/>
        <v>586.59571790884627</v>
      </c>
      <c r="M22" s="56">
        <f t="shared" si="9"/>
        <v>573.24617110515339</v>
      </c>
      <c r="N22" s="56">
        <f t="shared" si="9"/>
        <v>552.72814424618662</v>
      </c>
      <c r="O22" s="56">
        <f t="shared" si="9"/>
        <v>527.89351223269068</v>
      </c>
      <c r="P22" s="57">
        <f t="shared" si="9"/>
        <v>500.66385255738561</v>
      </c>
    </row>
    <row r="24" spans="2:16">
      <c r="B24" s="52" t="s">
        <v>66</v>
      </c>
      <c r="C24" s="53">
        <f>SUM(C22:P22)</f>
        <v>5073.4624841534787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92D7-8391-4BF0-969C-F2EBB7C26D2C}">
  <dimension ref="B3:M35"/>
  <sheetViews>
    <sheetView showGridLines="0" showRowColHeaders="0" workbookViewId="0">
      <selection activeCell="B32" sqref="B32"/>
    </sheetView>
  </sheetViews>
  <sheetFormatPr defaultRowHeight="15"/>
  <cols>
    <col min="2" max="2" width="45.42578125" bestFit="1" customWidth="1"/>
    <col min="3" max="3" width="18.140625" customWidth="1"/>
    <col min="4" max="4" width="22.7109375" customWidth="1"/>
    <col min="5" max="5" width="16.85546875" customWidth="1"/>
    <col min="6" max="13" width="11.5703125" bestFit="1" customWidth="1"/>
  </cols>
  <sheetData>
    <row r="3" spans="2:5" ht="15.75">
      <c r="B3" s="24" t="s">
        <v>0</v>
      </c>
      <c r="C3" s="65"/>
      <c r="D3" s="65"/>
      <c r="E3" s="66"/>
    </row>
    <row r="4" spans="2:5" ht="15.75">
      <c r="B4" s="42" t="s">
        <v>8</v>
      </c>
      <c r="C4" s="43" t="s">
        <v>1</v>
      </c>
      <c r="D4" s="43" t="s">
        <v>2</v>
      </c>
      <c r="E4" s="44" t="s">
        <v>9</v>
      </c>
    </row>
    <row r="5" spans="2:5" ht="15.75">
      <c r="B5" s="45" t="s">
        <v>3</v>
      </c>
      <c r="C5" s="46">
        <v>111500</v>
      </c>
      <c r="D5" s="46">
        <v>39750</v>
      </c>
      <c r="E5" s="47">
        <f>D5+C5</f>
        <v>151250</v>
      </c>
    </row>
    <row r="6" spans="2:5" ht="15.75">
      <c r="B6" s="45" t="s">
        <v>7</v>
      </c>
      <c r="C6" s="46">
        <v>143135</v>
      </c>
      <c r="D6" s="46">
        <v>39750</v>
      </c>
      <c r="E6" s="47">
        <f t="shared" ref="E6:E9" si="0">D6+C6</f>
        <v>182885</v>
      </c>
    </row>
    <row r="7" spans="2:5" ht="15.75">
      <c r="B7" s="45" t="s">
        <v>4</v>
      </c>
      <c r="C7" s="46">
        <v>139435</v>
      </c>
      <c r="D7" s="46">
        <v>39750</v>
      </c>
      <c r="E7" s="47">
        <f t="shared" si="0"/>
        <v>179185</v>
      </c>
    </row>
    <row r="8" spans="2:5" ht="15.75">
      <c r="B8" s="45" t="s">
        <v>5</v>
      </c>
      <c r="C8" s="46">
        <v>167500</v>
      </c>
      <c r="D8" s="46">
        <v>39750</v>
      </c>
      <c r="E8" s="47">
        <f t="shared" si="0"/>
        <v>207250</v>
      </c>
    </row>
    <row r="9" spans="2:5" ht="15.75">
      <c r="B9" s="48" t="s">
        <v>6</v>
      </c>
      <c r="C9" s="49">
        <v>160000</v>
      </c>
      <c r="D9" s="49">
        <v>39750</v>
      </c>
      <c r="E9" s="50">
        <f t="shared" si="0"/>
        <v>199750</v>
      </c>
    </row>
    <row r="12" spans="2:5">
      <c r="B12" s="67" t="s">
        <v>10</v>
      </c>
      <c r="C12" s="4"/>
    </row>
    <row r="13" spans="2:5">
      <c r="B13" s="5" t="s">
        <v>11</v>
      </c>
      <c r="C13" s="68">
        <f>AVERAGE(E5:E9)</f>
        <v>184064</v>
      </c>
    </row>
    <row r="14" spans="2:5">
      <c r="B14" s="5"/>
      <c r="C14" s="7"/>
    </row>
    <row r="15" spans="2:5">
      <c r="B15" s="5" t="s">
        <v>13</v>
      </c>
      <c r="C15" s="7">
        <v>9</v>
      </c>
    </row>
    <row r="16" spans="2:5">
      <c r="B16" s="5" t="s">
        <v>15</v>
      </c>
      <c r="C16" s="68">
        <f>C15*C13</f>
        <v>1656576</v>
      </c>
    </row>
    <row r="17" spans="2:13">
      <c r="B17" s="5"/>
      <c r="C17" s="7"/>
    </row>
    <row r="18" spans="2:13">
      <c r="B18" s="69" t="s">
        <v>12</v>
      </c>
      <c r="C18" s="70">
        <v>42</v>
      </c>
    </row>
    <row r="19" spans="2:13">
      <c r="B19" s="5" t="s">
        <v>14</v>
      </c>
      <c r="C19" s="68">
        <f>C18*C13</f>
        <v>7730688</v>
      </c>
    </row>
    <row r="20" spans="2:13">
      <c r="B20" s="11" t="s">
        <v>19</v>
      </c>
      <c r="C20" s="71">
        <f>(C19-C16)/C16</f>
        <v>3.6666666666666665</v>
      </c>
    </row>
    <row r="28" spans="2:13">
      <c r="B28" s="26" t="s">
        <v>29</v>
      </c>
      <c r="C28" s="31">
        <v>2018</v>
      </c>
      <c r="D28" s="31">
        <v>2019</v>
      </c>
      <c r="E28" s="31">
        <v>2020</v>
      </c>
      <c r="F28" s="31">
        <v>2021</v>
      </c>
      <c r="G28" s="31">
        <v>2022</v>
      </c>
      <c r="H28" s="31">
        <v>2023</v>
      </c>
      <c r="I28" s="31">
        <v>2024</v>
      </c>
      <c r="J28" s="31">
        <v>2025</v>
      </c>
      <c r="K28" s="31">
        <v>2026</v>
      </c>
      <c r="L28" s="31">
        <v>2027</v>
      </c>
      <c r="M28" s="29">
        <v>2028</v>
      </c>
    </row>
    <row r="29" spans="2:13">
      <c r="B29" s="5" t="s">
        <v>18</v>
      </c>
      <c r="C29" s="12">
        <v>2.3192063999999997</v>
      </c>
      <c r="D29" s="12">
        <v>10.822963199999997</v>
      </c>
      <c r="E29" s="12">
        <v>22.728222719999991</v>
      </c>
      <c r="F29" s="12">
        <v>30.228536217599988</v>
      </c>
      <c r="G29" s="12">
        <v>33.221161303142388</v>
      </c>
      <c r="H29" s="12">
        <v>36.181166775252372</v>
      </c>
      <c r="I29" s="12">
        <v>39.082534538959862</v>
      </c>
      <c r="J29" s="12">
        <v>41.903160139171128</v>
      </c>
      <c r="K29" s="12">
        <v>44.624933812534827</v>
      </c>
      <c r="L29" s="12">
        <v>47.233640952064235</v>
      </c>
      <c r="M29" s="13">
        <v>49.71872839680362</v>
      </c>
    </row>
    <row r="30" spans="2:13">
      <c r="B30" s="5" t="s">
        <v>20</v>
      </c>
      <c r="C30" s="9">
        <v>7.7306879999999998</v>
      </c>
      <c r="D30" s="9">
        <v>36.076543999999991</v>
      </c>
      <c r="E30" s="9">
        <v>75.76074239999997</v>
      </c>
      <c r="F30" s="9">
        <v>100.76178739199996</v>
      </c>
      <c r="G30" s="9">
        <v>110.73720434380796</v>
      </c>
      <c r="H30" s="9">
        <v>120.60388925084125</v>
      </c>
      <c r="I30" s="9">
        <v>130.27511512986621</v>
      </c>
      <c r="J30" s="9">
        <v>139.67720046390377</v>
      </c>
      <c r="K30" s="9">
        <v>148.74977937511611</v>
      </c>
      <c r="L30" s="9">
        <v>157.44546984021412</v>
      </c>
      <c r="M30" s="10">
        <v>165.72909465601208</v>
      </c>
    </row>
    <row r="31" spans="2:13">
      <c r="B31" s="5" t="s">
        <v>21</v>
      </c>
      <c r="C31" s="59">
        <v>3.6666666666666665</v>
      </c>
      <c r="D31" s="59">
        <v>1.0999999999999999</v>
      </c>
      <c r="E31" s="59">
        <v>0.32999999999999996</v>
      </c>
      <c r="F31" s="59">
        <v>9.8999999999999991E-2</v>
      </c>
      <c r="G31" s="59">
        <v>8.9099999999999999E-2</v>
      </c>
      <c r="H31" s="59">
        <v>8.0189999999999997E-2</v>
      </c>
      <c r="I31" s="59">
        <v>7.2170999999999999E-2</v>
      </c>
      <c r="J31" s="59">
        <v>6.4953899999999995E-2</v>
      </c>
      <c r="K31" s="59">
        <v>5.8458509999999998E-2</v>
      </c>
      <c r="L31" s="59">
        <v>5.2612658999999999E-2</v>
      </c>
      <c r="M31" s="64">
        <v>4.73513931E-2</v>
      </c>
    </row>
    <row r="32" spans="2:13">
      <c r="B32" s="5" t="s">
        <v>67</v>
      </c>
      <c r="C32" s="12">
        <f>C30+C29</f>
        <v>10.049894399999999</v>
      </c>
      <c r="D32" s="12">
        <f t="shared" ref="D32:M32" si="1">D30+D29</f>
        <v>46.899507199999988</v>
      </c>
      <c r="E32" s="12">
        <f t="shared" si="1"/>
        <v>98.488965119999961</v>
      </c>
      <c r="F32" s="12">
        <f t="shared" si="1"/>
        <v>130.99032360959995</v>
      </c>
      <c r="G32" s="12">
        <f t="shared" si="1"/>
        <v>143.95836564695034</v>
      </c>
      <c r="H32" s="12">
        <f t="shared" si="1"/>
        <v>156.78505602609363</v>
      </c>
      <c r="I32" s="12">
        <f t="shared" si="1"/>
        <v>169.35764966882607</v>
      </c>
      <c r="J32" s="12">
        <f t="shared" si="1"/>
        <v>181.58036060307489</v>
      </c>
      <c r="K32" s="12">
        <f t="shared" si="1"/>
        <v>193.37471318765094</v>
      </c>
      <c r="L32" s="12">
        <f t="shared" si="1"/>
        <v>204.67911079227835</v>
      </c>
      <c r="M32" s="13">
        <f t="shared" si="1"/>
        <v>215.44782305281569</v>
      </c>
    </row>
    <row r="33" spans="2:13">
      <c r="B33" s="5" t="s">
        <v>38</v>
      </c>
      <c r="C33" s="14">
        <v>1</v>
      </c>
      <c r="D33" s="14">
        <v>1.0739000000000001</v>
      </c>
      <c r="E33" s="14">
        <v>1.1532612100000001</v>
      </c>
      <c r="F33" s="14">
        <v>1.2384872134190001</v>
      </c>
      <c r="G33" s="14">
        <v>1.3300114184906644</v>
      </c>
      <c r="H33" s="14">
        <v>1.4282992623171247</v>
      </c>
      <c r="I33" s="14">
        <v>1.5338505778023601</v>
      </c>
      <c r="J33" s="14">
        <v>1.6472021355019546</v>
      </c>
      <c r="K33" s="14">
        <v>1.7689303733155493</v>
      </c>
      <c r="L33" s="14">
        <v>1.8996543279035685</v>
      </c>
      <c r="M33" s="15">
        <v>2.0400387827356421</v>
      </c>
    </row>
    <row r="34" spans="2:13">
      <c r="B34" s="5" t="s">
        <v>68</v>
      </c>
      <c r="C34" s="35">
        <f>C32/C33</f>
        <v>10.049894399999999</v>
      </c>
      <c r="D34" s="35">
        <f t="shared" ref="D34:M34" si="2">D32/D33</f>
        <v>43.672136325542404</v>
      </c>
      <c r="E34" s="35">
        <f t="shared" si="2"/>
        <v>85.400396949100497</v>
      </c>
      <c r="F34" s="35">
        <f t="shared" si="2"/>
        <v>105.76639160285285</v>
      </c>
      <c r="G34" s="35">
        <f t="shared" si="2"/>
        <v>108.23844340398105</v>
      </c>
      <c r="H34" s="35">
        <f t="shared" si="2"/>
        <v>109.77045228724812</v>
      </c>
      <c r="I34" s="35">
        <f t="shared" si="2"/>
        <v>110.41339496802547</v>
      </c>
      <c r="J34" s="35">
        <f t="shared" si="2"/>
        <v>110.23562724300477</v>
      </c>
      <c r="K34" s="35">
        <f t="shared" si="2"/>
        <v>109.31731180871975</v>
      </c>
      <c r="L34" s="35">
        <f t="shared" si="2"/>
        <v>107.74545020417442</v>
      </c>
      <c r="M34" s="36">
        <f t="shared" si="2"/>
        <v>105.609670206321</v>
      </c>
    </row>
    <row r="35" spans="2:13">
      <c r="B35" s="11" t="s">
        <v>50</v>
      </c>
      <c r="C35" s="16">
        <f>SUM(C34:M34)</f>
        <v>1006.2191693989703</v>
      </c>
      <c r="D35" s="37"/>
      <c r="E35" s="37"/>
      <c r="F35" s="37"/>
      <c r="G35" s="37"/>
      <c r="H35" s="37"/>
      <c r="I35" s="37"/>
      <c r="J35" s="37"/>
      <c r="K35" s="37"/>
      <c r="L35" s="37"/>
      <c r="M35" s="30"/>
    </row>
  </sheetData>
  <hyperlinks>
    <hyperlink ref="B9" r:id="rId1" display="https://www.glassdoor.com/Salary/Facebook-Software-Engineer-V-Salaries-E40772_D_KO9,28.htm" xr:uid="{289C6AD9-0766-4399-9AEE-F29E9A013CF8}"/>
    <hyperlink ref="B8" r:id="rId2" display="https://www.glassdoor.com/Salary/Facebook-Senior-Software-Engineer-Salaries-E40772_D_KO9,33.htm" xr:uid="{B83D24D6-97FD-4DA5-8040-C035591C7E9E}"/>
    <hyperlink ref="B7" r:id="rId3" display="https://www.glassdoor.com/Salary/Facebook-Software-Engineer-IV-Salaries-E40772_D_KO9,29.htm" xr:uid="{17CFAE68-54E6-4DD9-8207-CA389DCFA991}"/>
  </hyperlinks>
  <pageMargins left="0.7" right="0.7" top="0.75" bottom="0.75" header="0.3" footer="0.3"/>
  <pageSetup orientation="portrait" r:id="rId4"/>
  <drawing r:id="rId5"/>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5EF5E-63DC-439B-B40B-B12258EF5213}">
  <dimension ref="C2:Q30"/>
  <sheetViews>
    <sheetView showGridLines="0" topLeftCell="B1" workbookViewId="0">
      <selection activeCell="C7" sqref="C7"/>
    </sheetView>
  </sheetViews>
  <sheetFormatPr defaultRowHeight="15.75"/>
  <cols>
    <col min="1" max="2" width="9.140625" style="2"/>
    <col min="3" max="3" width="56.7109375" style="2" bestFit="1" customWidth="1"/>
    <col min="4" max="16384" width="9.140625" style="2"/>
  </cols>
  <sheetData>
    <row r="2" spans="3:17">
      <c r="E2" s="84" t="s">
        <v>70</v>
      </c>
      <c r="F2" s="84"/>
      <c r="G2" s="84"/>
      <c r="H2" s="84"/>
      <c r="I2" s="84"/>
      <c r="J2" s="84"/>
      <c r="K2" s="84"/>
      <c r="L2" s="84"/>
    </row>
    <row r="3" spans="3:17">
      <c r="C3" s="82" t="s">
        <v>16</v>
      </c>
    </row>
    <row r="4" spans="3:17">
      <c r="C4" s="83">
        <v>7.3899999999999993E-2</v>
      </c>
    </row>
    <row r="6" spans="3:17">
      <c r="C6" s="74" t="s">
        <v>23</v>
      </c>
    </row>
    <row r="7" spans="3:17">
      <c r="C7" s="85">
        <v>2018</v>
      </c>
    </row>
    <row r="9" spans="3:17">
      <c r="C9" s="74" t="s">
        <v>30</v>
      </c>
    </row>
    <row r="10" spans="3:17">
      <c r="C10" s="81">
        <v>0.45</v>
      </c>
    </row>
    <row r="12" spans="3:17">
      <c r="C12" s="74" t="s">
        <v>41</v>
      </c>
    </row>
    <row r="13" spans="3:17">
      <c r="C13" s="78">
        <v>0.8</v>
      </c>
    </row>
    <row r="15" spans="3:17">
      <c r="C15" s="72" t="s">
        <v>44</v>
      </c>
      <c r="D15" s="25"/>
      <c r="E15" s="25"/>
      <c r="F15" s="25"/>
      <c r="G15" s="25"/>
      <c r="H15" s="25"/>
      <c r="I15" s="25"/>
      <c r="J15" s="25"/>
      <c r="K15" s="25"/>
      <c r="L15" s="25"/>
      <c r="M15" s="25"/>
      <c r="N15" s="25"/>
      <c r="O15" s="25"/>
      <c r="P15" s="25"/>
      <c r="Q15" s="73"/>
    </row>
    <row r="16" spans="3:17">
      <c r="C16" s="5" t="s">
        <v>29</v>
      </c>
      <c r="D16" s="6">
        <v>2015</v>
      </c>
      <c r="E16" s="6">
        <v>2016</v>
      </c>
      <c r="F16" s="6">
        <v>2017</v>
      </c>
      <c r="G16" s="6">
        <v>2018</v>
      </c>
      <c r="H16" s="6">
        <v>2019</v>
      </c>
      <c r="I16" s="6">
        <v>2020</v>
      </c>
      <c r="J16" s="6">
        <v>2021</v>
      </c>
      <c r="K16" s="6">
        <v>2022</v>
      </c>
      <c r="L16" s="6">
        <v>2023</v>
      </c>
      <c r="M16" s="6">
        <v>2024</v>
      </c>
      <c r="N16" s="6">
        <v>2025</v>
      </c>
      <c r="O16" s="6">
        <v>2026</v>
      </c>
      <c r="P16" s="6">
        <v>2027</v>
      </c>
      <c r="Q16" s="7">
        <v>2028</v>
      </c>
    </row>
    <row r="17" spans="3:17">
      <c r="C17" s="5" t="s">
        <v>28</v>
      </c>
      <c r="D17" s="32">
        <v>12691</v>
      </c>
      <c r="E17" s="32">
        <v>17048</v>
      </c>
      <c r="F17" s="32">
        <v>25105</v>
      </c>
      <c r="G17" s="32">
        <v>30275</v>
      </c>
      <c r="H17" s="32">
        <f>G17*(1+H18)</f>
        <v>34639.279028082055</v>
      </c>
      <c r="I17" s="32">
        <f t="shared" ref="I17:Q17" si="0">H17*(1+I18)</f>
        <v>38134.665826004391</v>
      </c>
      <c r="J17" s="32">
        <f t="shared" si="0"/>
        <v>40828.335782423899</v>
      </c>
      <c r="K17" s="32">
        <f t="shared" si="0"/>
        <v>42847.093292419166</v>
      </c>
      <c r="L17" s="32">
        <f t="shared" si="0"/>
        <v>44330.095790452469</v>
      </c>
      <c r="M17" s="32">
        <f t="shared" si="0"/>
        <v>45404.127805708216</v>
      </c>
      <c r="N17" s="32">
        <f t="shared" si="0"/>
        <v>46174.165411379661</v>
      </c>
      <c r="O17" s="32">
        <f t="shared" si="0"/>
        <v>46722.333427084835</v>
      </c>
      <c r="P17" s="32">
        <f t="shared" si="0"/>
        <v>47110.606436525522</v>
      </c>
      <c r="Q17" s="38">
        <f t="shared" si="0"/>
        <v>47384.656187836903</v>
      </c>
    </row>
    <row r="18" spans="3:17">
      <c r="C18" s="79" t="s">
        <v>19</v>
      </c>
      <c r="D18" s="37"/>
      <c r="E18" s="80">
        <f>(E17-D17)/D17</f>
        <v>0.34331415964069023</v>
      </c>
      <c r="F18" s="80">
        <f t="shared" ref="F18:G18" si="1">(F17-E17)/E17</f>
        <v>0.4726067573908963</v>
      </c>
      <c r="G18" s="80">
        <f t="shared" si="1"/>
        <v>0.20593507269468234</v>
      </c>
      <c r="H18" s="80">
        <f>G18*0.7</f>
        <v>0.14415455088627763</v>
      </c>
      <c r="I18" s="80">
        <f t="shared" ref="I18:Q18" si="2">H18*0.7</f>
        <v>0.10090818562039433</v>
      </c>
      <c r="J18" s="80">
        <f t="shared" si="2"/>
        <v>7.0635729934276026E-2</v>
      </c>
      <c r="K18" s="80">
        <f t="shared" si="2"/>
        <v>4.9445010953993215E-2</v>
      </c>
      <c r="L18" s="80">
        <f t="shared" si="2"/>
        <v>3.4611507667795249E-2</v>
      </c>
      <c r="M18" s="80">
        <f t="shared" si="2"/>
        <v>2.4228055367456675E-2</v>
      </c>
      <c r="N18" s="80">
        <f t="shared" si="2"/>
        <v>1.6959638757219671E-2</v>
      </c>
      <c r="O18" s="80">
        <f t="shared" si="2"/>
        <v>1.187174713005377E-2</v>
      </c>
      <c r="P18" s="80">
        <f t="shared" si="2"/>
        <v>8.3102229910376382E-3</v>
      </c>
      <c r="Q18" s="71">
        <f t="shared" si="2"/>
        <v>5.8171560937263465E-3</v>
      </c>
    </row>
    <row r="20" spans="3:17">
      <c r="C20" s="74" t="s">
        <v>47</v>
      </c>
    </row>
    <row r="21" spans="3:17">
      <c r="C21" s="78">
        <v>0.3</v>
      </c>
    </row>
    <row r="23" spans="3:17">
      <c r="C23" s="72" t="s">
        <v>22</v>
      </c>
      <c r="D23" s="25"/>
      <c r="E23" s="25"/>
      <c r="F23" s="25"/>
      <c r="G23" s="25"/>
      <c r="H23" s="25"/>
      <c r="I23" s="25"/>
      <c r="J23" s="25"/>
      <c r="K23" s="25"/>
      <c r="L23" s="25"/>
      <c r="M23" s="25"/>
      <c r="N23" s="25"/>
      <c r="O23" s="25"/>
      <c r="P23" s="25"/>
      <c r="Q23" s="73"/>
    </row>
    <row r="24" spans="3:17">
      <c r="C24" s="5" t="s">
        <v>29</v>
      </c>
      <c r="D24" s="6">
        <v>2015</v>
      </c>
      <c r="E24" s="6">
        <v>2016</v>
      </c>
      <c r="F24" s="6">
        <v>2017</v>
      </c>
      <c r="G24" s="6">
        <v>2018</v>
      </c>
      <c r="H24" s="6">
        <v>2019</v>
      </c>
      <c r="I24" s="6">
        <v>2020</v>
      </c>
      <c r="J24" s="6">
        <v>2021</v>
      </c>
      <c r="K24" s="6">
        <v>2022</v>
      </c>
      <c r="L24" s="6">
        <v>2023</v>
      </c>
      <c r="M24" s="6">
        <v>2024</v>
      </c>
      <c r="N24" s="6">
        <v>2025</v>
      </c>
      <c r="O24" s="6">
        <v>2026</v>
      </c>
      <c r="P24" s="6">
        <v>2027</v>
      </c>
      <c r="Q24" s="7">
        <v>2028</v>
      </c>
    </row>
    <row r="25" spans="3:17">
      <c r="C25" s="11" t="s">
        <v>38</v>
      </c>
      <c r="D25" s="19">
        <v>0.80743667691115995</v>
      </c>
      <c r="E25" s="19">
        <v>0.86710624733489461</v>
      </c>
      <c r="F25" s="19">
        <v>0.93118539901294339</v>
      </c>
      <c r="G25" s="19">
        <v>1</v>
      </c>
      <c r="H25" s="19">
        <v>1.0739000000000001</v>
      </c>
      <c r="I25" s="19">
        <v>1.1532612100000001</v>
      </c>
      <c r="J25" s="19">
        <v>1.2384872134190001</v>
      </c>
      <c r="K25" s="19">
        <v>1.3300114184906644</v>
      </c>
      <c r="L25" s="19">
        <v>1.4282992623171247</v>
      </c>
      <c r="M25" s="19">
        <v>1.5338505778023601</v>
      </c>
      <c r="N25" s="19">
        <v>1.6472021355019546</v>
      </c>
      <c r="O25" s="19">
        <v>1.7689303733155493</v>
      </c>
      <c r="P25" s="19">
        <v>1.8996543279035685</v>
      </c>
      <c r="Q25" s="20">
        <v>2.0400387827356421</v>
      </c>
    </row>
    <row r="27" spans="3:17">
      <c r="C27" s="74" t="s">
        <v>58</v>
      </c>
    </row>
    <row r="28" spans="3:17">
      <c r="C28" s="75">
        <v>10</v>
      </c>
    </row>
    <row r="29" spans="3:17">
      <c r="C29" s="76" t="s">
        <v>59</v>
      </c>
    </row>
    <row r="30" spans="3:17">
      <c r="C30" s="77">
        <v>0.5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Totals</vt:lpstr>
      <vt:lpstr>Recruitment</vt:lpstr>
      <vt:lpstr>Code Quality</vt:lpstr>
      <vt:lpstr>Goodwill &amp; Prestige</vt:lpstr>
      <vt:lpstr>R&amp;D</vt:lpstr>
      <vt:lpstr>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2018-10-20T15:36:26Z</dcterms:created>
  <dcterms:modified xsi:type="dcterms:W3CDTF">2018-10-21T13:07:42Z</dcterms:modified>
</cp:coreProperties>
</file>