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5月 " sheetId="2" r:id="rId1"/>
    <sheet name="总表 (实际材料人工)" sheetId="3" r:id="rId2"/>
    <sheet name="Sheet1" sheetId="1" r:id="rId3"/>
  </sheets>
  <externalReferences>
    <externalReference r:id="rId4"/>
  </externalReferences>
  <definedNames>
    <definedName name="_xlnm.Print_Area" localSheetId="0">'5月 '!$A$19:$M$143</definedName>
    <definedName name="_xlnm.Print_Area" localSheetId="1">'总表 (实际材料人工)'!$A$1:$M$98</definedName>
    <definedName name="_xlnm.Print_Titles" localSheetId="0">'5月 '!$5:$5</definedName>
    <definedName name="_xlnm.Print_Titles" localSheetId="1">'总表 (实际材料人工)'!$1:$4</definedName>
  </definedNames>
  <calcPr calcId="152511"/>
</workbook>
</file>

<file path=xl/calcChain.xml><?xml version="1.0" encoding="utf-8"?>
<calcChain xmlns="http://schemas.openxmlformats.org/spreadsheetml/2006/main">
  <c r="L98" i="3" l="1"/>
  <c r="L97" i="3"/>
  <c r="F97" i="3"/>
  <c r="E97" i="3"/>
  <c r="E98" i="3" s="1"/>
  <c r="K96" i="3"/>
  <c r="J96" i="3"/>
  <c r="I96" i="3"/>
  <c r="K95" i="3"/>
  <c r="I95" i="3"/>
  <c r="J95" i="3" s="1"/>
  <c r="J94" i="3"/>
  <c r="I94" i="3"/>
  <c r="K94" i="3" s="1"/>
  <c r="H94" i="3"/>
  <c r="I93" i="3"/>
  <c r="J93" i="3" s="1"/>
  <c r="K92" i="3"/>
  <c r="J92" i="3"/>
  <c r="I92" i="3"/>
  <c r="K91" i="3"/>
  <c r="I91" i="3"/>
  <c r="J91" i="3" s="1"/>
  <c r="J90" i="3"/>
  <c r="I90" i="3"/>
  <c r="K90" i="3" s="1"/>
  <c r="H90" i="3"/>
  <c r="J89" i="3"/>
  <c r="I89" i="3"/>
  <c r="K89" i="3" s="1"/>
  <c r="H89" i="3"/>
  <c r="J88" i="3"/>
  <c r="I88" i="3"/>
  <c r="K88" i="3" s="1"/>
  <c r="I87" i="3"/>
  <c r="K87" i="3" s="1"/>
  <c r="I86" i="3"/>
  <c r="H86" i="3"/>
  <c r="K86" i="3" s="1"/>
  <c r="I85" i="3"/>
  <c r="J85" i="3" s="1"/>
  <c r="J84" i="3"/>
  <c r="I84" i="3"/>
  <c r="K84" i="3" s="1"/>
  <c r="J83" i="3"/>
  <c r="I83" i="3"/>
  <c r="J82" i="3"/>
  <c r="K81" i="3"/>
  <c r="J81" i="3"/>
  <c r="I81" i="3"/>
  <c r="K80" i="3"/>
  <c r="I80" i="3"/>
  <c r="J80" i="3" s="1"/>
  <c r="J79" i="3"/>
  <c r="I79" i="3"/>
  <c r="K79" i="3" s="1"/>
  <c r="H79" i="3"/>
  <c r="I78" i="3"/>
  <c r="J78" i="3" s="1"/>
  <c r="K77" i="3"/>
  <c r="J77" i="3"/>
  <c r="I77" i="3"/>
  <c r="K76" i="3"/>
  <c r="I76" i="3"/>
  <c r="J76" i="3" s="1"/>
  <c r="J75" i="3"/>
  <c r="I75" i="3"/>
  <c r="K75" i="3" s="1"/>
  <c r="H75" i="3"/>
  <c r="J74" i="3"/>
  <c r="I74" i="3"/>
  <c r="K74" i="3" s="1"/>
  <c r="K73" i="3"/>
  <c r="J73" i="3"/>
  <c r="K72" i="3"/>
  <c r="I72" i="3"/>
  <c r="J72" i="3" s="1"/>
  <c r="I71" i="3"/>
  <c r="J71" i="3" s="1"/>
  <c r="I70" i="3"/>
  <c r="J70" i="3" s="1"/>
  <c r="J69" i="3"/>
  <c r="I69" i="3"/>
  <c r="K69" i="3" s="1"/>
  <c r="I68" i="3"/>
  <c r="K68" i="3" s="1"/>
  <c r="K67" i="3"/>
  <c r="J67" i="3"/>
  <c r="I67" i="3"/>
  <c r="K66" i="3"/>
  <c r="I66" i="3"/>
  <c r="J66" i="3" s="1"/>
  <c r="H66" i="3"/>
  <c r="K65" i="3"/>
  <c r="I65" i="3"/>
  <c r="J65" i="3" s="1"/>
  <c r="H65" i="3"/>
  <c r="J64" i="3"/>
  <c r="I64" i="3"/>
  <c r="I63" i="3"/>
  <c r="K63" i="3" s="1"/>
  <c r="I62" i="3"/>
  <c r="J62" i="3" s="1"/>
  <c r="H62" i="3"/>
  <c r="J61" i="3"/>
  <c r="I61" i="3"/>
  <c r="I60" i="3"/>
  <c r="K60" i="3" s="1"/>
  <c r="I59" i="3"/>
  <c r="J59" i="3" s="1"/>
  <c r="J58" i="3"/>
  <c r="I58" i="3"/>
  <c r="K58" i="3" s="1"/>
  <c r="H58" i="3"/>
  <c r="J57" i="3"/>
  <c r="I57" i="3"/>
  <c r="K57" i="3" s="1"/>
  <c r="I56" i="3"/>
  <c r="K56" i="3" s="1"/>
  <c r="H56" i="3"/>
  <c r="J56" i="3" s="1"/>
  <c r="I55" i="3"/>
  <c r="K55" i="3" s="1"/>
  <c r="H55" i="3"/>
  <c r="J55" i="3" s="1"/>
  <c r="J54" i="3"/>
  <c r="I54" i="3"/>
  <c r="K53" i="3"/>
  <c r="I53" i="3"/>
  <c r="J53" i="3" s="1"/>
  <c r="H53" i="3"/>
  <c r="N52" i="3"/>
  <c r="K52" i="3"/>
  <c r="J52" i="3"/>
  <c r="I52" i="3"/>
  <c r="K51" i="3"/>
  <c r="I51" i="3"/>
  <c r="J51" i="3" s="1"/>
  <c r="H51" i="3"/>
  <c r="K50" i="3"/>
  <c r="I50" i="3"/>
  <c r="J50" i="3" s="1"/>
  <c r="H50" i="3"/>
  <c r="K49" i="3"/>
  <c r="I49" i="3"/>
  <c r="J49" i="3" s="1"/>
  <c r="E49" i="3"/>
  <c r="K48" i="3"/>
  <c r="I48" i="3"/>
  <c r="J48" i="3" s="1"/>
  <c r="I47" i="3"/>
  <c r="J47" i="3" s="1"/>
  <c r="I46" i="3"/>
  <c r="K46" i="3" s="1"/>
  <c r="H46" i="3"/>
  <c r="H97" i="3" s="1"/>
  <c r="I45" i="3"/>
  <c r="I44" i="3"/>
  <c r="I97" i="3" s="1"/>
  <c r="F42" i="3"/>
  <c r="F98" i="3" s="1"/>
  <c r="J39" i="3"/>
  <c r="I39" i="3"/>
  <c r="J38" i="3"/>
  <c r="I38" i="3"/>
  <c r="J37" i="3"/>
  <c r="H36" i="3"/>
  <c r="J36" i="3" s="1"/>
  <c r="J35" i="3"/>
  <c r="J34" i="3"/>
  <c r="L33" i="3"/>
  <c r="I33" i="3"/>
  <c r="K33" i="3" s="1"/>
  <c r="J32" i="3"/>
  <c r="I32" i="3"/>
  <c r="K32" i="3" s="1"/>
  <c r="L31" i="3"/>
  <c r="J31" i="3"/>
  <c r="I31" i="3"/>
  <c r="K31" i="3" s="1"/>
  <c r="L30" i="3"/>
  <c r="I30" i="3"/>
  <c r="J30" i="3" s="1"/>
  <c r="K29" i="3"/>
  <c r="I29" i="3"/>
  <c r="H29" i="3"/>
  <c r="J29" i="3" s="1"/>
  <c r="E29" i="3"/>
  <c r="L29" i="3" s="1"/>
  <c r="L28" i="3"/>
  <c r="I28" i="3"/>
  <c r="K28" i="3" s="1"/>
  <c r="L27" i="3"/>
  <c r="I27" i="3"/>
  <c r="K27" i="3" s="1"/>
  <c r="L26" i="3"/>
  <c r="I26" i="3"/>
  <c r="K26" i="3" s="1"/>
  <c r="L25" i="3"/>
  <c r="I25" i="3"/>
  <c r="K25" i="3" s="1"/>
  <c r="I24" i="3"/>
  <c r="K24" i="3" s="1"/>
  <c r="E24" i="3"/>
  <c r="L24" i="3" s="1"/>
  <c r="L23" i="3"/>
  <c r="J23" i="3"/>
  <c r="I23" i="3"/>
  <c r="K23" i="3" s="1"/>
  <c r="J22" i="3"/>
  <c r="I22" i="3"/>
  <c r="K22" i="3" s="1"/>
  <c r="E22" i="3"/>
  <c r="L22" i="3" s="1"/>
  <c r="L21" i="3"/>
  <c r="K21" i="3"/>
  <c r="I21" i="3"/>
  <c r="J21" i="3" s="1"/>
  <c r="K20" i="3"/>
  <c r="I20" i="3"/>
  <c r="J20" i="3" s="1"/>
  <c r="E20" i="3"/>
  <c r="L20" i="3" s="1"/>
  <c r="I19" i="3"/>
  <c r="E19" i="3"/>
  <c r="J18" i="3"/>
  <c r="I18" i="3"/>
  <c r="K18" i="3" s="1"/>
  <c r="E18" i="3"/>
  <c r="J17" i="3"/>
  <c r="I17" i="3"/>
  <c r="K17" i="3" s="1"/>
  <c r="E17" i="3"/>
  <c r="J16" i="3"/>
  <c r="I16" i="3"/>
  <c r="K16" i="3" s="1"/>
  <c r="L15" i="3"/>
  <c r="J15" i="3"/>
  <c r="I15" i="3"/>
  <c r="K15" i="3" s="1"/>
  <c r="J14" i="3"/>
  <c r="I14" i="3"/>
  <c r="K14" i="3" s="1"/>
  <c r="E14" i="3"/>
  <c r="L14" i="3" s="1"/>
  <c r="I13" i="3"/>
  <c r="K13" i="3" s="1"/>
  <c r="I12" i="3"/>
  <c r="K12" i="3" s="1"/>
  <c r="E12" i="3"/>
  <c r="L12" i="3" s="1"/>
  <c r="K11" i="3"/>
  <c r="J11" i="3"/>
  <c r="E11" i="3"/>
  <c r="L11" i="3" s="1"/>
  <c r="L10" i="3"/>
  <c r="I10" i="3"/>
  <c r="K10" i="3" s="1"/>
  <c r="L9" i="3"/>
  <c r="I9" i="3"/>
  <c r="K9" i="3" s="1"/>
  <c r="I8" i="3"/>
  <c r="H8" i="3" s="1"/>
  <c r="L7" i="3"/>
  <c r="K7" i="3"/>
  <c r="J7" i="3"/>
  <c r="I7" i="3"/>
  <c r="K6" i="3"/>
  <c r="J6" i="3"/>
  <c r="I6" i="3"/>
  <c r="E6" i="3"/>
  <c r="E42" i="3" s="1"/>
  <c r="L5" i="3"/>
  <c r="K5" i="3"/>
  <c r="I5" i="3"/>
  <c r="J5" i="3" s="1"/>
  <c r="L152" i="2"/>
  <c r="L150" i="2"/>
  <c r="I150" i="2"/>
  <c r="E145" i="2"/>
  <c r="J145" i="2" s="1"/>
  <c r="I142" i="2"/>
  <c r="F142" i="2"/>
  <c r="E142" i="2"/>
  <c r="E141" i="2"/>
  <c r="H141" i="2" s="1"/>
  <c r="J140" i="2"/>
  <c r="E140" i="2"/>
  <c r="H140" i="2" s="1"/>
  <c r="F135" i="2"/>
  <c r="F143" i="2" s="1"/>
  <c r="J134" i="2"/>
  <c r="E134" i="2"/>
  <c r="H134" i="2" s="1"/>
  <c r="K133" i="2"/>
  <c r="H133" i="2" s="1"/>
  <c r="J133" i="2"/>
  <c r="E133" i="2"/>
  <c r="I132" i="2"/>
  <c r="J132" i="2" s="1"/>
  <c r="E132" i="2"/>
  <c r="J129" i="2"/>
  <c r="H129" i="2"/>
  <c r="J113" i="2"/>
  <c r="E113" i="2"/>
  <c r="H113" i="2" s="1"/>
  <c r="J111" i="2"/>
  <c r="H111" i="2"/>
  <c r="J110" i="2"/>
  <c r="H110" i="2"/>
  <c r="J109" i="2"/>
  <c r="H109" i="2"/>
  <c r="J108" i="2"/>
  <c r="H108" i="2"/>
  <c r="J107" i="2"/>
  <c r="H107" i="2"/>
  <c r="J106" i="2"/>
  <c r="H106" i="2"/>
  <c r="J105" i="2"/>
  <c r="H105" i="2"/>
  <c r="H104" i="2"/>
  <c r="E104" i="2"/>
  <c r="J104" i="2" s="1"/>
  <c r="J103" i="2"/>
  <c r="H103" i="2"/>
  <c r="E102" i="2"/>
  <c r="J102" i="2" s="1"/>
  <c r="J101" i="2"/>
  <c r="H101" i="2"/>
  <c r="J100" i="2"/>
  <c r="H100" i="2"/>
  <c r="J99" i="2"/>
  <c r="H99" i="2"/>
  <c r="J98" i="2"/>
  <c r="H98" i="2"/>
  <c r="J97" i="2"/>
  <c r="H97" i="2"/>
  <c r="J96" i="2"/>
  <c r="H96" i="2"/>
  <c r="J95" i="2"/>
  <c r="H95" i="2"/>
  <c r="J94" i="2"/>
  <c r="H94" i="2"/>
  <c r="J93" i="2"/>
  <c r="H93" i="2"/>
  <c r="J92" i="2"/>
  <c r="H92" i="2"/>
  <c r="J91" i="2"/>
  <c r="H91" i="2"/>
  <c r="J90" i="2"/>
  <c r="H90" i="2"/>
  <c r="J89" i="2"/>
  <c r="H89" i="2"/>
  <c r="J88" i="2"/>
  <c r="H88" i="2"/>
  <c r="E88" i="2"/>
  <c r="J87" i="2"/>
  <c r="H87" i="2"/>
  <c r="J86" i="2"/>
  <c r="H86" i="2"/>
  <c r="J85" i="2"/>
  <c r="H85" i="2"/>
  <c r="J84" i="2"/>
  <c r="H84" i="2"/>
  <c r="J83" i="2"/>
  <c r="H83" i="2"/>
  <c r="J82" i="2"/>
  <c r="H82" i="2"/>
  <c r="J81" i="2"/>
  <c r="H81" i="2"/>
  <c r="J80" i="2"/>
  <c r="I80" i="2"/>
  <c r="H80" i="2"/>
  <c r="J79" i="2"/>
  <c r="H79" i="2"/>
  <c r="J78" i="2"/>
  <c r="H78" i="2"/>
  <c r="J77" i="2"/>
  <c r="H77" i="2"/>
  <c r="E76" i="2"/>
  <c r="H76" i="2" s="1"/>
  <c r="J75" i="2"/>
  <c r="H75" i="2"/>
  <c r="J74" i="2"/>
  <c r="I74" i="2"/>
  <c r="H74" i="2"/>
  <c r="H73" i="2"/>
  <c r="E73" i="2"/>
  <c r="J73" i="2" s="1"/>
  <c r="J72" i="2"/>
  <c r="I72" i="2"/>
  <c r="H72" i="2"/>
  <c r="E72" i="2"/>
  <c r="J71" i="2"/>
  <c r="H71" i="2"/>
  <c r="J70" i="2"/>
  <c r="I70" i="2"/>
  <c r="H70" i="2"/>
  <c r="J69" i="2"/>
  <c r="H69" i="2"/>
  <c r="I68" i="2"/>
  <c r="I135" i="2" s="1"/>
  <c r="E68" i="2"/>
  <c r="J68" i="2" s="1"/>
  <c r="J67" i="2"/>
  <c r="H67" i="2"/>
  <c r="E67" i="2"/>
  <c r="J66" i="2"/>
  <c r="H66" i="2"/>
  <c r="J65" i="2"/>
  <c r="I65" i="2"/>
  <c r="H65" i="2"/>
  <c r="J64" i="2"/>
  <c r="H64" i="2"/>
  <c r="E64" i="2"/>
  <c r="J63" i="2"/>
  <c r="H63" i="2"/>
  <c r="J62" i="2"/>
  <c r="I62" i="2"/>
  <c r="E62" i="2"/>
  <c r="H62" i="2" s="1"/>
  <c r="J61" i="2"/>
  <c r="H61" i="2"/>
  <c r="J60" i="2"/>
  <c r="I60" i="2"/>
  <c r="H60" i="2"/>
  <c r="E60" i="2"/>
  <c r="J59" i="2"/>
  <c r="J58" i="2"/>
  <c r="H58" i="2"/>
  <c r="I57" i="2"/>
  <c r="H57" i="2" s="1"/>
  <c r="E57" i="2"/>
  <c r="E135" i="2" s="1"/>
  <c r="L56" i="2"/>
  <c r="I56" i="2"/>
  <c r="F56" i="2"/>
  <c r="J55" i="2"/>
  <c r="H55" i="2"/>
  <c r="J54" i="2"/>
  <c r="E54" i="2"/>
  <c r="H54" i="2" s="1"/>
  <c r="J53" i="2"/>
  <c r="H53" i="2"/>
  <c r="E52" i="2"/>
  <c r="H52" i="2" s="1"/>
  <c r="J51" i="2"/>
  <c r="E51" i="2"/>
  <c r="H51" i="2" s="1"/>
  <c r="J50" i="2"/>
  <c r="H50" i="2"/>
  <c r="E50" i="2"/>
  <c r="E56" i="2" s="1"/>
  <c r="I49" i="2"/>
  <c r="F49" i="2"/>
  <c r="J48" i="2"/>
  <c r="J47" i="2"/>
  <c r="J46" i="2"/>
  <c r="H46" i="2"/>
  <c r="J45" i="2"/>
  <c r="J44" i="2"/>
  <c r="J43" i="2"/>
  <c r="H43" i="2"/>
  <c r="J42" i="2"/>
  <c r="J41" i="2"/>
  <c r="J40" i="2"/>
  <c r="E39" i="2"/>
  <c r="J39" i="2" s="1"/>
  <c r="J38" i="2"/>
  <c r="H38" i="2"/>
  <c r="J37" i="2"/>
  <c r="H37" i="2"/>
  <c r="J36" i="2"/>
  <c r="H36" i="2"/>
  <c r="J35" i="2"/>
  <c r="H35" i="2"/>
  <c r="J34" i="2"/>
  <c r="H34" i="2"/>
  <c r="J33" i="2"/>
  <c r="H33" i="2"/>
  <c r="E32" i="2"/>
  <c r="J32" i="2" s="1"/>
  <c r="J31" i="2"/>
  <c r="H31" i="2"/>
  <c r="J30" i="2"/>
  <c r="K30" i="2" s="1"/>
  <c r="J29" i="2"/>
  <c r="H29" i="2"/>
  <c r="J28" i="2"/>
  <c r="J27" i="2"/>
  <c r="J26" i="2"/>
  <c r="H26" i="2"/>
  <c r="J25" i="2"/>
  <c r="J24" i="2"/>
  <c r="E23" i="2"/>
  <c r="H23" i="2" s="1"/>
  <c r="J22" i="2"/>
  <c r="H21" i="2"/>
  <c r="E21" i="2"/>
  <c r="J21" i="2" s="1"/>
  <c r="J20" i="2"/>
  <c r="F19" i="2"/>
  <c r="E19" i="2"/>
  <c r="H19" i="2" s="1"/>
  <c r="I18" i="2"/>
  <c r="F18" i="2"/>
  <c r="E18" i="2"/>
  <c r="D18" i="2"/>
  <c r="J17" i="2"/>
  <c r="J16" i="2"/>
  <c r="J15" i="2"/>
  <c r="J18" i="2" s="1"/>
  <c r="L14" i="2"/>
  <c r="L151" i="2" s="1"/>
  <c r="I14" i="2"/>
  <c r="F14" i="2"/>
  <c r="E14" i="2"/>
  <c r="D14" i="2"/>
  <c r="H13" i="2"/>
  <c r="H12" i="2"/>
  <c r="J11" i="2"/>
  <c r="J10" i="2"/>
  <c r="H10" i="2"/>
  <c r="J9" i="2"/>
  <c r="J14" i="2" s="1"/>
  <c r="J8" i="2"/>
  <c r="H8" i="2"/>
  <c r="H7" i="2"/>
  <c r="H6" i="2"/>
  <c r="K19" i="3" l="1"/>
  <c r="L8" i="3"/>
  <c r="H42" i="3"/>
  <c r="H98" i="3" s="1"/>
  <c r="J8" i="3"/>
  <c r="J42" i="3" s="1"/>
  <c r="J9" i="3"/>
  <c r="J10" i="3"/>
  <c r="H19" i="3"/>
  <c r="L19" i="3" s="1"/>
  <c r="J24" i="3"/>
  <c r="J25" i="3"/>
  <c r="J26" i="3"/>
  <c r="J27" i="3"/>
  <c r="J28" i="3"/>
  <c r="J33" i="3"/>
  <c r="I40" i="3"/>
  <c r="J40" i="3" s="1"/>
  <c r="J44" i="3"/>
  <c r="J60" i="3"/>
  <c r="J63" i="3"/>
  <c r="J68" i="3"/>
  <c r="J87" i="3"/>
  <c r="L6" i="3"/>
  <c r="K8" i="3"/>
  <c r="J12" i="3"/>
  <c r="J13" i="3"/>
  <c r="I42" i="3"/>
  <c r="I98" i="3" s="1"/>
  <c r="K44" i="3"/>
  <c r="J46" i="3"/>
  <c r="J86" i="3"/>
  <c r="H135" i="2"/>
  <c r="I143" i="2"/>
  <c r="L153" i="2"/>
  <c r="L154" i="2" s="1"/>
  <c r="L155" i="2" s="1"/>
  <c r="L156" i="2" s="1"/>
  <c r="J19" i="2"/>
  <c r="J23" i="2"/>
  <c r="E49" i="2"/>
  <c r="E143" i="2" s="1"/>
  <c r="J52" i="2"/>
  <c r="J56" i="2" s="1"/>
  <c r="J57" i="2"/>
  <c r="H68" i="2"/>
  <c r="J76" i="2"/>
  <c r="J141" i="2"/>
  <c r="J142" i="2" s="1"/>
  <c r="H102" i="2"/>
  <c r="H145" i="2"/>
  <c r="J97" i="3" l="1"/>
  <c r="J98" i="3" s="1"/>
  <c r="J135" i="2"/>
  <c r="J143" i="2" s="1"/>
  <c r="J49" i="2"/>
</calcChain>
</file>

<file path=xl/comments1.xml><?xml version="1.0" encoding="utf-8"?>
<comments xmlns="http://schemas.openxmlformats.org/spreadsheetml/2006/main">
  <authors>
    <author>作者</author>
  </authors>
  <commentList>
    <comment ref="E50" authorId="0" shapeId="0">
      <text>
        <r>
          <rPr>
            <sz val="9"/>
            <rFont val="宋体"/>
            <family val="3"/>
            <charset val="134"/>
          </rPr>
          <t xml:space="preserve">含复工后进出场费
</t>
        </r>
      </text>
    </comment>
    <comment ref="I50" authorId="0" shapeId="0">
      <text>
        <r>
          <rPr>
            <sz val="9"/>
            <rFont val="宋体"/>
            <family val="3"/>
            <charset val="134"/>
          </rPr>
          <t xml:space="preserve">实际付款为：481536.5
变卖塔吊一台：37.5万元  手续未见
</t>
        </r>
      </text>
    </comment>
    <comment ref="E70" authorId="0" shapeId="0">
      <text>
        <r>
          <rPr>
            <sz val="9"/>
            <rFont val="宋体"/>
            <family val="3"/>
            <charset val="134"/>
          </rPr>
          <t>截至2016.1.20日产值</t>
        </r>
      </text>
    </comment>
    <comment ref="M12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已经帮甲方垫付档案管理费，蒋总易总已经同意，垫付金额为99300元，在2016.04.13已经支付
</t>
        </r>
      </text>
    </comment>
    <comment ref="E129" authorId="0" shapeId="0">
      <text>
        <r>
          <rPr>
            <sz val="9"/>
            <rFont val="宋体"/>
            <family val="3"/>
            <charset val="134"/>
          </rPr>
          <t>2016.3.28日开始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37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2015.10.12</t>
        </r>
        <r>
          <rPr>
            <sz val="9"/>
            <color indexed="81"/>
            <rFont val="宋体"/>
            <family val="3"/>
            <charset val="134"/>
          </rPr>
          <t>现金支付</t>
        </r>
      </text>
    </comment>
    <comment ref="H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将兴隆茂名机砖厂采购金额转至仁寿县高家机砖厂
</t>
        </r>
      </text>
    </comment>
    <comment ref="F44" authorId="0" shapeId="0">
      <text>
        <r>
          <rPr>
            <sz val="9"/>
            <rFont val="宋体"/>
            <family val="3"/>
            <charset val="134"/>
          </rPr>
          <t xml:space="preserve">售楼部131135.4
</t>
        </r>
      </text>
    </comment>
    <comment ref="I6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减去售楼部已结算金额69708.72为主体进度款支付金额
</t>
        </r>
      </text>
    </comment>
  </commentList>
</comments>
</file>

<file path=xl/sharedStrings.xml><?xml version="1.0" encoding="utf-8"?>
<sst xmlns="http://schemas.openxmlformats.org/spreadsheetml/2006/main" count="581" uniqueCount="392">
  <si>
    <t>成都广和工程管理公司项目部月度收支计划明细表</t>
  </si>
  <si>
    <t>项目名称</t>
  </si>
  <si>
    <t>成都万科公园五号</t>
  </si>
  <si>
    <t>项目经理：曹元虎</t>
  </si>
  <si>
    <t>填表人：李正娟</t>
  </si>
  <si>
    <t>会计：曹杰英</t>
  </si>
  <si>
    <t>合同金额：135371528.13</t>
  </si>
  <si>
    <t>建筑面积：192198.49</t>
  </si>
  <si>
    <t>预算月份</t>
  </si>
  <si>
    <t>填报日期</t>
  </si>
  <si>
    <t>第 1 页</t>
  </si>
  <si>
    <t>类 别</t>
  </si>
  <si>
    <t>预支项目</t>
  </si>
  <si>
    <t>合同总额</t>
  </si>
  <si>
    <t>已购金额
或累计完成产值（截止4月20日）</t>
  </si>
  <si>
    <t>扣款金额</t>
  </si>
  <si>
    <t>合同付款比例</t>
  </si>
  <si>
    <t>实际付款比例（含计划）</t>
  </si>
  <si>
    <t>应付账款
（含本次计划）</t>
  </si>
  <si>
    <t>5月计划</t>
  </si>
  <si>
    <t>执行情况</t>
  </si>
  <si>
    <t>备    注</t>
  </si>
  <si>
    <t>行政开支</t>
  </si>
  <si>
    <t>固定开支</t>
  </si>
  <si>
    <t>管理人员工资</t>
  </si>
  <si>
    <t>含1季度绩效</t>
  </si>
  <si>
    <t>社保</t>
  </si>
  <si>
    <t>办公用品</t>
  </si>
  <si>
    <t>项目开办费</t>
  </si>
  <si>
    <t>汽车费用</t>
  </si>
  <si>
    <t>可变开支</t>
  </si>
  <si>
    <t>业务费用</t>
  </si>
  <si>
    <t>增加2期转序验收、保温论证业务费15000</t>
  </si>
  <si>
    <t>管理人员生活开支</t>
  </si>
  <si>
    <t>后勤工资（保安、厨师）</t>
  </si>
  <si>
    <t>含海悦维保人员2名</t>
  </si>
  <si>
    <t>小   计</t>
  </si>
  <si>
    <t>税金及管理费</t>
  </si>
  <si>
    <t>开票税金</t>
  </si>
  <si>
    <t>交中天管理费</t>
  </si>
  <si>
    <t>保理手续费</t>
  </si>
  <si>
    <t>材料</t>
  </si>
  <si>
    <t>双流县兴隆茂名机砖厂</t>
  </si>
  <si>
    <t>成都大成亨通商贸有限公司（水泥）</t>
  </si>
  <si>
    <t>成都港都筑浆建材有限公司（砂浆）</t>
  </si>
  <si>
    <t>成都高新区永鸿美工部（广告）</t>
  </si>
  <si>
    <t>成都恒欣恒建材有限公司</t>
  </si>
  <si>
    <t>成都三采广告有限公司</t>
  </si>
  <si>
    <t>成都三雄家具有限公司</t>
  </si>
  <si>
    <t>成都市众志活动板房有限公司</t>
  </si>
  <si>
    <t>成都天博建材有限公司（PVC围挡）</t>
  </si>
  <si>
    <t>成都唯美防护栏（定型化）</t>
  </si>
  <si>
    <t>成都勇拓建材有限公司（向远成烟道）</t>
  </si>
  <si>
    <t>成都正安金属结构有限公司（铝模租赁费）</t>
  </si>
  <si>
    <t>大邑县韩场镇鸿运佳建材经营部（砂浆王）</t>
  </si>
  <si>
    <t>都江堰信通机电经营部</t>
  </si>
  <si>
    <t>华阳腾飞建材经营部</t>
  </si>
  <si>
    <t>金牛区恒和信建材经营部</t>
  </si>
  <si>
    <t>金牛区恒瑞达建材经营部</t>
  </si>
  <si>
    <t>金牛区华鑫宏建材经营部</t>
  </si>
  <si>
    <t>金牛区通统达建材经营部</t>
  </si>
  <si>
    <t>金牛区统达建材经营部（木方、模板）</t>
  </si>
  <si>
    <t>金牛区鑫建兴五金经营部（翼都铁马镫厂)</t>
  </si>
  <si>
    <t>零星采购</t>
  </si>
  <si>
    <t>郫县鑫隆达建材经营部（木方、模板）</t>
  </si>
  <si>
    <t>青羊区周文建材经营部（沙石）</t>
  </si>
  <si>
    <t>锐智建材(湿拌沙浆)</t>
  </si>
  <si>
    <t>双流县华阳茂林建辅材料经营部</t>
  </si>
  <si>
    <t>双流县华阳盛世建辅材料经营部（大门）</t>
  </si>
  <si>
    <t>四川峨胜水泥集团股份有限公司</t>
  </si>
  <si>
    <t>四川华曦建设工程质量检测有限公司（大体积混凝土测温检测协议）</t>
  </si>
  <si>
    <t>长城宽带互联网专线接入服务协议（宽带）</t>
  </si>
  <si>
    <t>机械</t>
  </si>
  <si>
    <t>成都鑫强信建筑机械租凭有限公司（塔吊）</t>
  </si>
  <si>
    <t>双流宏发建筑机具租赁站</t>
  </si>
  <si>
    <t>四川鑫川建筑机械有限公司第一分公司（施工电梯）</t>
  </si>
  <si>
    <t>成都佳峻建筑材料租赁有限公司</t>
  </si>
  <si>
    <t>成都市郎和建材有限公司</t>
  </si>
  <si>
    <t>新都区天健建筑机具设备租赁站</t>
  </si>
  <si>
    <t>小计</t>
  </si>
  <si>
    <t>人工</t>
  </si>
  <si>
    <t>杨强-钢筋班组（售楼部）</t>
  </si>
  <si>
    <t>向朕君-砼班组</t>
  </si>
  <si>
    <t>邹平书-架工班组（主体）</t>
  </si>
  <si>
    <t>邹平书-架工班组（售楼部）</t>
  </si>
  <si>
    <t>吴继春-砌体班组（主体）</t>
  </si>
  <si>
    <t>吴继春-砌体班组（售楼部）</t>
  </si>
  <si>
    <t>赵文友-捡底班组</t>
  </si>
  <si>
    <t>欧心琼-防水班组（主体）</t>
  </si>
  <si>
    <t>欧心琼-防水班组（售楼部）</t>
  </si>
  <si>
    <t>唐金和-石匠班组</t>
  </si>
  <si>
    <t>曹礼银-内抹班组（主体）</t>
  </si>
  <si>
    <t>曹礼银-内抹班组（售楼部）</t>
  </si>
  <si>
    <t>王军-水电安装（主体）</t>
  </si>
  <si>
    <t>王军-水电安装（售楼部）</t>
  </si>
  <si>
    <t>姚红友-小木匠</t>
  </si>
  <si>
    <t>胡春华-植筋班组</t>
  </si>
  <si>
    <t>张勇林-二模班组</t>
  </si>
  <si>
    <t>林其中-小工班组</t>
  </si>
  <si>
    <t>杨斌-打磨班组</t>
  </si>
  <si>
    <t>四川华固建设工程有限公司</t>
  </si>
  <si>
    <t>成都锦联建筑劳务有限公司</t>
  </si>
  <si>
    <t>魏金-植筋班组</t>
  </si>
  <si>
    <t>罗雪峰-机械班组</t>
  </si>
  <si>
    <t>李忠-吊洞班组</t>
  </si>
  <si>
    <t>何强元-二模班组</t>
  </si>
  <si>
    <t>向潘-二模班组</t>
  </si>
  <si>
    <t>陈红波-植筋班组</t>
  </si>
  <si>
    <t>赵品政-架工班组</t>
  </si>
  <si>
    <t>郭仲兴-外抹班组</t>
  </si>
  <si>
    <t>李征-铝模班组</t>
  </si>
  <si>
    <t>宋国庆-铝模班组</t>
  </si>
  <si>
    <t>T2铝模人工</t>
  </si>
  <si>
    <t>杨宇林-木工班组</t>
  </si>
  <si>
    <t>谢鹏飞-木工班组</t>
  </si>
  <si>
    <t>靳心德-钢筋班组</t>
  </si>
  <si>
    <t>罗小洪-木工班组</t>
  </si>
  <si>
    <t>刘应-砼班组</t>
  </si>
  <si>
    <t>刘伟-T3新进砼班组</t>
  </si>
  <si>
    <t>王久峰-模板班组</t>
  </si>
  <si>
    <t>黎成林-防水班组</t>
  </si>
  <si>
    <t>余江-腻子班组</t>
  </si>
  <si>
    <t>詹万友-突击班组</t>
  </si>
  <si>
    <t>林继富-打磨班组</t>
  </si>
  <si>
    <t>易守德-打磨突击班组</t>
  </si>
  <si>
    <t>邝光成-抹灰突击班组、地下室腻子</t>
    <phoneticPr fontId="11" type="noConversion"/>
  </si>
  <si>
    <t>梅昌和-突击班组</t>
  </si>
  <si>
    <t>吴永军-地坪班组</t>
  </si>
  <si>
    <t>车昭富-临设砌体</t>
  </si>
  <si>
    <t>邓红川-土石方工程承包</t>
  </si>
  <si>
    <t>贺红清-焊止水钢板</t>
  </si>
  <si>
    <t>吉发明-焊工班组</t>
  </si>
  <si>
    <t>易冶明-木工班组</t>
  </si>
  <si>
    <t>王汝超-试验班组</t>
  </si>
  <si>
    <t>唐川——突击人工</t>
  </si>
  <si>
    <t>鸿宝找补</t>
  </si>
  <si>
    <t>李寿友—防水</t>
  </si>
  <si>
    <t>注明班组负责人名字及工种，如：张三（架工）</t>
  </si>
  <si>
    <t>档案馆资料移交</t>
  </si>
  <si>
    <t>我单位垫付甲方发指令</t>
  </si>
  <si>
    <t>项目T3砼人工费</t>
  </si>
  <si>
    <t>钟守火-剔打班组</t>
  </si>
  <si>
    <t>彭措-外墙找补</t>
  </si>
  <si>
    <t>小工工资（含T2结构加班工人）</t>
  </si>
  <si>
    <t>施工电梯人工</t>
  </si>
  <si>
    <t>杨洲-塔吊人工</t>
  </si>
  <si>
    <t>其他</t>
  </si>
  <si>
    <t>排污费</t>
  </si>
  <si>
    <t>四川建业工程质量检测有限公司</t>
  </si>
  <si>
    <t>打卡机费用</t>
  </si>
  <si>
    <t>视频传输费用</t>
  </si>
  <si>
    <t>电费</t>
  </si>
  <si>
    <t>3.20-4.20</t>
  </si>
  <si>
    <t>水费</t>
  </si>
  <si>
    <t>工程支出合计</t>
  </si>
  <si>
    <t xml:space="preserve"> </t>
  </si>
  <si>
    <t xml:space="preserve">     项目            回款</t>
  </si>
  <si>
    <t>预收项目</t>
  </si>
  <si>
    <t>合同金额</t>
  </si>
  <si>
    <t>完成产值(截止2016年1月31日）</t>
  </si>
  <si>
    <t>累计已收款</t>
  </si>
  <si>
    <t>应收款</t>
  </si>
  <si>
    <t>工程进度款</t>
  </si>
  <si>
    <t>其他收入</t>
  </si>
  <si>
    <t>公司投入</t>
  </si>
  <si>
    <t>恢复税款</t>
  </si>
  <si>
    <t>收取的保证金</t>
  </si>
  <si>
    <t>合计</t>
  </si>
  <si>
    <t>总经办</t>
  </si>
  <si>
    <t>项目部</t>
  </si>
  <si>
    <t>成本管理部</t>
  </si>
  <si>
    <t>财务管理部</t>
  </si>
  <si>
    <t>主管副总</t>
  </si>
  <si>
    <t>行政开支合计</t>
  </si>
  <si>
    <t>工程开支合计</t>
  </si>
  <si>
    <t>本月支出合计</t>
  </si>
  <si>
    <t>本月回款合计</t>
  </si>
  <si>
    <t>期初余额</t>
  </si>
  <si>
    <t>资金余额</t>
  </si>
  <si>
    <t>填表说明：
1、供应商单位名称必须填写全称（合同上标明的乙方单位）；
2、付款申请单上的收款方名称必须和计划一致；
3、在下月计划填报时上月计划还没有执行完的，全部纳入到下月计划中统一申报；
4、本表的所有“列”都不得更改，只能增加或调整“行”</t>
  </si>
  <si>
    <t>公园5号项目合同目录表</t>
  </si>
  <si>
    <t>序号</t>
  </si>
  <si>
    <t>合同名称</t>
  </si>
  <si>
    <t>工程属性</t>
  </si>
  <si>
    <t>承包人</t>
  </si>
  <si>
    <t>决算金额</t>
  </si>
  <si>
    <t>采购金额（元）</t>
  </si>
  <si>
    <t>累计已付金额（元）</t>
  </si>
  <si>
    <t>余额（元）</t>
  </si>
  <si>
    <t>实际付款比例</t>
  </si>
  <si>
    <t>备注</t>
  </si>
  <si>
    <t>编号</t>
  </si>
  <si>
    <t>001</t>
  </si>
  <si>
    <t>砂浆王采购</t>
  </si>
  <si>
    <t>大邑县韩场镇鸿运佳一建材经营部</t>
  </si>
  <si>
    <t>002</t>
  </si>
  <si>
    <t>购销合同（PVC围挡）</t>
  </si>
  <si>
    <t>成都天博建材有限公司</t>
  </si>
  <si>
    <t>gy001</t>
  </si>
  <si>
    <t>003</t>
  </si>
  <si>
    <t>购销合同（沙石）</t>
  </si>
  <si>
    <t>青羊区周文建材经营部</t>
  </si>
  <si>
    <t>004</t>
  </si>
  <si>
    <t>购销合同（木方、模板）</t>
  </si>
  <si>
    <t>郫县鑫隆达建材经营部</t>
  </si>
  <si>
    <t>005</t>
  </si>
  <si>
    <t>五金材料合同（五金）</t>
  </si>
  <si>
    <t>金牛区恒和信机电经营部</t>
  </si>
  <si>
    <t>006</t>
  </si>
  <si>
    <t>活动板房承包合同（板房）</t>
  </si>
  <si>
    <t>007</t>
  </si>
  <si>
    <t>购销合同（广告牌制作）</t>
  </si>
  <si>
    <t>广告</t>
  </si>
  <si>
    <t>008</t>
  </si>
  <si>
    <t>购销合同（家具）</t>
  </si>
  <si>
    <t>家具</t>
  </si>
  <si>
    <t>009</t>
  </si>
  <si>
    <t>铁马镫</t>
  </si>
  <si>
    <t>双流县华阳腾飞建材经营部</t>
  </si>
  <si>
    <t>已结算</t>
    <phoneticPr fontId="11" type="noConversion"/>
  </si>
  <si>
    <t>010</t>
  </si>
  <si>
    <t>购销合同（砖）</t>
  </si>
  <si>
    <t>011</t>
  </si>
  <si>
    <t>机具</t>
  </si>
  <si>
    <t>012</t>
  </si>
  <si>
    <t>物资租赁合同</t>
  </si>
  <si>
    <t>013</t>
  </si>
  <si>
    <t>建筑机械租赁合同（塔吊）</t>
  </si>
  <si>
    <t>成都鑫强信建筑租赁有限公司</t>
  </si>
  <si>
    <t>其中进出场合同付款比例100%</t>
  </si>
  <si>
    <t>014</t>
  </si>
  <si>
    <t>大体积混凝土测温检测协议</t>
  </si>
  <si>
    <t>四川华曦建设工程质量检测有限公司</t>
  </si>
  <si>
    <t>015</t>
  </si>
  <si>
    <t>金牛区统达建材经营部</t>
  </si>
  <si>
    <t>016</t>
  </si>
  <si>
    <t>017</t>
  </si>
  <si>
    <t>办公费</t>
  </si>
  <si>
    <t>成都长城宽带网络服务有限公司</t>
  </si>
  <si>
    <t>018</t>
  </si>
  <si>
    <t>购销安装合同（广告牌、标识牌）</t>
  </si>
  <si>
    <t>成都维美防护栏工程有限公司</t>
  </si>
  <si>
    <t>gy002</t>
  </si>
  <si>
    <t>020</t>
  </si>
  <si>
    <t>建筑砂浆采购合同</t>
  </si>
  <si>
    <t>成都港都浆建材有限公司</t>
  </si>
  <si>
    <t>021</t>
  </si>
  <si>
    <t>购销合同（砖块）</t>
  </si>
  <si>
    <t>双流县兴隆茂明机砖厂</t>
    <phoneticPr fontId="11" type="noConversion"/>
  </si>
  <si>
    <t>022</t>
  </si>
  <si>
    <t>采购合同</t>
  </si>
  <si>
    <t>024</t>
  </si>
  <si>
    <t>五金材料合同</t>
  </si>
  <si>
    <t>025</t>
  </si>
  <si>
    <t>购销合同</t>
  </si>
  <si>
    <t>026</t>
  </si>
  <si>
    <t>租赁合同</t>
  </si>
  <si>
    <t>成都市朗和建材有限公司</t>
  </si>
  <si>
    <t>027</t>
  </si>
  <si>
    <t>检测合同</t>
  </si>
  <si>
    <t>四川省建业工程质量检测有限公司</t>
  </si>
  <si>
    <t>028</t>
  </si>
  <si>
    <t>施工升降机租赁合同</t>
  </si>
  <si>
    <t>四川鑫川建筑机械有限公司第一分公司</t>
  </si>
  <si>
    <t>暂无合同</t>
  </si>
  <si>
    <t>物资租赁合同（钢管、扣件）</t>
  </si>
  <si>
    <t>大门</t>
  </si>
  <si>
    <t>双流华阳盛世建辅材料经营部</t>
  </si>
  <si>
    <t>成都高新区永鸿美工部</t>
  </si>
  <si>
    <t>成都市星佳利建材有限公司</t>
  </si>
  <si>
    <t>成都大成亨通商贸有限公司</t>
  </si>
  <si>
    <t>商混</t>
  </si>
  <si>
    <t>锐智建材</t>
  </si>
  <si>
    <t>包工包料</t>
  </si>
  <si>
    <t>烟道</t>
  </si>
  <si>
    <t>勇拓建材</t>
  </si>
  <si>
    <t>原双流县兴隆茂名机砖厂</t>
    <phoneticPr fontId="11" type="noConversion"/>
  </si>
  <si>
    <t>砖</t>
    <phoneticPr fontId="11" type="noConversion"/>
  </si>
  <si>
    <t>仁寿县高家机砖厂（普通合伙）</t>
    <phoneticPr fontId="11" type="noConversion"/>
  </si>
  <si>
    <t>班组名称</t>
  </si>
  <si>
    <t>累计已完成产值（元）</t>
  </si>
  <si>
    <t>需缴纳风险保证金</t>
  </si>
  <si>
    <t>抹灰班组</t>
  </si>
  <si>
    <t>曹礼银</t>
  </si>
  <si>
    <t>gy005</t>
  </si>
  <si>
    <t>变形缝班组</t>
    <phoneticPr fontId="11" type="noConversion"/>
  </si>
  <si>
    <t>曾祥虎</t>
    <phoneticPr fontId="11" type="noConversion"/>
  </si>
  <si>
    <t>临设砌体</t>
  </si>
  <si>
    <t>车昭富</t>
  </si>
  <si>
    <t>gy003</t>
  </si>
  <si>
    <t>029</t>
  </si>
  <si>
    <t>植筋班组</t>
  </si>
  <si>
    <t>陈红波</t>
  </si>
  <si>
    <t>gy013</t>
  </si>
  <si>
    <t>碳纤维加固(四川华固)</t>
  </si>
  <si>
    <t>陈俊华</t>
  </si>
  <si>
    <t>挡土墙承包协议</t>
  </si>
  <si>
    <t>土石方工程承包协议</t>
  </si>
  <si>
    <t>邓红川</t>
  </si>
  <si>
    <t>gy006</t>
  </si>
  <si>
    <t>郭仲兴</t>
  </si>
  <si>
    <t>二模班组</t>
  </si>
  <si>
    <t>何强元</t>
  </si>
  <si>
    <t>焊止水条钢板班组承包协议</t>
  </si>
  <si>
    <t>贺红清</t>
  </si>
  <si>
    <t>gy007</t>
  </si>
  <si>
    <t>胡春华</t>
  </si>
  <si>
    <t>焊工班组（退场）</t>
  </si>
  <si>
    <t>吉发明</t>
  </si>
  <si>
    <t>钢筋班组</t>
  </si>
  <si>
    <t>靳兴德</t>
  </si>
  <si>
    <t>抹灰突击队</t>
  </si>
  <si>
    <t>邝光成</t>
  </si>
  <si>
    <t>防水班组</t>
  </si>
  <si>
    <t>黎成林</t>
  </si>
  <si>
    <t>防水班组</t>
    <phoneticPr fontId="11" type="noConversion"/>
  </si>
  <si>
    <t>李寿友</t>
    <phoneticPr fontId="11" type="noConversion"/>
  </si>
  <si>
    <t>5#楼铝模班组</t>
  </si>
  <si>
    <t>李征</t>
  </si>
  <si>
    <t>gy014</t>
  </si>
  <si>
    <t>030</t>
  </si>
  <si>
    <t>吊洞班组</t>
  </si>
  <si>
    <t>李忠</t>
  </si>
  <si>
    <t>打磨班组</t>
  </si>
  <si>
    <t>林继富</t>
  </si>
  <si>
    <t>普工班组</t>
  </si>
  <si>
    <t>林其忠</t>
  </si>
  <si>
    <t>5#楼铝模班组（T2铝膜人工）</t>
    <phoneticPr fontId="11" type="noConversion"/>
  </si>
  <si>
    <t>零星人工</t>
  </si>
  <si>
    <t>砼工班组</t>
  </si>
  <si>
    <t>刘应</t>
  </si>
  <si>
    <t>gy011</t>
  </si>
  <si>
    <t>木工班组</t>
  </si>
  <si>
    <t>罗小洪</t>
  </si>
  <si>
    <t>机械班组</t>
  </si>
  <si>
    <t>罗雪峰</t>
  </si>
  <si>
    <t>突击队</t>
  </si>
  <si>
    <t>梅昌和</t>
  </si>
  <si>
    <t>欧心琼</t>
  </si>
  <si>
    <t>gy009</t>
  </si>
  <si>
    <t>铝膜班组</t>
  </si>
  <si>
    <t>宋国庆</t>
  </si>
  <si>
    <r>
      <t>T</t>
    </r>
    <r>
      <rPr>
        <sz val="10"/>
        <rFont val="宋体"/>
        <family val="3"/>
        <charset val="134"/>
      </rPr>
      <t>3新进砼班组</t>
    </r>
    <phoneticPr fontId="11" type="noConversion"/>
  </si>
  <si>
    <t>孙凯</t>
    <phoneticPr fontId="11" type="noConversion"/>
  </si>
  <si>
    <t>石匠班组</t>
  </si>
  <si>
    <t>唐金和</t>
  </si>
  <si>
    <t>售楼部、样板房模板班组</t>
  </si>
  <si>
    <t>王久峰</t>
  </si>
  <si>
    <t>019</t>
  </si>
  <si>
    <t>水电班组</t>
  </si>
  <si>
    <t>王军</t>
  </si>
  <si>
    <t>试验班组（代甲方支付）</t>
  </si>
  <si>
    <t>王汝超</t>
  </si>
  <si>
    <t>植筋班组承包协议</t>
  </si>
  <si>
    <t>魏金</t>
  </si>
  <si>
    <t>砌筑班组承包协议</t>
  </si>
  <si>
    <t>吴继春</t>
  </si>
  <si>
    <t>地坪班组</t>
  </si>
  <si>
    <t>吴永军</t>
  </si>
  <si>
    <t>向攀</t>
  </si>
  <si>
    <t>砼班组承包协议</t>
  </si>
  <si>
    <t>向朕君</t>
  </si>
  <si>
    <t>023</t>
  </si>
  <si>
    <t>谢鹏飞</t>
  </si>
  <si>
    <t>gy008</t>
  </si>
  <si>
    <t>打磨零星人工</t>
  </si>
  <si>
    <t>熊建春</t>
  </si>
  <si>
    <t>打磨班组（抹灰）</t>
  </si>
  <si>
    <t>杨斌</t>
  </si>
  <si>
    <t>杨强</t>
  </si>
  <si>
    <t>突击班组</t>
  </si>
  <si>
    <t>杨勇（易守德）</t>
  </si>
  <si>
    <t>木工班组承包协议</t>
  </si>
  <si>
    <t>杨宇林</t>
  </si>
  <si>
    <t>塔吊班组</t>
  </si>
  <si>
    <t>杨洲</t>
  </si>
  <si>
    <t>姚红友</t>
  </si>
  <si>
    <t>易冶民</t>
  </si>
  <si>
    <t>gy012</t>
  </si>
  <si>
    <t>涂料班组</t>
  </si>
  <si>
    <t>余江</t>
  </si>
  <si>
    <t>gy004</t>
  </si>
  <si>
    <t>涂料突击（增加）</t>
  </si>
  <si>
    <t>詹万友</t>
  </si>
  <si>
    <t>张勇林</t>
  </si>
  <si>
    <t>架工班组</t>
  </si>
  <si>
    <t>赵品正</t>
  </si>
  <si>
    <t>人工捡底班组</t>
  </si>
  <si>
    <t>赵文友</t>
  </si>
  <si>
    <t>邹平书</t>
  </si>
  <si>
    <t>累计已付款</t>
    <phoneticPr fontId="3" type="noConversion"/>
  </si>
  <si>
    <t>杨强-钢筋班组（主体）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</si>
</sst>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80" formatCode="#,##0.00_ "/>
    <numFmt numFmtId="181" formatCode="#,##0.00_);[Red]\(#,##0.00\)"/>
    <numFmt numFmtId="182" formatCode="0.00_ ;[Red]\-0.00\ "/>
    <numFmt numFmtId="183" formatCode="_-* #,##0.00_-;\-* #,##0.00_-;_-* &quot;-&quot;??_-;_-@_-"/>
    <numFmt numFmtId="184" formatCode="0.00_);[Red]\(0.00\)"/>
    <numFmt numFmtId="185" formatCode="0_);[Red]\(0\)"/>
  </numFmts>
  <fonts count="26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color indexed="8"/>
      <name val="黑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name val="宋体"/>
      <family val="3"/>
      <charset val="134"/>
    </font>
    <font>
      <u/>
      <sz val="10"/>
      <color indexed="8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4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10" fillId="5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10" fillId="8" borderId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94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9" fontId="2" fillId="0" borderId="1" xfId="1" applyNumberFormat="1" applyFont="1" applyFill="1" applyBorder="1" applyAlignment="1">
      <alignment horizontal="center" vertical="center" wrapText="1"/>
    </xf>
    <xf numFmtId="180" fontId="4" fillId="2" borderId="2" xfId="1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10" fontId="4" fillId="0" borderId="0" xfId="1" applyNumberFormat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1" fillId="0" borderId="0" xfId="2" applyFill="1"/>
    <xf numFmtId="0" fontId="1" fillId="0" borderId="0" xfId="2"/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 wrapText="1"/>
    </xf>
    <xf numFmtId="9" fontId="5" fillId="2" borderId="3" xfId="1" applyNumberFormat="1" applyFont="1" applyFill="1" applyBorder="1" applyAlignment="1">
      <alignment horizontal="left" vertical="center" wrapText="1"/>
    </xf>
    <xf numFmtId="181" fontId="5" fillId="3" borderId="3" xfId="1" applyNumberFormat="1" applyFont="1" applyFill="1" applyBorder="1" applyAlignment="1">
      <alignment horizontal="left" vertical="center" wrapText="1"/>
    </xf>
    <xf numFmtId="180" fontId="6" fillId="2" borderId="2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10" fontId="6" fillId="0" borderId="0" xfId="1" applyNumberFormat="1" applyFont="1" applyFill="1" applyBorder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Alignment="1">
      <alignment vertical="center" wrapText="1"/>
    </xf>
    <xf numFmtId="57" fontId="5" fillId="3" borderId="3" xfId="1" applyNumberFormat="1" applyFont="1" applyFill="1" applyBorder="1" applyAlignment="1">
      <alignment horizontal="left" vertical="center" wrapText="1"/>
    </xf>
    <xf numFmtId="57" fontId="5" fillId="3" borderId="3" xfId="1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vertical="center" wrapText="1"/>
    </xf>
    <xf numFmtId="0" fontId="5" fillId="3" borderId="3" xfId="1" applyFont="1" applyFill="1" applyBorder="1" applyAlignment="1">
      <alignment vertical="center" wrapText="1"/>
    </xf>
    <xf numFmtId="9" fontId="5" fillId="3" borderId="3" xfId="1" applyNumberFormat="1" applyFont="1" applyFill="1" applyBorder="1" applyAlignment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 wrapText="1"/>
    </xf>
    <xf numFmtId="14" fontId="5" fillId="2" borderId="3" xfId="1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9" fontId="5" fillId="2" borderId="3" xfId="1" applyNumberFormat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shrinkToFit="1"/>
    </xf>
    <xf numFmtId="182" fontId="5" fillId="3" borderId="3" xfId="1" applyNumberFormat="1" applyFont="1" applyFill="1" applyBorder="1" applyAlignment="1">
      <alignment horizontal="center" vertical="center" wrapText="1" shrinkToFit="1"/>
    </xf>
    <xf numFmtId="181" fontId="5" fillId="0" borderId="3" xfId="1" applyNumberFormat="1" applyFont="1" applyFill="1" applyBorder="1" applyAlignment="1">
      <alignment horizontal="center" vertical="center" wrapText="1"/>
    </xf>
    <xf numFmtId="181" fontId="5" fillId="3" borderId="3" xfId="1" applyNumberFormat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textRotation="255" wrapText="1"/>
    </xf>
    <xf numFmtId="0" fontId="5" fillId="4" borderId="6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left" vertical="center" wrapText="1"/>
    </xf>
    <xf numFmtId="180" fontId="7" fillId="0" borderId="3" xfId="3" applyNumberFormat="1" applyFont="1" applyFill="1" applyBorder="1" applyAlignment="1">
      <alignment horizontal="center" vertical="center" wrapText="1"/>
    </xf>
    <xf numFmtId="180" fontId="8" fillId="0" borderId="3" xfId="4" applyNumberFormat="1" applyFont="1" applyFill="1" applyBorder="1" applyAlignment="1">
      <alignment horizontal="center" vertical="center"/>
    </xf>
    <xf numFmtId="180" fontId="7" fillId="0" borderId="3" xfId="4" applyNumberFormat="1" applyFont="1" applyFill="1" applyBorder="1" applyAlignment="1">
      <alignment horizontal="center" vertical="center"/>
    </xf>
    <xf numFmtId="9" fontId="7" fillId="0" borderId="3" xfId="1" applyNumberFormat="1" applyFont="1" applyFill="1" applyBorder="1" applyAlignment="1">
      <alignment horizontal="center" vertical="center" wrapText="1"/>
    </xf>
    <xf numFmtId="43" fontId="4" fillId="0" borderId="3" xfId="5" applyNumberFormat="1" applyFont="1" applyFill="1" applyBorder="1" applyAlignment="1">
      <alignment horizontal="center" vertical="center"/>
    </xf>
    <xf numFmtId="181" fontId="7" fillId="0" borderId="3" xfId="4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 wrapText="1"/>
    </xf>
    <xf numFmtId="180" fontId="4" fillId="0" borderId="2" xfId="1" applyNumberFormat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 applyAlignment="1">
      <alignment vertical="center" wrapText="1"/>
    </xf>
    <xf numFmtId="0" fontId="5" fillId="0" borderId="7" xfId="1" applyFont="1" applyFill="1" applyBorder="1" applyAlignment="1">
      <alignment horizontal="center" vertical="center" textRotation="255" wrapText="1"/>
    </xf>
    <xf numFmtId="0" fontId="5" fillId="4" borderId="7" xfId="1" applyFont="1" applyFill="1" applyBorder="1" applyAlignment="1">
      <alignment horizontal="center" vertical="center" wrapText="1"/>
    </xf>
    <xf numFmtId="180" fontId="7" fillId="0" borderId="3" xfId="4" applyNumberFormat="1" applyFont="1" applyFill="1" applyBorder="1" applyAlignment="1">
      <alignment horizontal="right"/>
    </xf>
    <xf numFmtId="181" fontId="5" fillId="0" borderId="8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180" fontId="4" fillId="0" borderId="0" xfId="1" applyNumberFormat="1" applyFont="1" applyFill="1" applyBorder="1" applyAlignment="1">
      <alignment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left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left" vertical="center" wrapText="1"/>
    </xf>
    <xf numFmtId="180" fontId="7" fillId="3" borderId="3" xfId="3" applyNumberFormat="1" applyFont="1" applyFill="1" applyBorder="1" applyAlignment="1">
      <alignment horizontal="center" vertical="center" wrapText="1"/>
    </xf>
    <xf numFmtId="180" fontId="7" fillId="3" borderId="3" xfId="4" applyNumberFormat="1" applyFont="1" applyFill="1" applyBorder="1" applyAlignment="1">
      <alignment horizontal="center" vertical="center"/>
    </xf>
    <xf numFmtId="9" fontId="7" fillId="3" borderId="3" xfId="1" applyNumberFormat="1" applyFont="1" applyFill="1" applyBorder="1" applyAlignment="1">
      <alignment horizontal="center" vertical="center" wrapText="1"/>
    </xf>
    <xf numFmtId="9" fontId="7" fillId="2" borderId="3" xfId="1" applyNumberFormat="1" applyFont="1" applyFill="1" applyBorder="1" applyAlignment="1">
      <alignment horizontal="center" vertical="center" wrapText="1"/>
    </xf>
    <xf numFmtId="180" fontId="7" fillId="4" borderId="3" xfId="4" applyNumberFormat="1" applyFont="1" applyFill="1" applyBorder="1" applyAlignment="1">
      <alignment horizontal="right"/>
    </xf>
    <xf numFmtId="181" fontId="5" fillId="3" borderId="8" xfId="1" applyNumberFormat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180" fontId="1" fillId="0" borderId="0" xfId="2" applyNumberFormat="1" applyFill="1"/>
    <xf numFmtId="0" fontId="5" fillId="0" borderId="3" xfId="1" applyFont="1" applyFill="1" applyBorder="1" applyAlignment="1">
      <alignment horizontal="center" vertical="center" wrapText="1"/>
    </xf>
    <xf numFmtId="180" fontId="7" fillId="0" borderId="3" xfId="1" applyNumberFormat="1" applyFont="1" applyFill="1" applyBorder="1" applyAlignment="1">
      <alignment horizontal="center" vertical="center" wrapText="1"/>
    </xf>
    <xf numFmtId="181" fontId="7" fillId="0" borderId="8" xfId="1" applyNumberFormat="1" applyFont="1" applyFill="1" applyBorder="1" applyAlignment="1">
      <alignment horizontal="center" vertical="center" wrapText="1"/>
    </xf>
    <xf numFmtId="181" fontId="9" fillId="0" borderId="3" xfId="4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left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left" vertical="center" wrapText="1"/>
    </xf>
    <xf numFmtId="180" fontId="5" fillId="3" borderId="6" xfId="1" applyNumberFormat="1" applyFont="1" applyFill="1" applyBorder="1" applyAlignment="1">
      <alignment horizontal="center" vertical="center" shrinkToFit="1"/>
    </xf>
    <xf numFmtId="180" fontId="5" fillId="0" borderId="6" xfId="1" applyNumberFormat="1" applyFont="1" applyFill="1" applyBorder="1" applyAlignment="1">
      <alignment horizontal="center" vertical="center" shrinkToFit="1"/>
    </xf>
    <xf numFmtId="9" fontId="5" fillId="3" borderId="6" xfId="1" applyNumberFormat="1" applyFont="1" applyFill="1" applyBorder="1" applyAlignment="1">
      <alignment horizontal="center" vertical="center" shrinkToFit="1"/>
    </xf>
    <xf numFmtId="9" fontId="5" fillId="3" borderId="3" xfId="1" applyNumberFormat="1" applyFont="1" applyFill="1" applyBorder="1" applyAlignment="1">
      <alignment horizontal="center" vertical="center" shrinkToFit="1"/>
    </xf>
    <xf numFmtId="180" fontId="5" fillId="3" borderId="3" xfId="1" applyNumberFormat="1" applyFont="1" applyFill="1" applyBorder="1" applyAlignment="1">
      <alignment horizontal="center" vertical="center" shrinkToFit="1"/>
    </xf>
    <xf numFmtId="182" fontId="5" fillId="3" borderId="4" xfId="1" applyNumberFormat="1" applyFont="1" applyFill="1" applyBorder="1" applyAlignment="1">
      <alignment horizontal="center" vertical="center" shrinkToFit="1"/>
    </xf>
    <xf numFmtId="180" fontId="6" fillId="0" borderId="0" xfId="1" applyNumberFormat="1" applyFont="1" applyFill="1" applyBorder="1" applyAlignment="1">
      <alignment vertical="center" wrapText="1"/>
    </xf>
    <xf numFmtId="0" fontId="5" fillId="0" borderId="3" xfId="1" applyNumberFormat="1" applyFont="1" applyFill="1" applyBorder="1" applyAlignment="1">
      <alignment horizontal="center" vertical="center" textRotation="255"/>
    </xf>
    <xf numFmtId="181" fontId="7" fillId="0" borderId="3" xfId="3" applyNumberFormat="1" applyFont="1" applyFill="1" applyBorder="1" applyAlignment="1">
      <alignment horizontal="center" vertical="center" wrapText="1"/>
    </xf>
    <xf numFmtId="9" fontId="7" fillId="0" borderId="3" xfId="2" applyNumberFormat="1" applyFont="1" applyFill="1" applyBorder="1" applyAlignment="1">
      <alignment horizontal="center" vertical="center"/>
    </xf>
    <xf numFmtId="9" fontId="7" fillId="0" borderId="9" xfId="3" applyNumberFormat="1" applyFont="1" applyFill="1" applyBorder="1" applyAlignment="1">
      <alignment horizontal="center" vertical="center" wrapText="1"/>
    </xf>
    <xf numFmtId="4" fontId="7" fillId="0" borderId="3" xfId="2" applyNumberFormat="1" applyFont="1" applyFill="1" applyBorder="1" applyAlignment="1">
      <alignment horizontal="center" vertical="center"/>
    </xf>
    <xf numFmtId="182" fontId="7" fillId="0" borderId="3" xfId="1" applyNumberFormat="1" applyFont="1" applyFill="1" applyBorder="1" applyAlignment="1">
      <alignment horizontal="center" vertical="center" shrinkToFit="1"/>
    </xf>
    <xf numFmtId="182" fontId="7" fillId="0" borderId="4" xfId="1" applyNumberFormat="1" applyFont="1" applyFill="1" applyBorder="1" applyAlignment="1">
      <alignment horizontal="center" vertical="center" shrinkToFit="1"/>
    </xf>
    <xf numFmtId="0" fontId="5" fillId="4" borderId="3" xfId="1" applyNumberFormat="1" applyFont="1" applyFill="1" applyBorder="1" applyAlignment="1">
      <alignment horizontal="center" vertical="center" textRotation="255"/>
    </xf>
    <xf numFmtId="181" fontId="4" fillId="0" borderId="0" xfId="1" applyNumberFormat="1" applyFont="1" applyFill="1" applyBorder="1" applyAlignment="1">
      <alignment vertical="center" wrapText="1"/>
    </xf>
    <xf numFmtId="181" fontId="7" fillId="0" borderId="9" xfId="3" applyNumberFormat="1" applyFont="1" applyFill="1" applyBorder="1" applyAlignment="1">
      <alignment horizontal="center" vertical="center" wrapText="1"/>
    </xf>
    <xf numFmtId="183" fontId="4" fillId="0" borderId="2" xfId="1" applyNumberFormat="1" applyFont="1" applyFill="1" applyBorder="1" applyAlignment="1">
      <alignment horizontal="center" vertical="center" wrapText="1"/>
    </xf>
    <xf numFmtId="0" fontId="5" fillId="3" borderId="3" xfId="1" applyNumberFormat="1" applyFont="1" applyFill="1" applyBorder="1" applyAlignment="1">
      <alignment horizontal="center" vertical="center" textRotation="255"/>
    </xf>
    <xf numFmtId="0" fontId="5" fillId="3" borderId="3" xfId="3" applyFont="1" applyFill="1" applyBorder="1" applyAlignment="1">
      <alignment horizontal="left" vertical="center" wrapText="1"/>
    </xf>
    <xf numFmtId="181" fontId="5" fillId="3" borderId="3" xfId="3" applyNumberFormat="1" applyFont="1" applyFill="1" applyBorder="1" applyAlignment="1">
      <alignment horizontal="center" vertical="center" wrapText="1"/>
    </xf>
    <xf numFmtId="181" fontId="5" fillId="0" borderId="3" xfId="3" applyNumberFormat="1" applyFont="1" applyFill="1" applyBorder="1" applyAlignment="1">
      <alignment horizontal="center" vertical="center" wrapText="1"/>
    </xf>
    <xf numFmtId="9" fontId="5" fillId="3" borderId="3" xfId="3" applyNumberFormat="1" applyFont="1" applyFill="1" applyBorder="1" applyAlignment="1">
      <alignment horizontal="center" vertical="center" wrapText="1"/>
    </xf>
    <xf numFmtId="9" fontId="5" fillId="3" borderId="9" xfId="3" applyNumberFormat="1" applyFont="1" applyFill="1" applyBorder="1" applyAlignment="1">
      <alignment horizontal="center" vertical="center" wrapText="1"/>
    </xf>
    <xf numFmtId="182" fontId="7" fillId="3" borderId="3" xfId="1" applyNumberFormat="1" applyFont="1" applyFill="1" applyBorder="1" applyAlignment="1">
      <alignment horizontal="center" vertical="center" shrinkToFit="1"/>
    </xf>
    <xf numFmtId="182" fontId="7" fillId="3" borderId="4" xfId="1" applyNumberFormat="1" applyFont="1" applyFill="1" applyBorder="1" applyAlignment="1">
      <alignment horizontal="center" vertical="center" shrinkToFit="1"/>
    </xf>
    <xf numFmtId="0" fontId="5" fillId="4" borderId="7" xfId="1" applyFont="1" applyFill="1" applyBorder="1" applyAlignment="1">
      <alignment horizontal="center" vertical="center" textRotation="255" wrapText="1"/>
    </xf>
    <xf numFmtId="0" fontId="5" fillId="4" borderId="10" xfId="1" applyFont="1" applyFill="1" applyBorder="1" applyAlignment="1">
      <alignment horizontal="center" vertical="center" wrapText="1"/>
    </xf>
    <xf numFmtId="0" fontId="7" fillId="4" borderId="11" xfId="2" applyFont="1" applyFill="1" applyBorder="1" applyAlignment="1">
      <alignment horizontal="left" vertical="center" wrapText="1"/>
    </xf>
    <xf numFmtId="180" fontId="7" fillId="4" borderId="11" xfId="4" applyNumberFormat="1" applyFont="1" applyFill="1" applyBorder="1" applyAlignment="1">
      <alignment horizontal="center" vertical="center"/>
    </xf>
    <xf numFmtId="0" fontId="7" fillId="4" borderId="11" xfId="6" applyNumberFormat="1" applyFont="1" applyFill="1" applyBorder="1" applyAlignment="1" applyProtection="1">
      <alignment horizontal="center" vertical="center"/>
    </xf>
    <xf numFmtId="9" fontId="4" fillId="4" borderId="11" xfId="7" applyNumberFormat="1" applyFont="1" applyFill="1" applyBorder="1" applyAlignment="1">
      <alignment vertical="center"/>
    </xf>
    <xf numFmtId="9" fontId="7" fillId="4" borderId="11" xfId="7" applyNumberFormat="1" applyFont="1" applyFill="1" applyBorder="1" applyAlignment="1">
      <alignment horizontal="center" vertical="center"/>
    </xf>
    <xf numFmtId="9" fontId="7" fillId="4" borderId="3" xfId="7" applyNumberFormat="1" applyFont="1" applyFill="1" applyBorder="1" applyAlignment="1">
      <alignment horizontal="center" vertical="center"/>
    </xf>
    <xf numFmtId="181" fontId="7" fillId="4" borderId="3" xfId="2" applyNumberFormat="1" applyFont="1" applyFill="1" applyBorder="1" applyAlignment="1">
      <alignment horizontal="center" vertical="center"/>
    </xf>
    <xf numFmtId="4" fontId="7" fillId="4" borderId="3" xfId="2" applyNumberFormat="1" applyFont="1" applyFill="1" applyBorder="1" applyAlignment="1">
      <alignment horizontal="center" vertical="center"/>
    </xf>
    <xf numFmtId="181" fontId="7" fillId="4" borderId="6" xfId="3" applyNumberFormat="1" applyFont="1" applyFill="1" applyBorder="1" applyAlignment="1">
      <alignment horizontal="center" vertical="center" wrapText="1"/>
    </xf>
    <xf numFmtId="181" fontId="7" fillId="4" borderId="3" xfId="3" applyNumberFormat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180" fontId="1" fillId="4" borderId="2" xfId="2" applyNumberFormat="1" applyFill="1" applyBorder="1" applyAlignment="1">
      <alignment vertical="center"/>
    </xf>
    <xf numFmtId="181" fontId="4" fillId="4" borderId="0" xfId="1" applyNumberFormat="1" applyFont="1" applyFill="1" applyBorder="1" applyAlignment="1">
      <alignment vertical="center" wrapText="1"/>
    </xf>
    <xf numFmtId="43" fontId="4" fillId="4" borderId="0" xfId="1" applyNumberFormat="1" applyFont="1" applyFill="1" applyBorder="1" applyAlignment="1">
      <alignment vertical="center" wrapText="1"/>
    </xf>
    <xf numFmtId="0" fontId="4" fillId="4" borderId="0" xfId="1" applyFont="1" applyFill="1" applyAlignment="1">
      <alignment vertical="center" wrapText="1"/>
    </xf>
    <xf numFmtId="0" fontId="1" fillId="4" borderId="0" xfId="2" applyFill="1"/>
    <xf numFmtId="0" fontId="4" fillId="4" borderId="0" xfId="2" applyFont="1" applyFill="1"/>
    <xf numFmtId="0" fontId="4" fillId="4" borderId="3" xfId="2" applyFont="1" applyFill="1" applyBorder="1" applyAlignment="1">
      <alignment wrapText="1"/>
    </xf>
    <xf numFmtId="180" fontId="7" fillId="4" borderId="3" xfId="4" applyNumberFormat="1" applyFont="1" applyFill="1" applyBorder="1" applyAlignment="1">
      <alignment horizontal="center" vertical="center"/>
    </xf>
    <xf numFmtId="9" fontId="7" fillId="4" borderId="3" xfId="4" applyNumberFormat="1" applyFont="1" applyFill="1" applyBorder="1" applyAlignment="1">
      <alignment horizontal="center" vertical="center"/>
    </xf>
    <xf numFmtId="4" fontId="7" fillId="4" borderId="4" xfId="2" applyNumberFormat="1" applyFont="1" applyFill="1" applyBorder="1" applyAlignment="1">
      <alignment horizontal="center" vertical="center"/>
    </xf>
    <xf numFmtId="181" fontId="7" fillId="4" borderId="9" xfId="3" applyNumberFormat="1" applyFont="1" applyFill="1" applyBorder="1" applyAlignment="1">
      <alignment horizontal="center" vertical="center" wrapText="1"/>
    </xf>
    <xf numFmtId="181" fontId="7" fillId="4" borderId="4" xfId="3" applyNumberFormat="1" applyFont="1" applyFill="1" applyBorder="1" applyAlignment="1">
      <alignment horizontal="center" vertical="center" wrapText="1"/>
    </xf>
    <xf numFmtId="4" fontId="4" fillId="4" borderId="0" xfId="1" applyNumberFormat="1" applyFont="1" applyFill="1" applyBorder="1" applyAlignment="1">
      <alignment vertical="center" wrapText="1"/>
    </xf>
    <xf numFmtId="0" fontId="7" fillId="4" borderId="3" xfId="2" applyFont="1" applyFill="1" applyBorder="1" applyAlignment="1">
      <alignment horizontal="left" vertical="center" wrapText="1"/>
    </xf>
    <xf numFmtId="181" fontId="4" fillId="4" borderId="3" xfId="2" applyNumberFormat="1" applyFont="1" applyFill="1" applyBorder="1" applyAlignment="1">
      <alignment horizontal="center" vertical="center"/>
    </xf>
    <xf numFmtId="181" fontId="7" fillId="4" borderId="9" xfId="3" applyNumberFormat="1" applyFont="1" applyFill="1" applyBorder="1" applyAlignment="1">
      <alignment vertical="center" wrapText="1"/>
    </xf>
    <xf numFmtId="0" fontId="7" fillId="4" borderId="12" xfId="1" applyFont="1" applyFill="1" applyBorder="1" applyAlignment="1">
      <alignment vertical="center" wrapText="1"/>
    </xf>
    <xf numFmtId="0" fontId="1" fillId="4" borderId="0" xfId="2" applyFill="1" applyAlignment="1"/>
    <xf numFmtId="0" fontId="4" fillId="4" borderId="3" xfId="6" applyNumberFormat="1" applyFont="1" applyFill="1" applyBorder="1" applyAlignment="1" applyProtection="1">
      <alignment vertical="center" wrapText="1"/>
    </xf>
    <xf numFmtId="0" fontId="7" fillId="4" borderId="2" xfId="1" applyFont="1" applyFill="1" applyBorder="1" applyAlignment="1">
      <alignment vertical="center" wrapText="1"/>
    </xf>
    <xf numFmtId="181" fontId="7" fillId="4" borderId="11" xfId="3" applyNumberFormat="1" applyFont="1" applyFill="1" applyBorder="1" applyAlignment="1">
      <alignment horizontal="center" vertical="center" wrapText="1"/>
    </xf>
    <xf numFmtId="181" fontId="7" fillId="4" borderId="3" xfId="3" applyNumberFormat="1" applyFont="1" applyFill="1" applyBorder="1" applyAlignment="1">
      <alignment vertical="center" wrapText="1"/>
    </xf>
    <xf numFmtId="0" fontId="7" fillId="4" borderId="13" xfId="1" applyFont="1" applyFill="1" applyBorder="1" applyAlignment="1">
      <alignment vertical="center" wrapText="1"/>
    </xf>
    <xf numFmtId="4" fontId="4" fillId="4" borderId="0" xfId="2" applyNumberFormat="1" applyFont="1" applyFill="1" applyBorder="1"/>
    <xf numFmtId="0" fontId="4" fillId="4" borderId="3" xfId="2" applyFont="1" applyFill="1" applyBorder="1" applyAlignment="1">
      <alignment vertical="center" wrapText="1"/>
    </xf>
    <xf numFmtId="180" fontId="4" fillId="4" borderId="3" xfId="2" applyNumberFormat="1" applyFont="1" applyFill="1" applyBorder="1" applyAlignment="1">
      <alignment vertical="center"/>
    </xf>
    <xf numFmtId="180" fontId="4" fillId="4" borderId="3" xfId="2" applyNumberFormat="1" applyFont="1" applyFill="1" applyBorder="1" applyAlignment="1">
      <alignment horizontal="center" vertical="center"/>
    </xf>
    <xf numFmtId="181" fontId="4" fillId="4" borderId="0" xfId="2" applyNumberFormat="1" applyFont="1" applyFill="1" applyBorder="1"/>
    <xf numFmtId="180" fontId="4" fillId="4" borderId="0" xfId="2" applyNumberFormat="1" applyFont="1" applyFill="1" applyBorder="1"/>
    <xf numFmtId="180" fontId="7" fillId="4" borderId="3" xfId="4" applyNumberFormat="1" applyFont="1" applyFill="1" applyBorder="1" applyAlignment="1">
      <alignment vertical="center"/>
    </xf>
    <xf numFmtId="180" fontId="7" fillId="4" borderId="3" xfId="2" applyNumberFormat="1" applyFont="1" applyFill="1" applyBorder="1" applyAlignment="1">
      <alignment horizontal="center" vertical="center"/>
    </xf>
    <xf numFmtId="180" fontId="7" fillId="4" borderId="3" xfId="2" applyNumberFormat="1" applyFont="1" applyFill="1" applyBorder="1" applyAlignment="1">
      <alignment vertical="center"/>
    </xf>
    <xf numFmtId="181" fontId="11" fillId="4" borderId="3" xfId="5" applyNumberFormat="1" applyFont="1" applyFill="1" applyBorder="1" applyAlignment="1">
      <alignment horizontal="center" vertical="center" wrapText="1"/>
    </xf>
    <xf numFmtId="0" fontId="11" fillId="4" borderId="3" xfId="8" applyFont="1" applyFill="1" applyBorder="1" applyAlignment="1">
      <alignment vertical="center" wrapText="1"/>
    </xf>
    <xf numFmtId="0" fontId="5" fillId="4" borderId="11" xfId="1" applyFont="1" applyFill="1" applyBorder="1" applyAlignment="1">
      <alignment horizontal="center" vertical="center" textRotation="255" wrapText="1"/>
    </xf>
    <xf numFmtId="0" fontId="5" fillId="3" borderId="3" xfId="1" applyNumberFormat="1" applyFont="1" applyFill="1" applyBorder="1" applyAlignment="1">
      <alignment horizontal="center" vertical="center" textRotation="255"/>
    </xf>
    <xf numFmtId="0" fontId="5" fillId="0" borderId="3" xfId="1" applyFont="1" applyFill="1" applyBorder="1" applyAlignment="1">
      <alignment vertical="center" textRotation="255" wrapText="1"/>
    </xf>
    <xf numFmtId="0" fontId="5" fillId="0" borderId="10" xfId="1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left" vertical="center" wrapText="1"/>
    </xf>
    <xf numFmtId="181" fontId="7" fillId="0" borderId="3" xfId="2" applyNumberFormat="1" applyFont="1" applyFill="1" applyBorder="1" applyAlignment="1">
      <alignment horizontal="center" vertical="center"/>
    </xf>
    <xf numFmtId="9" fontId="7" fillId="0" borderId="3" xfId="4" applyNumberFormat="1" applyFont="1" applyFill="1" applyBorder="1" applyAlignment="1">
      <alignment horizontal="center" vertical="center"/>
    </xf>
    <xf numFmtId="9" fontId="7" fillId="0" borderId="3" xfId="7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180" fontId="1" fillId="0" borderId="2" xfId="2" applyNumberFormat="1" applyFill="1" applyBorder="1" applyAlignment="1">
      <alignment vertical="center"/>
    </xf>
    <xf numFmtId="0" fontId="4" fillId="0" borderId="0" xfId="2" applyFont="1" applyFill="1"/>
    <xf numFmtId="0" fontId="5" fillId="4" borderId="3" xfId="1" applyFont="1" applyFill="1" applyBorder="1" applyAlignment="1">
      <alignment vertical="center" textRotation="255" wrapText="1"/>
    </xf>
    <xf numFmtId="0" fontId="11" fillId="0" borderId="3" xfId="8" applyFont="1" applyFill="1" applyBorder="1" applyAlignment="1">
      <alignment vertical="center" wrapText="1"/>
    </xf>
    <xf numFmtId="181" fontId="4" fillId="0" borderId="0" xfId="2" applyNumberFormat="1" applyFont="1" applyFill="1" applyBorder="1"/>
    <xf numFmtId="0" fontId="4" fillId="0" borderId="3" xfId="2" applyFont="1" applyFill="1" applyBorder="1" applyAlignment="1">
      <alignment wrapText="1"/>
    </xf>
    <xf numFmtId="0" fontId="4" fillId="0" borderId="3" xfId="2" applyFont="1" applyFill="1" applyBorder="1" applyAlignment="1">
      <alignment vertical="center" wrapText="1"/>
    </xf>
    <xf numFmtId="180" fontId="4" fillId="0" borderId="3" xfId="4" applyNumberFormat="1" applyFont="1" applyFill="1" applyBorder="1" applyAlignment="1">
      <alignment horizontal="center" vertical="center"/>
    </xf>
    <xf numFmtId="180" fontId="4" fillId="0" borderId="3" xfId="2" applyNumberFormat="1" applyFont="1" applyFill="1" applyBorder="1" applyAlignment="1">
      <alignment vertical="center"/>
    </xf>
    <xf numFmtId="181" fontId="4" fillId="0" borderId="3" xfId="2" applyNumberFormat="1" applyFont="1" applyFill="1" applyBorder="1" applyAlignment="1">
      <alignment horizontal="center" vertical="center"/>
    </xf>
    <xf numFmtId="9" fontId="4" fillId="0" borderId="3" xfId="4" applyNumberFormat="1" applyFont="1" applyFill="1" applyBorder="1" applyAlignment="1">
      <alignment horizontal="center" vertical="center"/>
    </xf>
    <xf numFmtId="9" fontId="4" fillId="0" borderId="3" xfId="7" applyNumberFormat="1" applyFont="1" applyFill="1" applyBorder="1" applyAlignment="1">
      <alignment horizontal="center" vertical="center"/>
    </xf>
    <xf numFmtId="180" fontId="4" fillId="0" borderId="3" xfId="2" applyNumberFormat="1" applyFont="1" applyFill="1" applyBorder="1" applyAlignment="1">
      <alignment horizontal="center" vertical="center"/>
    </xf>
    <xf numFmtId="4" fontId="4" fillId="0" borderId="3" xfId="2" applyNumberFormat="1" applyFont="1" applyFill="1" applyBorder="1" applyAlignment="1">
      <alignment horizontal="center" vertical="center"/>
    </xf>
    <xf numFmtId="181" fontId="4" fillId="0" borderId="3" xfId="3" applyNumberFormat="1" applyFont="1" applyFill="1" applyBorder="1" applyAlignment="1">
      <alignment horizontal="center" vertical="center" wrapText="1"/>
    </xf>
    <xf numFmtId="180" fontId="4" fillId="0" borderId="0" xfId="2" applyNumberFormat="1" applyFont="1" applyFill="1" applyBorder="1"/>
    <xf numFmtId="0" fontId="5" fillId="2" borderId="6" xfId="1" applyFont="1" applyFill="1" applyBorder="1" applyAlignment="1">
      <alignment horizontal="center" vertical="center" textRotation="255"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left" vertical="center" wrapText="1"/>
    </xf>
    <xf numFmtId="14" fontId="7" fillId="2" borderId="3" xfId="3" applyNumberFormat="1" applyFont="1" applyFill="1" applyBorder="1" applyAlignment="1">
      <alignment horizontal="center" vertical="center" wrapText="1"/>
    </xf>
    <xf numFmtId="181" fontId="5" fillId="2" borderId="3" xfId="3" applyNumberFormat="1" applyFont="1" applyFill="1" applyBorder="1" applyAlignment="1">
      <alignment horizontal="center" vertical="center" wrapText="1"/>
    </xf>
    <xf numFmtId="9" fontId="5" fillId="2" borderId="3" xfId="3" applyNumberFormat="1" applyFont="1" applyFill="1" applyBorder="1" applyAlignment="1">
      <alignment horizontal="center" vertical="center" wrapText="1"/>
    </xf>
    <xf numFmtId="181" fontId="5" fillId="2" borderId="4" xfId="3" applyNumberFormat="1" applyFont="1" applyFill="1" applyBorder="1" applyAlignment="1">
      <alignment horizontal="center" vertical="center" wrapText="1"/>
    </xf>
    <xf numFmtId="181" fontId="6" fillId="0" borderId="0" xfId="1" applyNumberFormat="1" applyFont="1" applyFill="1" applyBorder="1" applyAlignment="1">
      <alignment vertical="center" wrapText="1"/>
    </xf>
    <xf numFmtId="0" fontId="5" fillId="0" borderId="3" xfId="1" applyFont="1" applyFill="1" applyBorder="1" applyAlignment="1">
      <alignment horizontal="center" vertical="center" textRotation="255" wrapText="1"/>
    </xf>
    <xf numFmtId="0" fontId="5" fillId="0" borderId="14" xfId="1" applyNumberFormat="1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left" vertical="center" wrapText="1"/>
    </xf>
    <xf numFmtId="180" fontId="7" fillId="0" borderId="4" xfId="4" applyNumberFormat="1" applyFont="1" applyFill="1" applyBorder="1" applyAlignment="1">
      <alignment horizontal="center" vertical="center"/>
    </xf>
    <xf numFmtId="180" fontId="7" fillId="0" borderId="3" xfId="2" applyNumberFormat="1" applyFont="1" applyFill="1" applyBorder="1" applyAlignment="1">
      <alignment horizontal="center" vertical="center"/>
    </xf>
    <xf numFmtId="9" fontId="7" fillId="0" borderId="9" xfId="2" applyNumberFormat="1" applyFont="1" applyFill="1" applyBorder="1" applyAlignment="1">
      <alignment horizontal="center" vertical="center"/>
    </xf>
    <xf numFmtId="181" fontId="4" fillId="0" borderId="9" xfId="4" applyNumberFormat="1" applyFont="1" applyFill="1" applyBorder="1" applyAlignment="1">
      <alignment horizontal="center" vertical="center"/>
    </xf>
    <xf numFmtId="180" fontId="9" fillId="0" borderId="3" xfId="1" applyNumberFormat="1" applyFont="1" applyFill="1" applyBorder="1" applyAlignment="1">
      <alignment horizontal="center" vertical="center" wrapText="1"/>
    </xf>
    <xf numFmtId="0" fontId="5" fillId="0" borderId="10" xfId="1" applyNumberFormat="1" applyFont="1" applyFill="1" applyBorder="1" applyAlignment="1">
      <alignment horizontal="center" vertical="center"/>
    </xf>
    <xf numFmtId="180" fontId="4" fillId="0" borderId="3" xfId="1" applyNumberFormat="1" applyFont="1" applyFill="1" applyBorder="1" applyAlignment="1">
      <alignment horizontal="center" vertical="center" wrapText="1"/>
    </xf>
    <xf numFmtId="180" fontId="7" fillId="0" borderId="3" xfId="9" applyNumberFormat="1" applyFont="1" applyFill="1" applyBorder="1" applyAlignment="1">
      <alignment horizontal="center" vertical="center"/>
    </xf>
    <xf numFmtId="181" fontId="12" fillId="0" borderId="3" xfId="3" applyNumberFormat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 wrapText="1"/>
    </xf>
    <xf numFmtId="180" fontId="12" fillId="0" borderId="2" xfId="1" applyNumberFormat="1" applyFont="1" applyFill="1" applyBorder="1" applyAlignment="1">
      <alignment horizontal="center" vertical="center" wrapText="1"/>
    </xf>
    <xf numFmtId="181" fontId="4" fillId="6" borderId="9" xfId="4" applyNumberFormat="1" applyFont="1" applyFill="1" applyBorder="1" applyAlignment="1">
      <alignment horizontal="center" vertical="center"/>
    </xf>
    <xf numFmtId="180" fontId="7" fillId="0" borderId="2" xfId="1" applyNumberFormat="1" applyFont="1" applyFill="1" applyBorder="1" applyAlignment="1">
      <alignment horizontal="center" vertical="center" wrapText="1"/>
    </xf>
    <xf numFmtId="181" fontId="4" fillId="0" borderId="14" xfId="4" applyNumberFormat="1" applyFont="1" applyFill="1" applyBorder="1" applyAlignment="1">
      <alignment horizontal="center" vertical="center"/>
    </xf>
    <xf numFmtId="180" fontId="4" fillId="0" borderId="3" xfId="9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textRotation="255" wrapText="1"/>
    </xf>
    <xf numFmtId="0" fontId="5" fillId="2" borderId="10" xfId="1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left" vertical="center" wrapText="1"/>
    </xf>
    <xf numFmtId="180" fontId="4" fillId="2" borderId="3" xfId="4" applyNumberFormat="1" applyFont="1" applyFill="1" applyBorder="1" applyAlignment="1">
      <alignment horizontal="center" vertical="center"/>
    </xf>
    <xf numFmtId="180" fontId="7" fillId="2" borderId="3" xfId="9" applyNumberFormat="1" applyFont="1" applyFill="1" applyBorder="1" applyAlignment="1">
      <alignment horizontal="center" vertical="center"/>
    </xf>
    <xf numFmtId="9" fontId="7" fillId="2" borderId="3" xfId="4" applyNumberFormat="1" applyFont="1" applyFill="1" applyBorder="1" applyAlignment="1">
      <alignment horizontal="center" vertical="center"/>
    </xf>
    <xf numFmtId="9" fontId="7" fillId="2" borderId="9" xfId="2" applyNumberFormat="1" applyFont="1" applyFill="1" applyBorder="1" applyAlignment="1">
      <alignment horizontal="center" vertical="center"/>
    </xf>
    <xf numFmtId="181" fontId="4" fillId="6" borderId="14" xfId="4" applyNumberFormat="1" applyFont="1" applyFill="1" applyBorder="1" applyAlignment="1">
      <alignment horizontal="center" vertical="center"/>
    </xf>
    <xf numFmtId="4" fontId="7" fillId="2" borderId="3" xfId="2" applyNumberFormat="1" applyFont="1" applyFill="1" applyBorder="1" applyAlignment="1">
      <alignment horizontal="center" vertical="center"/>
    </xf>
    <xf numFmtId="180" fontId="9" fillId="2" borderId="3" xfId="1" applyNumberFormat="1" applyFont="1" applyFill="1" applyBorder="1" applyAlignment="1">
      <alignment horizontal="center" vertical="center" wrapText="1"/>
    </xf>
    <xf numFmtId="181" fontId="7" fillId="2" borderId="3" xfId="3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180" fontId="7" fillId="2" borderId="2" xfId="1" applyNumberFormat="1" applyFont="1" applyFill="1" applyBorder="1" applyAlignment="1">
      <alignment horizontal="center" vertical="center" wrapText="1"/>
    </xf>
    <xf numFmtId="180" fontId="7" fillId="2" borderId="3" xfId="1" applyNumberFormat="1" applyFont="1" applyFill="1" applyBorder="1" applyAlignment="1">
      <alignment horizontal="center" vertical="center" wrapText="1"/>
    </xf>
    <xf numFmtId="181" fontId="4" fillId="3" borderId="0" xfId="1" applyNumberFormat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180" fontId="7" fillId="2" borderId="3" xfId="4" applyNumberFormat="1" applyFont="1" applyFill="1" applyBorder="1" applyAlignment="1">
      <alignment horizontal="center" vertical="center"/>
    </xf>
    <xf numFmtId="180" fontId="4" fillId="2" borderId="3" xfId="1" applyNumberFormat="1" applyFont="1" applyFill="1" applyBorder="1" applyAlignment="1">
      <alignment horizontal="center" vertical="center" wrapText="1"/>
    </xf>
    <xf numFmtId="180" fontId="7" fillId="2" borderId="4" xfId="4" applyNumberFormat="1" applyFont="1" applyFill="1" applyBorder="1" applyAlignment="1">
      <alignment horizontal="center" vertical="center"/>
    </xf>
    <xf numFmtId="180" fontId="7" fillId="2" borderId="13" xfId="4" applyNumberFormat="1" applyFont="1" applyFill="1" applyBorder="1" applyAlignment="1">
      <alignment horizontal="center" vertical="center"/>
    </xf>
    <xf numFmtId="181" fontId="4" fillId="7" borderId="3" xfId="3" applyNumberFormat="1" applyFont="1" applyFill="1" applyBorder="1" applyAlignment="1">
      <alignment horizontal="center" vertical="center" wrapText="1"/>
    </xf>
    <xf numFmtId="180" fontId="7" fillId="2" borderId="12" xfId="4" applyNumberFormat="1" applyFont="1" applyFill="1" applyBorder="1" applyAlignment="1">
      <alignment horizontal="center" vertical="center"/>
    </xf>
    <xf numFmtId="181" fontId="4" fillId="7" borderId="14" xfId="4" applyNumberFormat="1" applyFont="1" applyFill="1" applyBorder="1" applyAlignment="1">
      <alignment horizontal="center" vertical="center"/>
    </xf>
    <xf numFmtId="180" fontId="4" fillId="2" borderId="12" xfId="4" applyNumberFormat="1" applyFont="1" applyFill="1" applyBorder="1" applyAlignment="1">
      <alignment horizontal="center" vertical="center"/>
    </xf>
    <xf numFmtId="180" fontId="4" fillId="2" borderId="3" xfId="9" applyNumberFormat="1" applyFont="1" applyFill="1" applyBorder="1" applyAlignment="1">
      <alignment horizontal="center" vertical="center"/>
    </xf>
    <xf numFmtId="9" fontId="4" fillId="2" borderId="3" xfId="4" applyNumberFormat="1" applyFont="1" applyFill="1" applyBorder="1" applyAlignment="1">
      <alignment horizontal="center" vertical="center"/>
    </xf>
    <xf numFmtId="9" fontId="4" fillId="2" borderId="9" xfId="2" applyNumberFormat="1" applyFont="1" applyFill="1" applyBorder="1" applyAlignment="1">
      <alignment horizontal="center" vertical="center"/>
    </xf>
    <xf numFmtId="4" fontId="4" fillId="2" borderId="3" xfId="2" applyNumberFormat="1" applyFont="1" applyFill="1" applyBorder="1" applyAlignment="1">
      <alignment horizontal="center" vertical="center"/>
    </xf>
    <xf numFmtId="0" fontId="1" fillId="3" borderId="0" xfId="2" applyFill="1"/>
    <xf numFmtId="0" fontId="3" fillId="2" borderId="9" xfId="2" applyFont="1" applyFill="1" applyBorder="1" applyAlignment="1">
      <alignment horizontal="left" vertical="center" wrapText="1"/>
    </xf>
    <xf numFmtId="0" fontId="7" fillId="2" borderId="12" xfId="1" applyFont="1" applyFill="1" applyBorder="1" applyAlignment="1">
      <alignment horizontal="center" vertical="center" wrapText="1"/>
    </xf>
    <xf numFmtId="181" fontId="4" fillId="0" borderId="3" xfId="4" applyNumberFormat="1" applyFont="1" applyFill="1" applyBorder="1" applyAlignment="1">
      <alignment horizontal="center" vertical="center"/>
    </xf>
    <xf numFmtId="181" fontId="7" fillId="0" borderId="9" xfId="4" applyNumberFormat="1" applyFont="1" applyFill="1" applyBorder="1" applyAlignment="1">
      <alignment horizontal="center" vertical="center"/>
    </xf>
    <xf numFmtId="181" fontId="7" fillId="0" borderId="8" xfId="4" applyNumberFormat="1" applyFont="1" applyFill="1" applyBorder="1" applyAlignment="1">
      <alignment horizontal="center" vertical="center"/>
    </xf>
    <xf numFmtId="180" fontId="7" fillId="2" borderId="2" xfId="4" applyNumberFormat="1" applyFont="1" applyFill="1" applyBorder="1" applyAlignment="1">
      <alignment horizontal="center" vertical="center"/>
    </xf>
    <xf numFmtId="9" fontId="7" fillId="2" borderId="14" xfId="2" applyNumberFormat="1" applyFont="1" applyFill="1" applyBorder="1" applyAlignment="1">
      <alignment horizontal="center" vertical="center"/>
    </xf>
    <xf numFmtId="181" fontId="7" fillId="0" borderId="12" xfId="4" applyNumberFormat="1" applyFont="1" applyFill="1" applyBorder="1" applyAlignment="1">
      <alignment horizontal="center" vertical="center"/>
    </xf>
    <xf numFmtId="4" fontId="7" fillId="2" borderId="6" xfId="2" applyNumberFormat="1" applyFont="1" applyFill="1" applyBorder="1" applyAlignment="1">
      <alignment horizontal="center" vertical="center"/>
    </xf>
    <xf numFmtId="181" fontId="7" fillId="0" borderId="6" xfId="4" applyNumberFormat="1" applyFont="1" applyFill="1" applyBorder="1" applyAlignment="1">
      <alignment horizontal="center" vertical="center"/>
    </xf>
    <xf numFmtId="181" fontId="7" fillId="2" borderId="9" xfId="3" applyNumberFormat="1" applyFont="1" applyFill="1" applyBorder="1" applyAlignment="1">
      <alignment horizontal="center" vertical="center" wrapText="1"/>
    </xf>
    <xf numFmtId="9" fontId="7" fillId="2" borderId="3" xfId="2" applyNumberFormat="1" applyFont="1" applyFill="1" applyBorder="1" applyAlignment="1">
      <alignment horizontal="center" vertical="center"/>
    </xf>
    <xf numFmtId="4" fontId="7" fillId="2" borderId="14" xfId="2" applyNumberFormat="1" applyFont="1" applyFill="1" applyBorder="1" applyAlignment="1">
      <alignment horizontal="center" vertical="center"/>
    </xf>
    <xf numFmtId="9" fontId="7" fillId="2" borderId="6" xfId="2" applyNumberFormat="1" applyFont="1" applyFill="1" applyBorder="1" applyAlignment="1">
      <alignment horizontal="center" vertical="center"/>
    </xf>
    <xf numFmtId="4" fontId="7" fillId="2" borderId="9" xfId="2" applyNumberFormat="1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left" vertical="center" wrapText="1"/>
    </xf>
    <xf numFmtId="180" fontId="4" fillId="2" borderId="9" xfId="1" applyNumberFormat="1" applyFont="1" applyFill="1" applyBorder="1" applyAlignment="1">
      <alignment horizontal="center" vertical="center" wrapText="1"/>
    </xf>
    <xf numFmtId="181" fontId="7" fillId="7" borderId="14" xfId="4" applyNumberFormat="1" applyFont="1" applyFill="1" applyBorder="1" applyAlignment="1">
      <alignment horizontal="center" vertical="center"/>
    </xf>
    <xf numFmtId="4" fontId="7" fillId="2" borderId="5" xfId="2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180" fontId="4" fillId="2" borderId="0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textRotation="255" wrapText="1"/>
    </xf>
    <xf numFmtId="0" fontId="5" fillId="4" borderId="10" xfId="1" applyNumberFormat="1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left" vertical="center" wrapText="1"/>
    </xf>
    <xf numFmtId="180" fontId="7" fillId="0" borderId="2" xfId="4" applyNumberFormat="1" applyFont="1" applyFill="1" applyBorder="1" applyAlignment="1">
      <alignment horizontal="center" vertical="center"/>
    </xf>
    <xf numFmtId="4" fontId="7" fillId="0" borderId="4" xfId="2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 wrapText="1"/>
    </xf>
    <xf numFmtId="180" fontId="4" fillId="0" borderId="0" xfId="1" applyNumberFormat="1" applyFont="1" applyFill="1" applyBorder="1" applyAlignment="1">
      <alignment horizontal="center" vertical="center" wrapText="1"/>
    </xf>
    <xf numFmtId="180" fontId="4" fillId="0" borderId="9" xfId="4" applyNumberFormat="1" applyFont="1" applyFill="1" applyBorder="1" applyAlignment="1">
      <alignment horizontal="center" vertical="center"/>
    </xf>
    <xf numFmtId="4" fontId="7" fillId="2" borderId="15" xfId="2" applyNumberFormat="1" applyFont="1" applyFill="1" applyBorder="1" applyAlignment="1">
      <alignment horizontal="center" vertical="center"/>
    </xf>
    <xf numFmtId="4" fontId="7" fillId="2" borderId="12" xfId="2" applyNumberFormat="1" applyFont="1" applyFill="1" applyBorder="1" applyAlignment="1">
      <alignment horizontal="center" vertical="center"/>
    </xf>
    <xf numFmtId="180" fontId="4" fillId="2" borderId="6" xfId="4" applyNumberFormat="1" applyFont="1" applyFill="1" applyBorder="1" applyAlignment="1">
      <alignment horizontal="center" vertical="center"/>
    </xf>
    <xf numFmtId="180" fontId="4" fillId="0" borderId="6" xfId="9" applyNumberFormat="1" applyFont="1" applyFill="1" applyBorder="1" applyAlignment="1">
      <alignment horizontal="center" vertical="center"/>
    </xf>
    <xf numFmtId="180" fontId="7" fillId="2" borderId="6" xfId="9" applyNumberFormat="1" applyFont="1" applyFill="1" applyBorder="1" applyAlignment="1">
      <alignment horizontal="center" vertical="center"/>
    </xf>
    <xf numFmtId="9" fontId="7" fillId="2" borderId="6" xfId="4" applyNumberFormat="1" applyFont="1" applyFill="1" applyBorder="1" applyAlignment="1">
      <alignment horizontal="center" vertical="center"/>
    </xf>
    <xf numFmtId="181" fontId="7" fillId="6" borderId="14" xfId="4" applyNumberFormat="1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left" vertical="center" wrapText="1"/>
    </xf>
    <xf numFmtId="181" fontId="5" fillId="2" borderId="8" xfId="3" applyNumberFormat="1" applyFont="1" applyFill="1" applyBorder="1" applyAlignment="1">
      <alignment horizontal="center" vertical="center" wrapText="1"/>
    </xf>
    <xf numFmtId="181" fontId="5" fillId="2" borderId="11" xfId="3" applyNumberFormat="1" applyFont="1" applyFill="1" applyBorder="1" applyAlignment="1">
      <alignment horizontal="center" vertical="center" wrapText="1"/>
    </xf>
    <xf numFmtId="0" fontId="5" fillId="2" borderId="13" xfId="1" applyFont="1" applyFill="1" applyBorder="1" applyAlignment="1"/>
    <xf numFmtId="0" fontId="5" fillId="2" borderId="7" xfId="1" applyFont="1" applyFill="1" applyBorder="1" applyAlignment="1">
      <alignment horizontal="center" vertical="center" textRotation="255" wrapText="1"/>
    </xf>
    <xf numFmtId="0" fontId="5" fillId="2" borderId="7" xfId="1" applyNumberFormat="1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left" vertical="center" wrapText="1"/>
    </xf>
    <xf numFmtId="9" fontId="5" fillId="2" borderId="6" xfId="3" applyNumberFormat="1" applyFont="1" applyFill="1" applyBorder="1" applyAlignment="1">
      <alignment horizontal="center" vertical="center" wrapText="1"/>
    </xf>
    <xf numFmtId="181" fontId="5" fillId="0" borderId="6" xfId="3" applyNumberFormat="1" applyFont="1" applyFill="1" applyBorder="1" applyAlignment="1">
      <alignment horizontal="center" vertical="center" wrapText="1"/>
    </xf>
    <xf numFmtId="181" fontId="7" fillId="2" borderId="8" xfId="3" applyNumberFormat="1" applyFont="1" applyFill="1" applyBorder="1" applyAlignment="1">
      <alignment horizontal="center" vertical="center" wrapText="1"/>
    </xf>
    <xf numFmtId="0" fontId="5" fillId="2" borderId="4" xfId="1" applyFont="1" applyFill="1" applyBorder="1" applyAlignment="1"/>
    <xf numFmtId="0" fontId="5" fillId="2" borderId="6" xfId="1" applyFont="1" applyFill="1" applyBorder="1" applyAlignment="1">
      <alignment horizontal="center" vertical="center" wrapText="1"/>
    </xf>
    <xf numFmtId="0" fontId="7" fillId="2" borderId="4" xfId="4" applyNumberFormat="1" applyFont="1" applyFill="1" applyBorder="1" applyAlignment="1">
      <alignment horizontal="left" vertical="center" wrapText="1"/>
    </xf>
    <xf numFmtId="181" fontId="7" fillId="2" borderId="3" xfId="10" applyNumberFormat="1" applyFont="1" applyFill="1" applyBorder="1" applyAlignment="1">
      <alignment horizontal="center" vertical="center"/>
    </xf>
    <xf numFmtId="181" fontId="7" fillId="0" borderId="3" xfId="10" applyNumberFormat="1" applyFont="1" applyFill="1" applyBorder="1" applyAlignment="1">
      <alignment horizontal="center" vertical="center"/>
    </xf>
    <xf numFmtId="181" fontId="7" fillId="2" borderId="4" xfId="10" applyNumberFormat="1" applyFont="1" applyFill="1" applyBorder="1" applyAlignment="1">
      <alignment horizontal="center" vertical="center"/>
    </xf>
    <xf numFmtId="9" fontId="7" fillId="2" borderId="3" xfId="1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7" fillId="2" borderId="3" xfId="4" applyNumberFormat="1" applyFont="1" applyFill="1" applyBorder="1" applyAlignment="1">
      <alignment horizontal="left" vertical="center" wrapText="1"/>
    </xf>
    <xf numFmtId="181" fontId="7" fillId="2" borderId="11" xfId="4" applyNumberFormat="1" applyFont="1" applyFill="1" applyBorder="1" applyAlignment="1">
      <alignment horizontal="center" vertical="center"/>
    </xf>
    <xf numFmtId="181" fontId="7" fillId="0" borderId="11" xfId="9" applyNumberFormat="1" applyFont="1" applyFill="1" applyBorder="1" applyAlignment="1">
      <alignment horizontal="center" vertical="center"/>
    </xf>
    <xf numFmtId="181" fontId="7" fillId="2" borderId="13" xfId="9" applyNumberFormat="1" applyFont="1" applyFill="1" applyBorder="1" applyAlignment="1">
      <alignment horizontal="center" vertical="center"/>
    </xf>
    <xf numFmtId="4" fontId="7" fillId="2" borderId="8" xfId="2" applyNumberFormat="1" applyFont="1" applyFill="1" applyBorder="1" applyAlignment="1">
      <alignment horizontal="center" vertical="center"/>
    </xf>
    <xf numFmtId="4" fontId="4" fillId="3" borderId="0" xfId="1" applyNumberFormat="1" applyFont="1" applyFill="1" applyBorder="1" applyAlignment="1">
      <alignment vertical="center" wrapText="1"/>
    </xf>
    <xf numFmtId="181" fontId="7" fillId="2" borderId="3" xfId="4" applyNumberFormat="1" applyFont="1" applyFill="1" applyBorder="1" applyAlignment="1">
      <alignment horizontal="center" vertical="center"/>
    </xf>
    <xf numFmtId="181" fontId="7" fillId="0" borderId="4" xfId="9" applyNumberFormat="1" applyFont="1" applyFill="1" applyBorder="1" applyAlignment="1">
      <alignment horizontal="center" vertical="center"/>
    </xf>
    <xf numFmtId="181" fontId="7" fillId="2" borderId="4" xfId="9" applyNumberFormat="1" applyFont="1" applyFill="1" applyBorder="1" applyAlignment="1">
      <alignment horizontal="center" vertical="center"/>
    </xf>
    <xf numFmtId="0" fontId="5" fillId="4" borderId="7" xfId="1" applyNumberFormat="1" applyFont="1" applyFill="1" applyBorder="1" applyAlignment="1">
      <alignment horizontal="center" vertical="center"/>
    </xf>
    <xf numFmtId="181" fontId="5" fillId="0" borderId="13" xfId="3" applyNumberFormat="1" applyFont="1" applyFill="1" applyBorder="1" applyAlignment="1">
      <alignment horizontal="center" vertical="center" wrapText="1"/>
    </xf>
    <xf numFmtId="181" fontId="7" fillId="0" borderId="11" xfId="3" applyNumberFormat="1" applyFont="1" applyFill="1" applyBorder="1" applyAlignment="1">
      <alignment vertical="center" wrapText="1"/>
    </xf>
    <xf numFmtId="10" fontId="7" fillId="0" borderId="13" xfId="3" applyNumberFormat="1" applyFont="1" applyFill="1" applyBorder="1" applyAlignment="1">
      <alignment horizontal="center" vertical="center" wrapText="1"/>
    </xf>
    <xf numFmtId="9" fontId="7" fillId="0" borderId="11" xfId="3" applyNumberFormat="1" applyFont="1" applyFill="1" applyBorder="1" applyAlignment="1">
      <alignment horizontal="center" vertical="center" wrapText="1"/>
    </xf>
    <xf numFmtId="9" fontId="7" fillId="0" borderId="11" xfId="2" applyNumberFormat="1" applyFont="1" applyFill="1" applyBorder="1" applyAlignment="1">
      <alignment horizontal="center" vertical="center"/>
    </xf>
    <xf numFmtId="181" fontId="7" fillId="0" borderId="11" xfId="3" applyNumberFormat="1" applyFont="1" applyFill="1" applyBorder="1" applyAlignment="1">
      <alignment horizontal="center" vertical="center" wrapText="1"/>
    </xf>
    <xf numFmtId="181" fontId="7" fillId="0" borderId="8" xfId="3" applyNumberFormat="1" applyFont="1" applyFill="1" applyBorder="1" applyAlignment="1">
      <alignment horizontal="center" vertical="center" wrapText="1"/>
    </xf>
    <xf numFmtId="0" fontId="7" fillId="0" borderId="4" xfId="1" applyFont="1" applyFill="1" applyBorder="1" applyAlignment="1"/>
    <xf numFmtId="180" fontId="6" fillId="0" borderId="2" xfId="1" applyNumberFormat="1" applyFont="1" applyFill="1" applyBorder="1" applyAlignment="1">
      <alignment horizontal="center" vertical="center" wrapText="1"/>
    </xf>
    <xf numFmtId="181" fontId="5" fillId="0" borderId="2" xfId="3" applyNumberFormat="1" applyFont="1" applyFill="1" applyBorder="1" applyAlignment="1">
      <alignment horizontal="center" vertical="center" wrapText="1"/>
    </xf>
    <xf numFmtId="43" fontId="7" fillId="0" borderId="7" xfId="3" applyNumberFormat="1" applyFont="1" applyFill="1" applyBorder="1" applyAlignment="1">
      <alignment vertical="center" wrapText="1"/>
    </xf>
    <xf numFmtId="9" fontId="7" fillId="0" borderId="3" xfId="3" applyNumberFormat="1" applyFont="1" applyFill="1" applyBorder="1" applyAlignment="1">
      <alignment horizontal="center" vertical="center" wrapText="1"/>
    </xf>
    <xf numFmtId="0" fontId="5" fillId="2" borderId="7" xfId="1" applyNumberFormat="1" applyFont="1" applyFill="1" applyBorder="1" applyAlignment="1">
      <alignment horizontal="center" vertical="center"/>
    </xf>
    <xf numFmtId="181" fontId="5" fillId="2" borderId="1" xfId="3" applyNumberFormat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vertical="center" wrapText="1"/>
    </xf>
    <xf numFmtId="0" fontId="5" fillId="2" borderId="3" xfId="1" applyFont="1" applyFill="1" applyBorder="1" applyAlignment="1">
      <alignment vertical="center" textRotation="255" wrapText="1"/>
    </xf>
    <xf numFmtId="0" fontId="5" fillId="2" borderId="8" xfId="1" applyNumberFormat="1" applyFont="1" applyFill="1" applyBorder="1" applyAlignment="1">
      <alignment vertical="center"/>
    </xf>
    <xf numFmtId="0" fontId="5" fillId="2" borderId="9" xfId="1" applyFont="1" applyFill="1" applyBorder="1" applyAlignment="1">
      <alignment horizontal="left" vertical="center" wrapText="1"/>
    </xf>
    <xf numFmtId="181" fontId="5" fillId="2" borderId="13" xfId="1" applyNumberFormat="1" applyFont="1" applyFill="1" applyBorder="1" applyAlignment="1">
      <alignment horizontal="center" vertical="center" wrapText="1"/>
    </xf>
    <xf numFmtId="181" fontId="5" fillId="2" borderId="11" xfId="1" applyNumberFormat="1" applyFont="1" applyFill="1" applyBorder="1" applyAlignment="1">
      <alignment horizontal="center" vertical="center" wrapText="1"/>
    </xf>
    <xf numFmtId="181" fontId="5" fillId="2" borderId="3" xfId="1" applyNumberFormat="1" applyFont="1" applyFill="1" applyBorder="1" applyAlignment="1">
      <alignment horizontal="center" vertical="center" wrapText="1"/>
    </xf>
    <xf numFmtId="181" fontId="5" fillId="2" borderId="8" xfId="1" applyNumberFormat="1" applyFont="1" applyFill="1" applyBorder="1" applyAlignment="1">
      <alignment horizontal="center" vertical="center" wrapText="1"/>
    </xf>
    <xf numFmtId="0" fontId="5" fillId="2" borderId="11" xfId="1" applyNumberFormat="1" applyFont="1" applyFill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left" vertical="center" wrapText="1"/>
    </xf>
    <xf numFmtId="181" fontId="7" fillId="2" borderId="3" xfId="1" applyNumberFormat="1" applyFont="1" applyFill="1" applyBorder="1" applyAlignment="1">
      <alignment horizontal="center" vertical="center" wrapText="1"/>
    </xf>
    <xf numFmtId="181" fontId="7" fillId="2" borderId="3" xfId="1" applyNumberFormat="1" applyFont="1" applyFill="1" applyBorder="1" applyAlignment="1">
      <alignment vertical="center" wrapText="1"/>
    </xf>
    <xf numFmtId="9" fontId="7" fillId="2" borderId="11" xfId="1" applyNumberFormat="1" applyFont="1" applyFill="1" applyBorder="1" applyAlignment="1">
      <alignment horizontal="center" vertical="center" wrapText="1"/>
    </xf>
    <xf numFmtId="181" fontId="7" fillId="0" borderId="11" xfId="1" applyNumberFormat="1" applyFont="1" applyFill="1" applyBorder="1" applyAlignment="1">
      <alignment horizontal="center" vertical="center" wrapText="1"/>
    </xf>
    <xf numFmtId="181" fontId="7" fillId="2" borderId="11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5" fillId="4" borderId="3" xfId="1" applyNumberFormat="1" applyFont="1" applyFill="1" applyBorder="1" applyAlignment="1">
      <alignment horizontal="center" vertical="center" wrapText="1"/>
    </xf>
    <xf numFmtId="180" fontId="7" fillId="0" borderId="3" xfId="1" applyNumberFormat="1" applyFont="1" applyFill="1" applyBorder="1" applyAlignment="1">
      <alignment vertical="center" wrapText="1"/>
    </xf>
    <xf numFmtId="43" fontId="7" fillId="0" borderId="3" xfId="5" applyFont="1" applyFill="1" applyBorder="1" applyAlignment="1">
      <alignment horizontal="center" vertical="center"/>
    </xf>
    <xf numFmtId="181" fontId="4" fillId="0" borderId="6" xfId="1" applyNumberFormat="1" applyFont="1" applyFill="1" applyBorder="1" applyAlignment="1">
      <alignment vertical="center" shrinkToFit="1"/>
    </xf>
    <xf numFmtId="181" fontId="7" fillId="0" borderId="3" xfId="1" applyNumberFormat="1" applyFont="1" applyFill="1" applyBorder="1" applyAlignment="1">
      <alignment horizontal="center" vertical="center" wrapText="1"/>
    </xf>
    <xf numFmtId="181" fontId="7" fillId="0" borderId="3" xfId="1" applyNumberFormat="1" applyFont="1" applyFill="1" applyBorder="1" applyAlignment="1">
      <alignment vertical="center" shrinkToFit="1"/>
    </xf>
    <xf numFmtId="14" fontId="7" fillId="0" borderId="4" xfId="1" applyNumberFormat="1" applyFont="1" applyFill="1" applyBorder="1" applyAlignment="1">
      <alignment horizontal="center" vertical="center" wrapText="1"/>
    </xf>
    <xf numFmtId="14" fontId="7" fillId="0" borderId="3" xfId="1" applyNumberFormat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181" fontId="5" fillId="2" borderId="3" xfId="1" applyNumberFormat="1" applyFont="1" applyFill="1" applyBorder="1" applyAlignment="1">
      <alignment horizontal="center" vertical="center" shrinkToFit="1"/>
    </xf>
    <xf numFmtId="182" fontId="5" fillId="2" borderId="3" xfId="1" applyNumberFormat="1" applyFont="1" applyFill="1" applyBorder="1" applyAlignment="1">
      <alignment vertical="center" shrinkToFit="1"/>
    </xf>
    <xf numFmtId="0" fontId="5" fillId="2" borderId="4" xfId="1" applyFont="1" applyFill="1" applyBorder="1" applyAlignment="1">
      <alignment horizontal="left" vertical="center" wrapText="1"/>
    </xf>
    <xf numFmtId="0" fontId="5" fillId="2" borderId="4" xfId="12" applyFont="1" applyFill="1" applyBorder="1" applyAlignment="1">
      <alignment horizontal="center" vertical="center" wrapText="1"/>
    </xf>
    <xf numFmtId="0" fontId="5" fillId="2" borderId="9" xfId="12" applyFont="1" applyFill="1" applyBorder="1" applyAlignment="1">
      <alignment horizontal="center" vertical="center" wrapText="1"/>
    </xf>
    <xf numFmtId="0" fontId="5" fillId="2" borderId="3" xfId="12" applyFont="1" applyFill="1" applyBorder="1" applyAlignment="1">
      <alignment horizontal="left" vertical="center" wrapText="1"/>
    </xf>
    <xf numFmtId="0" fontId="5" fillId="2" borderId="3" xfId="12" applyFont="1" applyFill="1" applyBorder="1" applyAlignment="1">
      <alignment horizontal="center" vertical="center" wrapText="1"/>
    </xf>
    <xf numFmtId="0" fontId="5" fillId="2" borderId="3" xfId="12" applyFont="1" applyFill="1" applyBorder="1" applyAlignment="1">
      <alignment horizontal="center" vertical="center" shrinkToFit="1"/>
    </xf>
    <xf numFmtId="9" fontId="5" fillId="2" borderId="3" xfId="12" applyNumberFormat="1" applyFont="1" applyFill="1" applyBorder="1" applyAlignment="1">
      <alignment horizontal="center" vertical="center" wrapText="1"/>
    </xf>
    <xf numFmtId="182" fontId="5" fillId="2" borderId="3" xfId="12" applyNumberFormat="1" applyFont="1" applyFill="1" applyBorder="1" applyAlignment="1">
      <alignment horizontal="center" vertical="center" shrinkToFit="1"/>
    </xf>
    <xf numFmtId="0" fontId="7" fillId="2" borderId="12" xfId="12" applyFont="1" applyFill="1" applyBorder="1" applyAlignment="1">
      <alignment horizontal="center" vertical="center" wrapText="1"/>
    </xf>
    <xf numFmtId="0" fontId="7" fillId="2" borderId="14" xfId="12" applyFont="1" applyFill="1" applyBorder="1" applyAlignment="1">
      <alignment horizontal="center" vertical="center" wrapText="1"/>
    </xf>
    <xf numFmtId="0" fontId="7" fillId="2" borderId="6" xfId="12" applyFont="1" applyFill="1" applyBorder="1" applyAlignment="1">
      <alignment horizontal="left" vertical="center" wrapText="1"/>
    </xf>
    <xf numFmtId="0" fontId="7" fillId="2" borderId="3" xfId="12" applyFont="1" applyFill="1" applyBorder="1" applyAlignment="1">
      <alignment horizontal="center" vertical="center" wrapText="1"/>
    </xf>
    <xf numFmtId="0" fontId="7" fillId="2" borderId="3" xfId="12" applyFont="1" applyFill="1" applyBorder="1" applyAlignment="1">
      <alignment horizontal="center" vertical="center" wrapText="1"/>
    </xf>
    <xf numFmtId="9" fontId="7" fillId="2" borderId="3" xfId="12" applyNumberFormat="1" applyFont="1" applyFill="1" applyBorder="1" applyAlignment="1">
      <alignment horizontal="center" vertical="center" wrapText="1"/>
    </xf>
    <xf numFmtId="9" fontId="7" fillId="2" borderId="3" xfId="12" applyNumberFormat="1" applyFont="1" applyFill="1" applyBorder="1" applyAlignment="1">
      <alignment horizontal="center" vertical="center" wrapText="1" shrinkToFi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2" xfId="12" applyFont="1" applyFill="1" applyBorder="1" applyAlignment="1">
      <alignment horizontal="center" vertical="center" wrapText="1"/>
    </xf>
    <xf numFmtId="0" fontId="7" fillId="2" borderId="10" xfId="12" applyFont="1" applyFill="1" applyBorder="1" applyAlignment="1">
      <alignment horizontal="center" vertical="center" wrapText="1"/>
    </xf>
    <xf numFmtId="0" fontId="7" fillId="2" borderId="7" xfId="12" applyFont="1" applyFill="1" applyBorder="1" applyAlignment="1">
      <alignment horizontal="left" vertical="center" wrapText="1"/>
    </xf>
    <xf numFmtId="0" fontId="7" fillId="2" borderId="13" xfId="12" applyFont="1" applyFill="1" applyBorder="1" applyAlignment="1">
      <alignment horizontal="center" vertical="center" wrapText="1"/>
    </xf>
    <xf numFmtId="0" fontId="7" fillId="2" borderId="8" xfId="12" applyFont="1" applyFill="1" applyBorder="1" applyAlignment="1">
      <alignment horizontal="center" vertical="center" wrapText="1"/>
    </xf>
    <xf numFmtId="0" fontId="7" fillId="2" borderId="11" xfId="12" applyFont="1" applyFill="1" applyBorder="1" applyAlignment="1">
      <alignment horizontal="left" vertical="center" wrapText="1"/>
    </xf>
    <xf numFmtId="0" fontId="7" fillId="2" borderId="15" xfId="1" applyFont="1" applyFill="1" applyBorder="1" applyAlignment="1">
      <alignment horizontal="left" vertical="center" wrapText="1"/>
    </xf>
    <xf numFmtId="9" fontId="7" fillId="2" borderId="15" xfId="1" applyNumberFormat="1" applyFont="1" applyFill="1" applyBorder="1" applyAlignment="1">
      <alignment horizontal="left" vertical="center" wrapText="1"/>
    </xf>
    <xf numFmtId="0" fontId="4" fillId="0" borderId="0" xfId="1" applyFont="1" applyFill="1" applyAlignment="1">
      <alignment horizontal="left" vertical="center" wrapText="1"/>
    </xf>
    <xf numFmtId="14" fontId="4" fillId="0" borderId="0" xfId="1" applyNumberFormat="1" applyFont="1" applyFill="1" applyAlignment="1">
      <alignment vertical="center" wrapText="1"/>
    </xf>
    <xf numFmtId="0" fontId="4" fillId="0" borderId="0" xfId="1" applyFont="1" applyFill="1" applyAlignment="1">
      <alignment horizontal="center" vertical="center" wrapText="1"/>
    </xf>
    <xf numFmtId="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shrinkToFit="1"/>
    </xf>
    <xf numFmtId="182" fontId="4" fillId="0" borderId="0" xfId="1" applyNumberFormat="1" applyFont="1" applyFill="1" applyAlignment="1">
      <alignment vertical="center" shrinkToFit="1"/>
    </xf>
    <xf numFmtId="181" fontId="4" fillId="0" borderId="0" xfId="1" applyNumberFormat="1" applyFont="1" applyFill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184" fontId="1" fillId="0" borderId="0" xfId="2" applyNumberFormat="1" applyFill="1" applyAlignment="1">
      <alignment horizontal="center"/>
    </xf>
    <xf numFmtId="185" fontId="1" fillId="0" borderId="0" xfId="2" applyNumberFormat="1" applyFill="1"/>
    <xf numFmtId="0" fontId="13" fillId="0" borderId="16" xfId="2" applyFont="1" applyBorder="1" applyAlignment="1">
      <alignment horizontal="center" vertical="center"/>
    </xf>
    <xf numFmtId="49" fontId="4" fillId="0" borderId="17" xfId="2" applyNumberFormat="1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horizontal="center" vertical="center" wrapText="1"/>
    </xf>
    <xf numFmtId="184" fontId="4" fillId="0" borderId="18" xfId="2" applyNumberFormat="1" applyFont="1" applyFill="1" applyBorder="1" applyAlignment="1">
      <alignment horizontal="center" vertical="center" wrapText="1"/>
    </xf>
    <xf numFmtId="0" fontId="4" fillId="0" borderId="19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1" fillId="0" borderId="0" xfId="2" applyFill="1" applyAlignment="1">
      <alignment horizontal="center" vertical="center" wrapText="1"/>
    </xf>
    <xf numFmtId="184" fontId="1" fillId="0" borderId="0" xfId="2" applyNumberFormat="1" applyFill="1" applyAlignment="1">
      <alignment horizontal="center" vertical="center" wrapText="1"/>
    </xf>
    <xf numFmtId="185" fontId="1" fillId="0" borderId="0" xfId="2" applyNumberFormat="1" applyFill="1" applyAlignment="1">
      <alignment horizontal="center" vertical="center" wrapText="1"/>
    </xf>
    <xf numFmtId="49" fontId="4" fillId="0" borderId="20" xfId="2" applyNumberFormat="1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184" fontId="4" fillId="0" borderId="7" xfId="2" applyNumberFormat="1" applyFont="1" applyFill="1" applyBorder="1" applyAlignment="1">
      <alignment horizontal="center" vertical="center" wrapText="1"/>
    </xf>
    <xf numFmtId="184" fontId="4" fillId="0" borderId="11" xfId="2" applyNumberFormat="1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49" fontId="4" fillId="0" borderId="21" xfId="2" applyNumberFormat="1" applyFont="1" applyFill="1" applyBorder="1" applyAlignment="1">
      <alignment horizontal="center" wrapText="1"/>
    </xf>
    <xf numFmtId="14" fontId="4" fillId="0" borderId="3" xfId="2" applyNumberFormat="1" applyFont="1" applyFill="1" applyBorder="1" applyAlignment="1">
      <alignment horizontal="left" wrapText="1"/>
    </xf>
    <xf numFmtId="0" fontId="15" fillId="0" borderId="3" xfId="13" applyFont="1" applyFill="1" applyBorder="1" applyAlignment="1" applyProtection="1">
      <alignment horizontal="left" wrapText="1"/>
    </xf>
    <xf numFmtId="181" fontId="4" fillId="0" borderId="3" xfId="2" applyNumberFormat="1" applyFont="1" applyFill="1" applyBorder="1" applyAlignment="1">
      <alignment shrinkToFit="1"/>
    </xf>
    <xf numFmtId="9" fontId="4" fillId="0" borderId="3" xfId="2" applyNumberFormat="1" applyFont="1" applyFill="1" applyBorder="1" applyAlignment="1">
      <alignment shrinkToFit="1"/>
    </xf>
    <xf numFmtId="4" fontId="4" fillId="0" borderId="3" xfId="14" applyNumberFormat="1" applyFont="1" applyFill="1" applyBorder="1" applyAlignment="1"/>
    <xf numFmtId="181" fontId="4" fillId="0" borderId="4" xfId="2" applyNumberFormat="1" applyFont="1" applyFill="1" applyBorder="1" applyAlignment="1"/>
    <xf numFmtId="9" fontId="4" fillId="0" borderId="4" xfId="2" applyNumberFormat="1" applyFont="1" applyFill="1" applyBorder="1" applyAlignment="1"/>
    <xf numFmtId="180" fontId="4" fillId="0" borderId="4" xfId="2" applyNumberFormat="1" applyFont="1" applyFill="1" applyBorder="1" applyAlignment="1">
      <alignment shrinkToFit="1"/>
    </xf>
    <xf numFmtId="0" fontId="4" fillId="0" borderId="11" xfId="2" applyFont="1" applyFill="1" applyBorder="1" applyAlignment="1">
      <alignment horizontal="left" shrinkToFit="1"/>
    </xf>
    <xf numFmtId="0" fontId="1" fillId="0" borderId="0" xfId="2" applyFill="1" applyAlignment="1">
      <alignment horizontal="center"/>
    </xf>
    <xf numFmtId="185" fontId="1" fillId="0" borderId="0" xfId="2" applyNumberFormat="1" applyFill="1" applyAlignment="1">
      <alignment horizontal="center"/>
    </xf>
    <xf numFmtId="49" fontId="4" fillId="9" borderId="22" xfId="2" applyNumberFormat="1" applyFont="1" applyFill="1" applyBorder="1" applyAlignment="1">
      <alignment horizontal="center" wrapText="1"/>
    </xf>
    <xf numFmtId="14" fontId="4" fillId="0" borderId="11" xfId="2" applyNumberFormat="1" applyFont="1" applyFill="1" applyBorder="1" applyAlignment="1">
      <alignment horizontal="left" wrapText="1"/>
    </xf>
    <xf numFmtId="0" fontId="15" fillId="0" borderId="11" xfId="13" applyFont="1" applyFill="1" applyBorder="1" applyAlignment="1" applyProtection="1">
      <alignment horizontal="left" wrapText="1"/>
    </xf>
    <xf numFmtId="181" fontId="4" fillId="0" borderId="4" xfId="2" applyNumberFormat="1" applyFont="1" applyFill="1" applyBorder="1" applyAlignment="1">
      <alignment shrinkToFit="1"/>
    </xf>
    <xf numFmtId="9" fontId="4" fillId="0" borderId="4" xfId="2" applyNumberFormat="1" applyFont="1" applyFill="1" applyBorder="1" applyAlignment="1">
      <alignment shrinkToFit="1"/>
    </xf>
    <xf numFmtId="181" fontId="4" fillId="8" borderId="3" xfId="15" applyNumberFormat="1" applyFont="1" applyFill="1" applyBorder="1" applyAlignment="1">
      <alignment shrinkToFit="1"/>
    </xf>
    <xf numFmtId="181" fontId="4" fillId="0" borderId="4" xfId="2" applyNumberFormat="1" applyFont="1" applyBorder="1" applyAlignment="1"/>
    <xf numFmtId="9" fontId="4" fillId="0" borderId="3" xfId="2" applyNumberFormat="1" applyFont="1" applyBorder="1" applyAlignment="1"/>
    <xf numFmtId="0" fontId="4" fillId="0" borderId="3" xfId="2" applyFont="1" applyFill="1" applyBorder="1" applyAlignment="1">
      <alignment horizontal="left" shrinkToFit="1"/>
    </xf>
    <xf numFmtId="49" fontId="4" fillId="9" borderId="21" xfId="2" applyNumberFormat="1" applyFont="1" applyFill="1" applyBorder="1" applyAlignment="1">
      <alignment horizontal="center" wrapText="1"/>
    </xf>
    <xf numFmtId="4" fontId="4" fillId="0" borderId="3" xfId="14" applyNumberFormat="1" applyFont="1" applyBorder="1" applyAlignment="1"/>
    <xf numFmtId="9" fontId="4" fillId="0" borderId="4" xfId="2" applyNumberFormat="1" applyFont="1" applyBorder="1" applyAlignment="1"/>
    <xf numFmtId="0" fontId="4" fillId="0" borderId="3" xfId="2" applyFont="1" applyFill="1" applyBorder="1" applyAlignment="1">
      <alignment horizontal="left" vertical="center" wrapText="1"/>
    </xf>
    <xf numFmtId="0" fontId="4" fillId="3" borderId="3" xfId="2" applyFont="1" applyFill="1" applyBorder="1" applyAlignment="1">
      <alignment horizontal="left" vertical="center" wrapText="1"/>
    </xf>
    <xf numFmtId="0" fontId="4" fillId="0" borderId="4" xfId="2" applyFont="1" applyFill="1" applyBorder="1" applyAlignment="1">
      <alignment shrinkToFit="1"/>
    </xf>
    <xf numFmtId="49" fontId="4" fillId="10" borderId="21" xfId="2" applyNumberFormat="1" applyFont="1" applyFill="1" applyBorder="1" applyAlignment="1">
      <alignment horizontal="center" wrapText="1"/>
    </xf>
    <xf numFmtId="0" fontId="4" fillId="10" borderId="3" xfId="2" applyFont="1" applyFill="1" applyBorder="1" applyAlignment="1">
      <alignment horizontal="left" wrapText="1"/>
    </xf>
    <xf numFmtId="14" fontId="4" fillId="10" borderId="3" xfId="2" applyNumberFormat="1" applyFont="1" applyFill="1" applyBorder="1" applyAlignment="1">
      <alignment horizontal="left" wrapText="1"/>
    </xf>
    <xf numFmtId="0" fontId="15" fillId="10" borderId="3" xfId="13" applyFont="1" applyFill="1" applyBorder="1" applyAlignment="1" applyProtection="1">
      <alignment horizontal="left" wrapText="1"/>
    </xf>
    <xf numFmtId="181" fontId="4" fillId="10" borderId="3" xfId="2" applyNumberFormat="1" applyFont="1" applyFill="1" applyBorder="1" applyAlignment="1">
      <alignment shrinkToFit="1"/>
    </xf>
    <xf numFmtId="9" fontId="4" fillId="10" borderId="3" xfId="2" applyNumberFormat="1" applyFont="1" applyFill="1" applyBorder="1" applyAlignment="1">
      <alignment shrinkToFit="1"/>
    </xf>
    <xf numFmtId="4" fontId="4" fillId="10" borderId="3" xfId="14" applyNumberFormat="1" applyFont="1" applyFill="1" applyBorder="1" applyAlignment="1"/>
    <xf numFmtId="181" fontId="4" fillId="10" borderId="4" xfId="2" applyNumberFormat="1" applyFont="1" applyFill="1" applyBorder="1" applyAlignment="1"/>
    <xf numFmtId="9" fontId="4" fillId="10" borderId="4" xfId="2" applyNumberFormat="1" applyFont="1" applyFill="1" applyBorder="1" applyAlignment="1"/>
    <xf numFmtId="180" fontId="4" fillId="10" borderId="4" xfId="2" applyNumberFormat="1" applyFont="1" applyFill="1" applyBorder="1" applyAlignment="1">
      <alignment shrinkToFit="1"/>
    </xf>
    <xf numFmtId="0" fontId="4" fillId="10" borderId="3" xfId="2" applyFont="1" applyFill="1" applyBorder="1" applyAlignment="1">
      <alignment horizontal="left" shrinkToFit="1"/>
    </xf>
    <xf numFmtId="0" fontId="1" fillId="10" borderId="0" xfId="2" applyFill="1" applyAlignment="1">
      <alignment horizontal="center"/>
    </xf>
    <xf numFmtId="184" fontId="1" fillId="10" borderId="0" xfId="2" applyNumberFormat="1" applyFill="1" applyAlignment="1">
      <alignment horizontal="center"/>
    </xf>
    <xf numFmtId="185" fontId="1" fillId="10" borderId="0" xfId="2" applyNumberFormat="1" applyFill="1" applyAlignment="1">
      <alignment horizontal="center"/>
    </xf>
    <xf numFmtId="0" fontId="4" fillId="3" borderId="3" xfId="2" applyFont="1" applyFill="1" applyBorder="1" applyAlignment="1">
      <alignment horizontal="left" wrapText="1"/>
    </xf>
    <xf numFmtId="4" fontId="4" fillId="3" borderId="3" xfId="14" applyNumberFormat="1" applyFont="1" applyFill="1" applyBorder="1" applyAlignment="1">
      <alignment vertical="center"/>
    </xf>
    <xf numFmtId="0" fontId="4" fillId="0" borderId="3" xfId="2" applyFont="1" applyFill="1" applyBorder="1" applyAlignment="1">
      <alignment horizontal="left" wrapText="1"/>
    </xf>
    <xf numFmtId="14" fontId="4" fillId="10" borderId="11" xfId="2" applyNumberFormat="1" applyFont="1" applyFill="1" applyBorder="1" applyAlignment="1">
      <alignment horizontal="left" wrapText="1"/>
    </xf>
    <xf numFmtId="0" fontId="4" fillId="10" borderId="4" xfId="2" applyFont="1" applyFill="1" applyBorder="1" applyAlignment="1">
      <alignment vertical="center" wrapText="1" shrinkToFit="1"/>
    </xf>
    <xf numFmtId="0" fontId="4" fillId="10" borderId="3" xfId="2" applyFont="1" applyFill="1" applyBorder="1" applyAlignment="1">
      <alignment horizontal="left" vertical="center" wrapText="1" shrinkToFit="1"/>
    </xf>
    <xf numFmtId="4" fontId="4" fillId="0" borderId="3" xfId="14" applyNumberFormat="1" applyFont="1" applyFill="1" applyBorder="1" applyAlignment="1">
      <alignment vertical="center"/>
    </xf>
    <xf numFmtId="4" fontId="4" fillId="0" borderId="3" xfId="14" applyNumberFormat="1" applyFont="1" applyBorder="1" applyAlignment="1">
      <alignment vertical="center"/>
    </xf>
    <xf numFmtId="0" fontId="14" fillId="0" borderId="0" xfId="13" applyAlignment="1" applyProtection="1"/>
    <xf numFmtId="0" fontId="14" fillId="0" borderId="3" xfId="13" applyFill="1" applyBorder="1" applyAlignment="1" applyProtection="1">
      <alignment horizontal="left" wrapText="1"/>
    </xf>
    <xf numFmtId="0" fontId="15" fillId="0" borderId="3" xfId="13" applyFont="1" applyFill="1" applyBorder="1" applyAlignment="1" applyProtection="1">
      <alignment horizontal="left" wrapText="1" shrinkToFit="1"/>
    </xf>
    <xf numFmtId="49" fontId="4" fillId="9" borderId="21" xfId="2" applyNumberFormat="1" applyFont="1" applyFill="1" applyBorder="1" applyAlignment="1">
      <alignment horizontal="center" vertical="center"/>
    </xf>
    <xf numFmtId="14" fontId="4" fillId="0" borderId="3" xfId="2" applyNumberFormat="1" applyFont="1" applyFill="1" applyBorder="1" applyAlignment="1">
      <alignment horizontal="left"/>
    </xf>
    <xf numFmtId="14" fontId="4" fillId="0" borderId="3" xfId="2" applyNumberFormat="1" applyFont="1" applyFill="1" applyBorder="1" applyAlignment="1">
      <alignment horizontal="left" vertical="center"/>
    </xf>
    <xf numFmtId="0" fontId="14" fillId="0" borderId="3" xfId="13" applyFont="1" applyFill="1" applyBorder="1" applyAlignment="1" applyProtection="1">
      <alignment horizontal="left" wrapText="1" shrinkToFit="1"/>
    </xf>
    <xf numFmtId="4" fontId="4" fillId="0" borderId="3" xfId="2" applyNumberFormat="1" applyFont="1" applyBorder="1" applyAlignment="1"/>
    <xf numFmtId="0" fontId="15" fillId="10" borderId="3" xfId="13" applyFont="1" applyFill="1" applyBorder="1" applyAlignment="1" applyProtection="1">
      <alignment horizontal="left" wrapText="1" shrinkToFit="1"/>
    </xf>
    <xf numFmtId="4" fontId="4" fillId="8" borderId="3" xfId="15" applyNumberFormat="1" applyFont="1" applyFill="1" applyBorder="1" applyAlignment="1" applyProtection="1">
      <alignment vertical="center" wrapText="1"/>
    </xf>
    <xf numFmtId="49" fontId="4" fillId="8" borderId="21" xfId="2" applyNumberFormat="1" applyFont="1" applyFill="1" applyBorder="1" applyAlignment="1">
      <alignment horizontal="center" wrapText="1"/>
    </xf>
    <xf numFmtId="0" fontId="4" fillId="8" borderId="3" xfId="2" applyFont="1" applyFill="1" applyBorder="1" applyAlignment="1">
      <alignment horizontal="left" wrapText="1"/>
    </xf>
    <xf numFmtId="14" fontId="4" fillId="8" borderId="3" xfId="2" applyNumberFormat="1" applyFont="1" applyFill="1" applyBorder="1" applyAlignment="1">
      <alignment horizontal="left" wrapText="1"/>
    </xf>
    <xf numFmtId="0" fontId="15" fillId="8" borderId="3" xfId="13" applyFont="1" applyFill="1" applyBorder="1" applyAlignment="1" applyProtection="1">
      <alignment horizontal="left" wrapText="1" shrinkToFit="1"/>
    </xf>
    <xf numFmtId="181" fontId="4" fillId="8" borderId="3" xfId="2" applyNumberFormat="1" applyFont="1" applyFill="1" applyBorder="1" applyAlignment="1">
      <alignment shrinkToFit="1"/>
    </xf>
    <xf numFmtId="9" fontId="4" fillId="8" borderId="3" xfId="2" applyNumberFormat="1" applyFont="1" applyFill="1" applyBorder="1" applyAlignment="1">
      <alignment shrinkToFit="1"/>
    </xf>
    <xf numFmtId="4" fontId="4" fillId="8" borderId="3" xfId="14" applyNumberFormat="1" applyFont="1" applyFill="1" applyBorder="1" applyAlignment="1"/>
    <xf numFmtId="181" fontId="4" fillId="8" borderId="4" xfId="2" applyNumberFormat="1" applyFont="1" applyFill="1" applyBorder="1" applyAlignment="1"/>
    <xf numFmtId="9" fontId="4" fillId="8" borderId="4" xfId="2" applyNumberFormat="1" applyFont="1" applyFill="1" applyBorder="1" applyAlignment="1"/>
    <xf numFmtId="0" fontId="4" fillId="8" borderId="3" xfId="2" applyFont="1" applyFill="1" applyBorder="1" applyAlignment="1">
      <alignment horizontal="left" shrinkToFit="1"/>
    </xf>
    <xf numFmtId="0" fontId="1" fillId="8" borderId="0" xfId="2" applyFill="1" applyAlignment="1">
      <alignment horizontal="center"/>
    </xf>
    <xf numFmtId="184" fontId="1" fillId="8" borderId="0" xfId="2" applyNumberFormat="1" applyFill="1" applyAlignment="1">
      <alignment horizontal="center"/>
    </xf>
    <xf numFmtId="185" fontId="1" fillId="8" borderId="0" xfId="2" applyNumberFormat="1" applyFill="1" applyAlignment="1">
      <alignment horizontal="center"/>
    </xf>
    <xf numFmtId="49" fontId="4" fillId="8" borderId="23" xfId="2" applyNumberFormat="1" applyFont="1" applyFill="1" applyBorder="1" applyAlignment="1">
      <alignment horizontal="center" wrapText="1"/>
    </xf>
    <xf numFmtId="14" fontId="4" fillId="8" borderId="6" xfId="2" applyNumberFormat="1" applyFont="1" applyFill="1" applyBorder="1" applyAlignment="1">
      <alignment horizontal="left" wrapText="1"/>
    </xf>
    <xf numFmtId="0" fontId="15" fillId="8" borderId="6" xfId="13" applyFont="1" applyFill="1" applyBorder="1" applyAlignment="1" applyProtection="1">
      <alignment horizontal="left" wrapText="1" shrinkToFit="1"/>
    </xf>
    <xf numFmtId="181" fontId="4" fillId="8" borderId="6" xfId="2" applyNumberFormat="1" applyFont="1" applyFill="1" applyBorder="1" applyAlignment="1">
      <alignment shrinkToFit="1"/>
    </xf>
    <xf numFmtId="9" fontId="4" fillId="8" borderId="6" xfId="2" applyNumberFormat="1" applyFont="1" applyFill="1" applyBorder="1" applyAlignment="1">
      <alignment shrinkToFit="1"/>
    </xf>
    <xf numFmtId="9" fontId="4" fillId="8" borderId="12" xfId="2" applyNumberFormat="1" applyFont="1" applyFill="1" applyBorder="1" applyAlignment="1"/>
    <xf numFmtId="49" fontId="4" fillId="10" borderId="3" xfId="2" applyNumberFormat="1" applyFont="1" applyFill="1" applyBorder="1" applyAlignment="1">
      <alignment horizontal="center" wrapText="1"/>
    </xf>
    <xf numFmtId="9" fontId="4" fillId="10" borderId="3" xfId="2" applyNumberFormat="1" applyFont="1" applyFill="1" applyBorder="1" applyAlignment="1"/>
    <xf numFmtId="49" fontId="4" fillId="9" borderId="3" xfId="2" applyNumberFormat="1" applyFont="1" applyFill="1" applyBorder="1" applyAlignment="1">
      <alignment horizontal="center" wrapText="1"/>
    </xf>
    <xf numFmtId="0" fontId="4" fillId="0" borderId="5" xfId="2" applyFont="1" applyFill="1" applyBorder="1" applyAlignment="1">
      <alignment shrinkToFit="1"/>
    </xf>
    <xf numFmtId="49" fontId="4" fillId="0" borderId="3" xfId="2" applyNumberFormat="1" applyFont="1" applyFill="1" applyBorder="1" applyAlignment="1">
      <alignment horizontal="center" wrapText="1"/>
    </xf>
    <xf numFmtId="0" fontId="14" fillId="8" borderId="3" xfId="13" applyFill="1" applyBorder="1" applyAlignment="1" applyProtection="1">
      <alignment vertical="center" wrapText="1"/>
    </xf>
    <xf numFmtId="0" fontId="4" fillId="8" borderId="3" xfId="15" applyFont="1" applyFill="1" applyBorder="1" applyAlignment="1" applyProtection="1">
      <alignment vertical="center"/>
    </xf>
    <xf numFmtId="4" fontId="4" fillId="3" borderId="3" xfId="14" applyNumberFormat="1" applyFont="1" applyFill="1" applyBorder="1" applyAlignment="1" applyProtection="1">
      <alignment wrapText="1"/>
    </xf>
    <xf numFmtId="181" fontId="4" fillId="8" borderId="4" xfId="2" applyNumberFormat="1" applyFont="1" applyFill="1" applyBorder="1" applyAlignment="1">
      <alignment horizontal="right"/>
    </xf>
    <xf numFmtId="49" fontId="4" fillId="0" borderId="1" xfId="2" applyNumberFormat="1" applyFont="1" applyFill="1" applyBorder="1" applyAlignment="1">
      <alignment horizontal="center" wrapText="1"/>
    </xf>
    <xf numFmtId="14" fontId="4" fillId="0" borderId="6" xfId="2" applyNumberFormat="1" applyFont="1" applyFill="1" applyBorder="1" applyAlignment="1">
      <alignment horizontal="left" wrapText="1"/>
    </xf>
    <xf numFmtId="14" fontId="4" fillId="0" borderId="0" xfId="2" applyNumberFormat="1" applyFont="1" applyFill="1" applyBorder="1" applyAlignment="1">
      <alignment horizontal="left" wrapText="1"/>
    </xf>
    <xf numFmtId="0" fontId="14" fillId="0" borderId="3" xfId="13" applyFont="1" applyBorder="1" applyAlignment="1" applyProtection="1">
      <alignment horizontal="left"/>
    </xf>
    <xf numFmtId="181" fontId="4" fillId="0" borderId="11" xfId="2" applyNumberFormat="1" applyFont="1" applyFill="1" applyBorder="1" applyAlignment="1">
      <alignment horizontal="center" shrinkToFit="1"/>
    </xf>
    <xf numFmtId="181" fontId="4" fillId="0" borderId="11" xfId="2" applyNumberFormat="1" applyFont="1" applyFill="1" applyBorder="1" applyAlignment="1">
      <alignment horizontal="right" shrinkToFit="1"/>
    </xf>
    <xf numFmtId="9" fontId="4" fillId="0" borderId="11" xfId="2" applyNumberFormat="1" applyFont="1" applyFill="1" applyBorder="1" applyAlignment="1">
      <alignment horizontal="center" shrinkToFit="1"/>
    </xf>
    <xf numFmtId="4" fontId="4" fillId="3" borderId="11" xfId="14" applyNumberFormat="1" applyFont="1" applyFill="1" applyBorder="1" applyAlignment="1" applyProtection="1">
      <alignment horizontal="right" wrapText="1"/>
    </xf>
    <xf numFmtId="9" fontId="4" fillId="0" borderId="13" xfId="2" applyNumberFormat="1" applyFont="1" applyBorder="1" applyAlignment="1">
      <alignment horizontal="center"/>
    </xf>
    <xf numFmtId="0" fontId="4" fillId="0" borderId="4" xfId="2" applyFont="1" applyFill="1" applyBorder="1" applyAlignment="1">
      <alignment horizontal="left" shrinkToFit="1"/>
    </xf>
    <xf numFmtId="14" fontId="4" fillId="0" borderId="12" xfId="2" applyNumberFormat="1" applyFont="1" applyFill="1" applyBorder="1" applyAlignment="1">
      <alignment horizontal="left" wrapText="1"/>
    </xf>
    <xf numFmtId="0" fontId="14" fillId="0" borderId="8" xfId="13" applyBorder="1" applyAlignment="1" applyProtection="1">
      <alignment horizontal="left"/>
    </xf>
    <xf numFmtId="49" fontId="4" fillId="10" borderId="1" xfId="2" applyNumberFormat="1" applyFont="1" applyFill="1" applyBorder="1" applyAlignment="1">
      <alignment horizontal="center" wrapText="1"/>
    </xf>
    <xf numFmtId="0" fontId="14" fillId="10" borderId="8" xfId="13" applyFill="1" applyBorder="1" applyAlignment="1" applyProtection="1">
      <alignment horizontal="left"/>
    </xf>
    <xf numFmtId="181" fontId="4" fillId="10" borderId="11" xfId="2" applyNumberFormat="1" applyFont="1" applyFill="1" applyBorder="1" applyAlignment="1">
      <alignment horizontal="center" shrinkToFit="1"/>
    </xf>
    <xf numFmtId="181" fontId="4" fillId="10" borderId="11" xfId="2" applyNumberFormat="1" applyFont="1" applyFill="1" applyBorder="1" applyAlignment="1">
      <alignment horizontal="right" shrinkToFit="1"/>
    </xf>
    <xf numFmtId="9" fontId="4" fillId="10" borderId="11" xfId="2" applyNumberFormat="1" applyFont="1" applyFill="1" applyBorder="1" applyAlignment="1">
      <alignment horizontal="center" shrinkToFit="1"/>
    </xf>
    <xf numFmtId="4" fontId="4" fillId="10" borderId="11" xfId="14" applyNumberFormat="1" applyFont="1" applyFill="1" applyBorder="1" applyAlignment="1" applyProtection="1">
      <alignment horizontal="right" wrapText="1"/>
    </xf>
    <xf numFmtId="181" fontId="4" fillId="10" borderId="13" xfId="2" applyNumberFormat="1" applyFont="1" applyFill="1" applyBorder="1" applyAlignment="1">
      <alignment horizontal="right"/>
    </xf>
    <xf numFmtId="9" fontId="4" fillId="10" borderId="13" xfId="2" applyNumberFormat="1" applyFont="1" applyFill="1" applyBorder="1" applyAlignment="1">
      <alignment horizontal="center"/>
    </xf>
    <xf numFmtId="0" fontId="4" fillId="10" borderId="4" xfId="2" applyFont="1" applyFill="1" applyBorder="1" applyAlignment="1">
      <alignment horizontal="left" shrinkToFit="1"/>
    </xf>
    <xf numFmtId="14" fontId="4" fillId="0" borderId="1" xfId="2" applyNumberFormat="1" applyFont="1" applyFill="1" applyBorder="1" applyAlignment="1">
      <alignment horizontal="left" wrapText="1"/>
    </xf>
    <xf numFmtId="0" fontId="17" fillId="0" borderId="8" xfId="2" applyFont="1" applyBorder="1" applyAlignment="1">
      <alignment horizontal="left"/>
    </xf>
    <xf numFmtId="181" fontId="4" fillId="8" borderId="13" xfId="2" applyNumberFormat="1" applyFont="1" applyFill="1" applyBorder="1" applyAlignment="1">
      <alignment horizontal="right"/>
    </xf>
    <xf numFmtId="49" fontId="4" fillId="11" borderId="24" xfId="2" applyNumberFormat="1" applyFont="1" applyFill="1" applyBorder="1" applyAlignment="1">
      <alignment horizontal="center" vertical="center" wrapText="1"/>
    </xf>
    <xf numFmtId="49" fontId="4" fillId="11" borderId="1" xfId="2" applyNumberFormat="1" applyFont="1" applyFill="1" applyBorder="1" applyAlignment="1">
      <alignment horizontal="center" vertical="center" wrapText="1"/>
    </xf>
    <xf numFmtId="49" fontId="4" fillId="11" borderId="8" xfId="2" applyNumberFormat="1" applyFont="1" applyFill="1" applyBorder="1" applyAlignment="1">
      <alignment horizontal="center" vertical="center" wrapText="1"/>
    </xf>
    <xf numFmtId="181" fontId="4" fillId="11" borderId="11" xfId="2" applyNumberFormat="1" applyFont="1" applyFill="1" applyBorder="1" applyAlignment="1">
      <alignment horizontal="center" vertical="center" shrinkToFit="1"/>
    </xf>
    <xf numFmtId="181" fontId="4" fillId="11" borderId="11" xfId="2" applyNumberFormat="1" applyFont="1" applyFill="1" applyBorder="1" applyAlignment="1">
      <alignment vertical="center" shrinkToFit="1"/>
    </xf>
    <xf numFmtId="181" fontId="4" fillId="11" borderId="13" xfId="2" applyNumberFormat="1" applyFont="1" applyFill="1" applyBorder="1" applyAlignment="1">
      <alignment horizontal="right" vertical="center" shrinkToFit="1"/>
    </xf>
    <xf numFmtId="0" fontId="4" fillId="11" borderId="4" xfId="2" applyFont="1" applyFill="1" applyBorder="1" applyAlignment="1">
      <alignment vertical="center" shrinkToFit="1"/>
    </xf>
    <xf numFmtId="0" fontId="4" fillId="11" borderId="3" xfId="2" applyFont="1" applyFill="1" applyBorder="1" applyAlignment="1">
      <alignment vertical="center" shrinkToFit="1"/>
    </xf>
    <xf numFmtId="0" fontId="1" fillId="0" borderId="0" xfId="2" applyFill="1" applyAlignment="1"/>
    <xf numFmtId="184" fontId="1" fillId="0" borderId="0" xfId="2" applyNumberFormat="1" applyFill="1" applyAlignment="1"/>
    <xf numFmtId="185" fontId="1" fillId="0" borderId="0" xfId="2" applyNumberFormat="1" applyFill="1" applyAlignment="1"/>
    <xf numFmtId="49" fontId="4" fillId="0" borderId="3" xfId="2" applyNumberFormat="1" applyFont="1" applyFill="1" applyBorder="1" applyAlignment="1">
      <alignment horizontal="center" vertical="center" wrapText="1"/>
    </xf>
    <xf numFmtId="181" fontId="4" fillId="0" borderId="3" xfId="2" applyNumberFormat="1" applyFont="1" applyFill="1" applyBorder="1" applyAlignment="1">
      <alignment horizontal="center" vertical="center" wrapText="1" shrinkToFit="1"/>
    </xf>
    <xf numFmtId="181" fontId="4" fillId="0" borderId="3" xfId="2" applyNumberFormat="1" applyFont="1" applyFill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184" fontId="4" fillId="0" borderId="13" xfId="2" applyNumberFormat="1" applyFont="1" applyBorder="1" applyAlignment="1">
      <alignment horizontal="center" vertical="center" wrapText="1"/>
    </xf>
    <xf numFmtId="184" fontId="4" fillId="0" borderId="3" xfId="2" applyNumberFormat="1" applyFont="1" applyBorder="1" applyAlignment="1">
      <alignment horizontal="center" vertical="center" wrapText="1"/>
    </xf>
    <xf numFmtId="49" fontId="4" fillId="9" borderId="3" xfId="2" applyNumberFormat="1" applyFont="1" applyFill="1" applyBorder="1" applyAlignment="1">
      <alignment horizontal="center" vertical="center" wrapText="1"/>
    </xf>
    <xf numFmtId="14" fontId="18" fillId="0" borderId="3" xfId="13" applyNumberFormat="1" applyFont="1" applyFill="1" applyBorder="1" applyAlignment="1" applyProtection="1">
      <alignment horizontal="left" vertical="center" wrapText="1"/>
      <protection locked="0"/>
    </xf>
    <xf numFmtId="0" fontId="15" fillId="0" borderId="3" xfId="13" applyFont="1" applyBorder="1" applyAlignment="1" applyProtection="1">
      <alignment horizontal="left" vertical="center" wrapText="1" shrinkToFit="1"/>
    </xf>
    <xf numFmtId="181" fontId="4" fillId="0" borderId="3" xfId="2" applyNumberFormat="1" applyFont="1" applyFill="1" applyBorder="1" applyAlignment="1">
      <alignment horizontal="center" shrinkToFit="1"/>
    </xf>
    <xf numFmtId="181" fontId="4" fillId="0" borderId="3" xfId="2" applyNumberFormat="1" applyFont="1" applyFill="1" applyBorder="1" applyAlignment="1">
      <alignment horizontal="right" shrinkToFit="1"/>
    </xf>
    <xf numFmtId="9" fontId="4" fillId="0" borderId="3" xfId="2" applyNumberFormat="1" applyFont="1" applyFill="1" applyBorder="1" applyAlignment="1">
      <alignment horizontal="center" shrinkToFit="1"/>
    </xf>
    <xf numFmtId="181" fontId="4" fillId="0" borderId="4" xfId="2" applyNumberFormat="1" applyFont="1" applyFill="1" applyBorder="1" applyAlignment="1">
      <alignment horizontal="right" vertical="center" shrinkToFit="1"/>
    </xf>
    <xf numFmtId="9" fontId="4" fillId="0" borderId="4" xfId="2" applyNumberFormat="1" applyFont="1" applyFill="1" applyBorder="1" applyAlignment="1">
      <alignment horizontal="center" vertical="center" shrinkToFit="1"/>
    </xf>
    <xf numFmtId="180" fontId="4" fillId="0" borderId="4" xfId="2" applyNumberFormat="1" applyFont="1" applyFill="1" applyBorder="1" applyAlignment="1">
      <alignment horizontal="center" vertical="center" shrinkToFit="1"/>
    </xf>
    <xf numFmtId="180" fontId="4" fillId="0" borderId="3" xfId="2" applyNumberFormat="1" applyFont="1" applyFill="1" applyBorder="1" applyAlignment="1">
      <alignment horizontal="center" vertical="center" shrinkToFit="1"/>
    </xf>
    <xf numFmtId="49" fontId="4" fillId="0" borderId="3" xfId="2" applyNumberFormat="1" applyFont="1" applyBorder="1" applyAlignment="1">
      <alignment horizontal="center" vertical="center" wrapText="1"/>
    </xf>
    <xf numFmtId="0" fontId="4" fillId="3" borderId="3" xfId="16" applyFont="1" applyFill="1" applyBorder="1" applyAlignment="1">
      <alignment horizontal="left" vertical="center" wrapText="1"/>
    </xf>
    <xf numFmtId="0" fontId="14" fillId="3" borderId="3" xfId="13" applyFont="1" applyFill="1" applyBorder="1" applyAlignment="1" applyProtection="1">
      <alignment horizontal="left" vertical="center" wrapText="1"/>
    </xf>
    <xf numFmtId="181" fontId="4" fillId="0" borderId="0" xfId="2" applyNumberFormat="1" applyFont="1" applyFill="1" applyBorder="1" applyAlignment="1">
      <alignment horizontal="right" shrinkToFit="1"/>
    </xf>
    <xf numFmtId="181" fontId="4" fillId="3" borderId="3" xfId="16" applyNumberFormat="1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left" shrinkToFit="1"/>
    </xf>
    <xf numFmtId="180" fontId="4" fillId="0" borderId="13" xfId="2" applyNumberFormat="1" applyFont="1" applyFill="1" applyBorder="1" applyAlignment="1">
      <alignment horizontal="center" vertical="center" shrinkToFit="1"/>
    </xf>
    <xf numFmtId="0" fontId="19" fillId="3" borderId="3" xfId="13" applyFont="1" applyFill="1" applyBorder="1" applyAlignment="1" applyProtection="1">
      <alignment horizontal="left" vertical="center" wrapText="1"/>
    </xf>
    <xf numFmtId="0" fontId="19" fillId="3" borderId="3" xfId="13" applyFont="1" applyFill="1" applyBorder="1" applyAlignment="1" applyProtection="1">
      <alignment horizontal="left" wrapText="1"/>
    </xf>
    <xf numFmtId="181" fontId="4" fillId="3" borderId="3" xfId="2" applyNumberFormat="1" applyFont="1" applyFill="1" applyBorder="1" applyAlignment="1">
      <alignment horizontal="center" shrinkToFit="1"/>
    </xf>
    <xf numFmtId="181" fontId="4" fillId="3" borderId="3" xfId="2" applyNumberFormat="1" applyFont="1" applyFill="1" applyBorder="1" applyAlignment="1">
      <alignment horizontal="right" shrinkToFit="1"/>
    </xf>
    <xf numFmtId="9" fontId="4" fillId="3" borderId="3" xfId="2" applyNumberFormat="1" applyFont="1" applyFill="1" applyBorder="1" applyAlignment="1">
      <alignment horizontal="center" shrinkToFit="1"/>
    </xf>
    <xf numFmtId="0" fontId="7" fillId="0" borderId="3" xfId="2" applyFont="1" applyBorder="1" applyAlignment="1">
      <alignment vertical="center" wrapText="1"/>
    </xf>
    <xf numFmtId="0" fontId="4" fillId="0" borderId="3" xfId="2" applyFont="1" applyBorder="1" applyAlignment="1">
      <alignment vertical="center" wrapText="1"/>
    </xf>
    <xf numFmtId="0" fontId="19" fillId="0" borderId="3" xfId="13" applyFont="1" applyBorder="1" applyAlignment="1" applyProtection="1">
      <alignment vertical="center" wrapText="1"/>
    </xf>
    <xf numFmtId="181" fontId="4" fillId="0" borderId="3" xfId="2" applyNumberFormat="1" applyFont="1" applyBorder="1" applyAlignment="1">
      <alignment horizontal="center"/>
    </xf>
    <xf numFmtId="181" fontId="4" fillId="0" borderId="3" xfId="2" applyNumberFormat="1" applyFont="1" applyBorder="1"/>
    <xf numFmtId="9" fontId="4" fillId="0" borderId="3" xfId="2" applyNumberFormat="1" applyFont="1" applyBorder="1" applyAlignment="1">
      <alignment horizontal="center"/>
    </xf>
    <xf numFmtId="0" fontId="4" fillId="0" borderId="4" xfId="2" applyFont="1" applyBorder="1"/>
    <xf numFmtId="0" fontId="4" fillId="0" borderId="3" xfId="2" applyFont="1" applyBorder="1"/>
    <xf numFmtId="14" fontId="5" fillId="0" borderId="3" xfId="2" applyNumberFormat="1" applyFont="1" applyBorder="1" applyAlignment="1">
      <alignment horizontal="left" wrapText="1"/>
    </xf>
    <xf numFmtId="0" fontId="14" fillId="0" borderId="3" xfId="13" applyFont="1" applyBorder="1" applyAlignment="1" applyProtection="1">
      <alignment horizontal="left" wrapText="1" shrinkToFit="1"/>
    </xf>
    <xf numFmtId="0" fontId="19" fillId="0" borderId="3" xfId="13" applyFont="1" applyFill="1" applyBorder="1" applyAlignment="1" applyProtection="1">
      <alignment horizontal="left" wrapText="1"/>
    </xf>
    <xf numFmtId="14" fontId="18" fillId="0" borderId="3" xfId="13" applyNumberFormat="1" applyFont="1" applyBorder="1" applyAlignment="1" applyProtection="1">
      <alignment horizontal="left" wrapText="1" shrinkToFit="1"/>
    </xf>
    <xf numFmtId="0" fontId="15" fillId="0" borderId="3" xfId="13" applyFont="1" applyBorder="1" applyAlignment="1" applyProtection="1">
      <alignment horizontal="left" wrapText="1" shrinkToFit="1"/>
    </xf>
    <xf numFmtId="14" fontId="18" fillId="0" borderId="3" xfId="13" applyNumberFormat="1" applyFont="1" applyBorder="1" applyAlignment="1" applyProtection="1">
      <alignment horizontal="left" wrapText="1"/>
    </xf>
    <xf numFmtId="0" fontId="15" fillId="3" borderId="3" xfId="13" applyFont="1" applyFill="1" applyBorder="1" applyAlignment="1" applyProtection="1">
      <alignment horizontal="left" wrapText="1" shrinkToFit="1"/>
    </xf>
    <xf numFmtId="14" fontId="7" fillId="0" borderId="3" xfId="2" applyNumberFormat="1" applyFont="1" applyFill="1" applyBorder="1" applyAlignment="1">
      <alignment horizontal="left" wrapText="1"/>
    </xf>
    <xf numFmtId="0" fontId="14" fillId="0" borderId="0" xfId="13" applyBorder="1" applyAlignment="1" applyProtection="1"/>
    <xf numFmtId="181" fontId="4" fillId="9" borderId="4" xfId="2" applyNumberFormat="1" applyFont="1" applyFill="1" applyBorder="1" applyAlignment="1">
      <alignment horizontal="right" vertical="center" shrinkToFit="1"/>
    </xf>
    <xf numFmtId="181" fontId="4" fillId="0" borderId="3" xfId="2" applyNumberFormat="1" applyFont="1" applyFill="1" applyBorder="1" applyAlignment="1">
      <alignment horizontal="center" vertical="center" shrinkToFit="1"/>
    </xf>
    <xf numFmtId="0" fontId="14" fillId="0" borderId="3" xfId="13" applyBorder="1" applyAlignment="1" applyProtection="1"/>
    <xf numFmtId="43" fontId="11" fillId="0" borderId="3" xfId="2" applyNumberFormat="1" applyFont="1" applyFill="1" applyBorder="1" applyAlignment="1">
      <alignment shrinkToFit="1"/>
    </xf>
    <xf numFmtId="181" fontId="4" fillId="0" borderId="9" xfId="2" applyNumberFormat="1" applyFont="1" applyFill="1" applyBorder="1" applyAlignment="1">
      <alignment horizontal="center" shrinkToFit="1"/>
    </xf>
    <xf numFmtId="181" fontId="4" fillId="3" borderId="4" xfId="16" applyNumberFormat="1" applyFont="1" applyFill="1" applyBorder="1" applyAlignment="1">
      <alignment horizontal="center" vertical="center" wrapText="1"/>
    </xf>
    <xf numFmtId="14" fontId="18" fillId="0" borderId="9" xfId="13" applyNumberFormat="1" applyFont="1" applyBorder="1" applyAlignment="1" applyProtection="1">
      <alignment horizontal="left" wrapText="1" shrinkToFit="1"/>
    </xf>
    <xf numFmtId="14" fontId="18" fillId="0" borderId="9" xfId="13" applyNumberFormat="1" applyFont="1" applyFill="1" applyBorder="1" applyAlignment="1" applyProtection="1">
      <alignment horizontal="left" vertical="center" wrapText="1"/>
      <protection locked="0"/>
    </xf>
    <xf numFmtId="0" fontId="4" fillId="3" borderId="9" xfId="16" applyFont="1" applyFill="1" applyBorder="1" applyAlignment="1">
      <alignment horizontal="left" vertical="center" wrapText="1"/>
    </xf>
    <xf numFmtId="0" fontId="1" fillId="0" borderId="3" xfId="2" applyFill="1" applyBorder="1" applyAlignment="1">
      <alignment horizontal="center"/>
    </xf>
    <xf numFmtId="49" fontId="4" fillId="3" borderId="3" xfId="2" applyNumberFormat="1" applyFont="1" applyFill="1" applyBorder="1" applyAlignment="1">
      <alignment horizontal="center" vertical="center" wrapText="1"/>
    </xf>
    <xf numFmtId="14" fontId="5" fillId="3" borderId="3" xfId="2" applyNumberFormat="1" applyFont="1" applyFill="1" applyBorder="1" applyAlignment="1">
      <alignment horizontal="left" wrapText="1"/>
    </xf>
    <xf numFmtId="0" fontId="14" fillId="3" borderId="3" xfId="13" applyFill="1" applyBorder="1" applyAlignment="1" applyProtection="1">
      <alignment horizontal="left" vertical="center" wrapText="1"/>
    </xf>
    <xf numFmtId="0" fontId="19" fillId="0" borderId="0" xfId="13" applyFont="1" applyFill="1" applyBorder="1" applyAlignment="1" applyProtection="1">
      <alignment horizontal="left" wrapText="1"/>
    </xf>
    <xf numFmtId="181" fontId="4" fillId="9" borderId="3" xfId="16" applyNumberFormat="1" applyFont="1" applyFill="1" applyBorder="1" applyAlignment="1">
      <alignment horizontal="center" vertical="center" wrapText="1"/>
    </xf>
    <xf numFmtId="14" fontId="18" fillId="0" borderId="9" xfId="13" applyNumberFormat="1" applyFont="1" applyBorder="1" applyAlignment="1" applyProtection="1">
      <alignment horizontal="left" wrapText="1"/>
    </xf>
    <xf numFmtId="14" fontId="5" fillId="0" borderId="9" xfId="2" applyNumberFormat="1" applyFont="1" applyBorder="1" applyAlignment="1">
      <alignment horizontal="left" wrapText="1"/>
    </xf>
    <xf numFmtId="14" fontId="5" fillId="3" borderId="9" xfId="2" applyNumberFormat="1" applyFont="1" applyFill="1" applyBorder="1" applyAlignment="1">
      <alignment horizontal="left" wrapText="1"/>
    </xf>
    <xf numFmtId="180" fontId="4" fillId="0" borderId="12" xfId="2" applyNumberFormat="1" applyFont="1" applyFill="1" applyBorder="1" applyAlignment="1">
      <alignment horizontal="center" vertical="center" shrinkToFit="1"/>
    </xf>
    <xf numFmtId="180" fontId="4" fillId="0" borderId="6" xfId="2" applyNumberFormat="1" applyFont="1" applyFill="1" applyBorder="1" applyAlignment="1">
      <alignment horizontal="center" vertical="center" shrinkToFit="1"/>
    </xf>
    <xf numFmtId="0" fontId="19" fillId="0" borderId="3" xfId="13" applyFont="1" applyBorder="1" applyAlignment="1" applyProtection="1">
      <alignment horizontal="left" wrapText="1" shrinkToFit="1"/>
    </xf>
    <xf numFmtId="0" fontId="4" fillId="0" borderId="12" xfId="2" applyFont="1" applyFill="1" applyBorder="1" applyAlignment="1">
      <alignment horizontal="left" shrinkToFit="1"/>
    </xf>
    <xf numFmtId="0" fontId="4" fillId="0" borderId="6" xfId="2" applyFont="1" applyFill="1" applyBorder="1" applyAlignment="1">
      <alignment horizontal="left" shrinkToFit="1"/>
    </xf>
    <xf numFmtId="14" fontId="7" fillId="0" borderId="9" xfId="2" applyNumberFormat="1" applyFont="1" applyFill="1" applyBorder="1" applyAlignment="1">
      <alignment horizontal="left" wrapText="1"/>
    </xf>
    <xf numFmtId="14" fontId="18" fillId="3" borderId="9" xfId="13" applyNumberFormat="1" applyFont="1" applyFill="1" applyBorder="1" applyAlignment="1" applyProtection="1">
      <alignment horizontal="left" wrapText="1"/>
    </xf>
    <xf numFmtId="180" fontId="1" fillId="0" borderId="3" xfId="2" applyNumberFormat="1" applyBorder="1" applyAlignment="1">
      <alignment horizontal="center" vertical="center"/>
    </xf>
    <xf numFmtId="0" fontId="1" fillId="11" borderId="3" xfId="2" applyNumberFormat="1" applyFont="1" applyFill="1" applyBorder="1" applyAlignment="1">
      <alignment horizontal="center" vertical="center" wrapText="1"/>
    </xf>
    <xf numFmtId="181" fontId="4" fillId="11" borderId="3" xfId="2" applyNumberFormat="1" applyFont="1" applyFill="1" applyBorder="1" applyAlignment="1">
      <alignment horizontal="center" vertical="center" shrinkToFit="1"/>
    </xf>
    <xf numFmtId="181" fontId="4" fillId="11" borderId="3" xfId="2" applyNumberFormat="1" applyFont="1" applyFill="1" applyBorder="1" applyAlignment="1">
      <alignment horizontal="right" vertical="center" shrinkToFit="1"/>
    </xf>
    <xf numFmtId="181" fontId="4" fillId="11" borderId="4" xfId="2" applyNumberFormat="1" applyFont="1" applyFill="1" applyBorder="1" applyAlignment="1">
      <alignment horizontal="right" vertical="center" shrinkToFit="1"/>
    </xf>
    <xf numFmtId="49" fontId="1" fillId="11" borderId="4" xfId="2" applyNumberFormat="1" applyFont="1" applyFill="1" applyBorder="1" applyAlignment="1">
      <alignment horizontal="center" vertical="center"/>
    </xf>
    <xf numFmtId="49" fontId="1" fillId="11" borderId="5" xfId="2" applyNumberFormat="1" applyFont="1" applyFill="1" applyBorder="1" applyAlignment="1">
      <alignment horizontal="center" vertical="center"/>
    </xf>
    <xf numFmtId="49" fontId="1" fillId="11" borderId="9" xfId="2" applyNumberFormat="1" applyFont="1" applyFill="1" applyBorder="1" applyAlignment="1">
      <alignment horizontal="center" vertical="center"/>
    </xf>
    <xf numFmtId="181" fontId="4" fillId="11" borderId="3" xfId="2" applyNumberFormat="1" applyFont="1" applyFill="1" applyBorder="1" applyAlignment="1">
      <alignment horizontal="center" vertical="center"/>
    </xf>
    <xf numFmtId="181" fontId="4" fillId="11" borderId="4" xfId="2" applyNumberFormat="1" applyFont="1" applyFill="1" applyBorder="1" applyAlignment="1">
      <alignment horizontal="center" vertical="center"/>
    </xf>
    <xf numFmtId="49" fontId="1" fillId="0" borderId="0" xfId="2" applyNumberFormat="1" applyFill="1" applyAlignment="1">
      <alignment horizontal="center"/>
    </xf>
    <xf numFmtId="0" fontId="4" fillId="0" borderId="0" xfId="2" applyNumberFormat="1" applyFont="1" applyFill="1" applyAlignment="1">
      <alignment horizontal="left" wrapText="1"/>
    </xf>
    <xf numFmtId="0" fontId="20" fillId="0" borderId="0" xfId="2" applyFont="1" applyFill="1" applyAlignment="1">
      <alignment horizontal="center"/>
    </xf>
    <xf numFmtId="181" fontId="1" fillId="0" borderId="0" xfId="2" applyNumberFormat="1" applyFill="1" applyAlignment="1">
      <alignment horizontal="center"/>
    </xf>
    <xf numFmtId="181" fontId="4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left" wrapText="1"/>
    </xf>
    <xf numFmtId="0" fontId="20" fillId="0" borderId="0" xfId="2" applyFont="1" applyFill="1"/>
    <xf numFmtId="184" fontId="1" fillId="0" borderId="0" xfId="2" applyNumberFormat="1" applyFill="1"/>
  </cellXfs>
  <cellStyles count="17">
    <cellStyle name="20% - 强调文字颜色 1 4 13 2" xfId="7"/>
    <cellStyle name="20% - 强调文字颜色 3 4 3 2" xfId="11"/>
    <cellStyle name="常规" xfId="0" builtinId="0"/>
    <cellStyle name="常规 2" xfId="2"/>
    <cellStyle name="常规 2 2" xfId="9"/>
    <cellStyle name="常规_131项目7月计划(2013.7.11)_公园五号9月资金计划_10月资金计划(1)" xfId="1"/>
    <cellStyle name="常规_131项目7月计划(2013.7.11)_公园五号9月资金计划_10月资金计划(1) 2" xfId="8"/>
    <cellStyle name="常规_2013年10月资金计划" xfId="12"/>
    <cellStyle name="常规_Sheet1_公园五号9月资金计划_10月资金计划(1)" xfId="3"/>
    <cellStyle name="常规_Sheet1_公园五号9月资金计划_10月资金计划(1) 2" xfId="16"/>
    <cellStyle name="常规_Xl0000129" xfId="14"/>
    <cellStyle name="常规_Xl0000129 3" xfId="6"/>
    <cellStyle name="超链接" xfId="13" builtinId="8"/>
    <cellStyle name="好 2" xfId="15"/>
    <cellStyle name="千位分隔 2" xfId="5"/>
    <cellStyle name="强调文字颜色 2 20 5" xfId="10"/>
    <cellStyle name="强调文字颜色 4 8 7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1351\Desktop\&#23545;&#36134;%200505\&#21512;&#21516;&#21488;&#36134;&#26361;&#26480;&#33521;\&#20844;&#22253;5&#21495;&#39033;&#30446;&#21512;&#21516;&#21488;&#24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总表 (实际材料人工)"/>
      <sheetName val="总表"/>
      <sheetName val="001-大邑县韩场镇鸿运佳一建材经营部"/>
      <sheetName val="002-成都天博建材有限公司"/>
      <sheetName val="003-青羊区周文建材经营部"/>
      <sheetName val="004-郫县鑫隆达建材经营部"/>
      <sheetName val="005-金牛区恒和信机电经营部"/>
      <sheetName val="006-成都市众志活动板房有限公司"/>
      <sheetName val="007-成都三采广告有限公司"/>
      <sheetName val="008-成都三雄家具有限公司"/>
      <sheetName val="009-双流县华阳腾飞建材经营部 "/>
      <sheetName val="010-双流县华阳茂林建辅材料经营部"/>
      <sheetName val="011-成都佳俊建筑材料租赁有限公司"/>
      <sheetName val="012-双流宏发建筑机具租赁站"/>
      <sheetName val="013-成都鑫强信建筑租赁有限公司"/>
      <sheetName val="014-四川华曦建设工程质量检测有限公司"/>
      <sheetName val="015-金牛区统达建材经营部"/>
      <sheetName val="016-金牛区通统达建材经营部 "/>
      <sheetName val="017-成都长城宽带网络服务有限公司"/>
      <sheetName val="018-成都维美防护栏工程有限公司"/>
      <sheetName val="019-高新区盛博通建材经营部"/>
      <sheetName val="020-成都港都筑浆建材有限公司"/>
      <sheetName val="021-双流县兴隆茂明机砖厂"/>
      <sheetName val="仁寿县高家机砖厂"/>
      <sheetName val="022-四川峨胜水泥集团股份有限公司"/>
      <sheetName val="023-成都市星佳利建材有限公司"/>
      <sheetName val="024-金牛区华鑫宏建材经营部 "/>
      <sheetName val="025-成都恒欣恒建材有限公司"/>
      <sheetName val="026-成都市朗和建材有限公司"/>
      <sheetName val="027-四川省建业工程质量检测有限公司"/>
      <sheetName val="028-四川鑫川建筑机械有限公司第一分公司"/>
      <sheetName val="成都多联实业有限公司"/>
      <sheetName val="金牛区恒瑞达建材经营部"/>
      <sheetName val="新都区天健建筑机具设备租赁站"/>
      <sheetName val="双流县华阳盛世建辅材料经营部"/>
      <sheetName val="武侯区俊良建材经营部"/>
      <sheetName val="武侯区强鑫建材经营部"/>
      <sheetName val="高新区合雅建材经营部"/>
      <sheetName val="高新区新鹏建材经营部"/>
      <sheetName val="大成亨通商贸有限公司"/>
      <sheetName val="成都锐智建材有限公司"/>
      <sheetName val="高新区盛嘉建材经营部 "/>
      <sheetName val="水费 "/>
      <sheetName val="电费新"/>
      <sheetName val="001-车昭富（临设砌体）"/>
      <sheetName val="002-欧心琼（防水）"/>
      <sheetName val="003-罗雪峰（机械租赁）"/>
      <sheetName val="004-余江（涂料班组）"/>
      <sheetName val="005-黎成林（防水班组）"/>
      <sheetName val="006-曹礼银（抹灰班组）"/>
      <sheetName val="007-赵文友（人工捡底班组）"/>
      <sheetName val="008-邓红川（土石方)"/>
      <sheetName val="009-杨宇林（木工班组）"/>
      <sheetName val="010-向朕君（砼工班组）"/>
      <sheetName val="011-吴继春（砌体）"/>
      <sheetName val="012-罗小洪（木工）"/>
      <sheetName val="013-贺洪清（焊止水条）"/>
      <sheetName val="014-林其忠（零工） "/>
      <sheetName val="015-邹平书（架工）"/>
      <sheetName val="016-赵品正（架工）"/>
      <sheetName val="017-杨强（钢筋）"/>
      <sheetName val="018-靳兴德（钢筋）"/>
      <sheetName val="019-王军（水电）"/>
      <sheetName val="020-吴华（定型化）"/>
      <sheetName val="021-魏金（植筋）"/>
      <sheetName val="022-成都锦联建筑劳务有限公司"/>
      <sheetName val="023-谢鹏飞（木工）"/>
      <sheetName val="024-宋国庆（铝膜）"/>
      <sheetName val="025-李征（铝膜）"/>
      <sheetName val="026-杨宇林（铝膜） "/>
      <sheetName val="027-何超元"/>
      <sheetName val="028-向攀（二模）"/>
      <sheetName val="029-陈洪波（植筋）"/>
      <sheetName val="030-李忠（吊洞） "/>
      <sheetName val="王久峰（模板）"/>
      <sheetName val="刘应（砼工）"/>
      <sheetName val="吉发明（焊工）"/>
      <sheetName val="易冶民（木工）"/>
      <sheetName val="杨洲（塔吊）"/>
      <sheetName val="姚红友（木工） "/>
      <sheetName val="王汝超（试验）"/>
      <sheetName val="唐金和（石匠）"/>
      <sheetName val="郭中兴（抹灰） "/>
      <sheetName val="余江（涂料）"/>
      <sheetName val="詹万友（突击）"/>
      <sheetName val="梅昌和"/>
      <sheetName val="陈俊华"/>
      <sheetName val="邝光成"/>
      <sheetName val="杨斌（打磨）"/>
      <sheetName val="张勇林（二模） "/>
      <sheetName val="胡春华（植筋） "/>
      <sheetName val="林继富（打磨）"/>
      <sheetName val="杨勇、易守德"/>
      <sheetName val="佘加全"/>
      <sheetName val="徐全平"/>
      <sheetName val="吴永军"/>
      <sheetName val="5#楼铝膜工人"/>
      <sheetName val="电费"/>
      <sheetName val="零星人工（工资）"/>
      <sheetName val="向远成（烟道。勇拓）"/>
      <sheetName val="李寿友"/>
      <sheetName val="孙凯"/>
      <sheetName val="曾祥虎"/>
      <sheetName val="项目小工2016年1月工资"/>
      <sheetName val="施工电梯2016.1月工资"/>
      <sheetName val="塔机班组2016年1月工资表"/>
    </sheetNames>
    <sheetDataSet>
      <sheetData sheetId="0" refreshError="1"/>
      <sheetData sheetId="1"/>
      <sheetData sheetId="2" refreshError="1"/>
      <sheetData sheetId="3">
        <row r="17">
          <cell r="J17">
            <v>24610</v>
          </cell>
        </row>
      </sheetData>
      <sheetData sheetId="4">
        <row r="12">
          <cell r="F12">
            <v>127500</v>
          </cell>
        </row>
        <row r="18">
          <cell r="J18">
            <v>101061</v>
          </cell>
        </row>
      </sheetData>
      <sheetData sheetId="5">
        <row r="19">
          <cell r="J19">
            <v>259879.5</v>
          </cell>
        </row>
      </sheetData>
      <sheetData sheetId="6">
        <row r="20">
          <cell r="J20">
            <v>2519820</v>
          </cell>
        </row>
      </sheetData>
      <sheetData sheetId="7">
        <row r="17">
          <cell r="J17">
            <v>804097.56</v>
          </cell>
        </row>
      </sheetData>
      <sheetData sheetId="8">
        <row r="19">
          <cell r="J19">
            <v>1029962.06</v>
          </cell>
        </row>
      </sheetData>
      <sheetData sheetId="9">
        <row r="13">
          <cell r="F13">
            <v>350000</v>
          </cell>
        </row>
      </sheetData>
      <sheetData sheetId="10">
        <row r="12">
          <cell r="F12">
            <v>63960</v>
          </cell>
        </row>
        <row r="17">
          <cell r="J17">
            <v>96000</v>
          </cell>
        </row>
      </sheetData>
      <sheetData sheetId="11">
        <row r="17">
          <cell r="K17">
            <v>197515</v>
          </cell>
        </row>
      </sheetData>
      <sheetData sheetId="12">
        <row r="12">
          <cell r="F12">
            <v>83820</v>
          </cell>
        </row>
        <row r="17">
          <cell r="J17">
            <v>79458.600000000006</v>
          </cell>
        </row>
      </sheetData>
      <sheetData sheetId="13">
        <row r="19">
          <cell r="K19">
            <v>638927.29</v>
          </cell>
        </row>
      </sheetData>
      <sheetData sheetId="14">
        <row r="23">
          <cell r="J23">
            <v>1649835</v>
          </cell>
        </row>
      </sheetData>
      <sheetData sheetId="15">
        <row r="22">
          <cell r="J22">
            <v>1306536.5</v>
          </cell>
        </row>
      </sheetData>
      <sheetData sheetId="16">
        <row r="12">
          <cell r="F12">
            <v>21000</v>
          </cell>
        </row>
        <row r="17">
          <cell r="J17">
            <v>21000</v>
          </cell>
        </row>
      </sheetData>
      <sheetData sheetId="17">
        <row r="12">
          <cell r="F12">
            <v>1000000</v>
          </cell>
        </row>
        <row r="17">
          <cell r="J17">
            <v>1696250</v>
          </cell>
        </row>
      </sheetData>
      <sheetData sheetId="18">
        <row r="12">
          <cell r="F12">
            <v>1000000</v>
          </cell>
        </row>
        <row r="17">
          <cell r="J17">
            <v>1057250</v>
          </cell>
        </row>
      </sheetData>
      <sheetData sheetId="19">
        <row r="17">
          <cell r="J17">
            <v>15000</v>
          </cell>
        </row>
      </sheetData>
      <sheetData sheetId="20">
        <row r="12">
          <cell r="F12">
            <v>1600000</v>
          </cell>
        </row>
        <row r="25">
          <cell r="J25">
            <v>539889.01</v>
          </cell>
        </row>
      </sheetData>
      <sheetData sheetId="21" refreshError="1"/>
      <sheetData sheetId="22">
        <row r="20">
          <cell r="J20">
            <v>678896.1</v>
          </cell>
        </row>
      </sheetData>
      <sheetData sheetId="23">
        <row r="12">
          <cell r="F12">
            <v>1500000</v>
          </cell>
        </row>
        <row r="22">
          <cell r="J22">
            <v>446054.04000000004</v>
          </cell>
        </row>
      </sheetData>
      <sheetData sheetId="24" refreshError="1"/>
      <sheetData sheetId="25">
        <row r="17">
          <cell r="J17">
            <v>260706</v>
          </cell>
        </row>
      </sheetData>
      <sheetData sheetId="26" refreshError="1"/>
      <sheetData sheetId="27">
        <row r="17">
          <cell r="J17">
            <v>660000</v>
          </cell>
        </row>
      </sheetData>
      <sheetData sheetId="28">
        <row r="17">
          <cell r="J17">
            <v>214000</v>
          </cell>
        </row>
      </sheetData>
      <sheetData sheetId="29">
        <row r="17">
          <cell r="J17">
            <v>44239</v>
          </cell>
        </row>
      </sheetData>
      <sheetData sheetId="30">
        <row r="17">
          <cell r="J17">
            <v>84425</v>
          </cell>
        </row>
      </sheetData>
      <sheetData sheetId="31">
        <row r="17">
          <cell r="J17">
            <v>250000</v>
          </cell>
        </row>
      </sheetData>
      <sheetData sheetId="32" refreshError="1"/>
      <sheetData sheetId="33">
        <row r="17">
          <cell r="J17">
            <v>700534.61</v>
          </cell>
        </row>
      </sheetData>
      <sheetData sheetId="34">
        <row r="17">
          <cell r="J17">
            <v>187960.63</v>
          </cell>
        </row>
      </sheetData>
      <sheetData sheetId="35">
        <row r="17">
          <cell r="J17">
            <v>17613.169999999998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22">
          <cell r="J22">
            <v>100000</v>
          </cell>
        </row>
      </sheetData>
      <sheetData sheetId="42" refreshError="1"/>
      <sheetData sheetId="43" refreshError="1"/>
      <sheetData sheetId="44" refreshError="1"/>
      <sheetData sheetId="45">
        <row r="42">
          <cell r="J42">
            <v>160024.98000000001</v>
          </cell>
          <cell r="K42">
            <v>160024.97999999998</v>
          </cell>
        </row>
      </sheetData>
      <sheetData sheetId="46">
        <row r="42">
          <cell r="K42">
            <v>630000</v>
          </cell>
        </row>
      </sheetData>
      <sheetData sheetId="47">
        <row r="42">
          <cell r="K42">
            <v>337745.5</v>
          </cell>
        </row>
      </sheetData>
      <sheetData sheetId="48">
        <row r="42">
          <cell r="J42">
            <v>45264.98</v>
          </cell>
          <cell r="K42">
            <v>45264</v>
          </cell>
        </row>
      </sheetData>
      <sheetData sheetId="49">
        <row r="42">
          <cell r="J42">
            <v>125000</v>
          </cell>
          <cell r="K42">
            <v>91000</v>
          </cell>
        </row>
      </sheetData>
      <sheetData sheetId="50">
        <row r="42">
          <cell r="K42">
            <v>820198.40000000002</v>
          </cell>
        </row>
      </sheetData>
      <sheetData sheetId="51">
        <row r="42">
          <cell r="K42">
            <v>1600379.75</v>
          </cell>
        </row>
      </sheetData>
      <sheetData sheetId="52">
        <row r="42">
          <cell r="J42">
            <v>81611.100000000006</v>
          </cell>
          <cell r="K42">
            <v>81611.100000000006</v>
          </cell>
        </row>
      </sheetData>
      <sheetData sheetId="53">
        <row r="42">
          <cell r="K42">
            <v>5879995.5700000003</v>
          </cell>
        </row>
      </sheetData>
      <sheetData sheetId="54">
        <row r="43">
          <cell r="K43">
            <v>2102138.7199999997</v>
          </cell>
        </row>
      </sheetData>
      <sheetData sheetId="55">
        <row r="42">
          <cell r="K42">
            <v>3056012.9</v>
          </cell>
        </row>
      </sheetData>
      <sheetData sheetId="56">
        <row r="53">
          <cell r="J53">
            <v>426040</v>
          </cell>
          <cell r="K53">
            <v>426040</v>
          </cell>
        </row>
      </sheetData>
      <sheetData sheetId="57">
        <row r="42">
          <cell r="J42">
            <v>11075.28</v>
          </cell>
          <cell r="K42">
            <v>11075.28</v>
          </cell>
        </row>
      </sheetData>
      <sheetData sheetId="58">
        <row r="42">
          <cell r="K42">
            <v>1244237</v>
          </cell>
        </row>
      </sheetData>
      <sheetData sheetId="59">
        <row r="42">
          <cell r="K42">
            <v>2124304</v>
          </cell>
        </row>
      </sheetData>
      <sheetData sheetId="60">
        <row r="42">
          <cell r="J42">
            <v>354781.3</v>
          </cell>
          <cell r="K42">
            <v>353505.41000000003</v>
          </cell>
        </row>
      </sheetData>
      <sheetData sheetId="61">
        <row r="42">
          <cell r="K42">
            <v>5394289.2000000002</v>
          </cell>
        </row>
      </sheetData>
      <sheetData sheetId="62">
        <row r="42">
          <cell r="J42">
            <v>1684353.14</v>
          </cell>
          <cell r="K42">
            <v>1684353.1400000001</v>
          </cell>
        </row>
      </sheetData>
      <sheetData sheetId="63">
        <row r="42">
          <cell r="J42">
            <v>7169358.9800000004</v>
          </cell>
        </row>
      </sheetData>
      <sheetData sheetId="64" refreshError="1"/>
      <sheetData sheetId="65">
        <row r="42">
          <cell r="J42">
            <v>53500</v>
          </cell>
        </row>
      </sheetData>
      <sheetData sheetId="66">
        <row r="12">
          <cell r="F12">
            <v>349373.5</v>
          </cell>
        </row>
        <row r="17">
          <cell r="J17">
            <v>349373.5</v>
          </cell>
        </row>
      </sheetData>
      <sheetData sheetId="67">
        <row r="41">
          <cell r="K41">
            <v>2590649.0300000003</v>
          </cell>
        </row>
      </sheetData>
      <sheetData sheetId="68">
        <row r="42">
          <cell r="K42">
            <v>1385000</v>
          </cell>
        </row>
      </sheetData>
      <sheetData sheetId="69">
        <row r="42">
          <cell r="K42">
            <v>434749</v>
          </cell>
        </row>
      </sheetData>
      <sheetData sheetId="70" refreshError="1"/>
      <sheetData sheetId="71">
        <row r="42">
          <cell r="K42">
            <v>140000</v>
          </cell>
        </row>
      </sheetData>
      <sheetData sheetId="72">
        <row r="42">
          <cell r="J42">
            <v>55105.36</v>
          </cell>
          <cell r="K42">
            <v>50000</v>
          </cell>
        </row>
      </sheetData>
      <sheetData sheetId="73">
        <row r="42">
          <cell r="K42">
            <v>41141</v>
          </cell>
        </row>
      </sheetData>
      <sheetData sheetId="74">
        <row r="42">
          <cell r="K42">
            <v>67700</v>
          </cell>
        </row>
      </sheetData>
      <sheetData sheetId="75" refreshError="1"/>
      <sheetData sheetId="76">
        <row r="42">
          <cell r="J42">
            <v>153580.07999999999</v>
          </cell>
          <cell r="K42">
            <v>153580.07999999999</v>
          </cell>
        </row>
      </sheetData>
      <sheetData sheetId="77">
        <row r="42">
          <cell r="I42">
            <v>43314.84</v>
          </cell>
          <cell r="J42">
            <v>43314.84</v>
          </cell>
        </row>
      </sheetData>
      <sheetData sheetId="78">
        <row r="42">
          <cell r="J42">
            <v>8921.7999999999993</v>
          </cell>
          <cell r="K42">
            <v>8921.7999999999993</v>
          </cell>
        </row>
      </sheetData>
      <sheetData sheetId="79">
        <row r="42">
          <cell r="K42">
            <v>829564.17999999993</v>
          </cell>
        </row>
      </sheetData>
      <sheetData sheetId="80">
        <row r="43">
          <cell r="K43">
            <v>596787.69999999995</v>
          </cell>
        </row>
      </sheetData>
      <sheetData sheetId="81">
        <row r="42">
          <cell r="J42">
            <v>15000</v>
          </cell>
          <cell r="K42">
            <v>15000</v>
          </cell>
        </row>
      </sheetData>
      <sheetData sheetId="82">
        <row r="42">
          <cell r="K42">
            <v>943081</v>
          </cell>
        </row>
      </sheetData>
      <sheetData sheetId="83">
        <row r="42">
          <cell r="J42">
            <v>938327.99</v>
          </cell>
          <cell r="K42">
            <v>895000</v>
          </cell>
        </row>
      </sheetData>
      <sheetData sheetId="84">
        <row r="42">
          <cell r="K42">
            <v>92193</v>
          </cell>
        </row>
      </sheetData>
      <sheetData sheetId="85">
        <row r="42">
          <cell r="K42">
            <v>51040</v>
          </cell>
        </row>
      </sheetData>
      <sheetData sheetId="86">
        <row r="42">
          <cell r="K42">
            <v>100800</v>
          </cell>
        </row>
      </sheetData>
      <sheetData sheetId="87">
        <row r="42">
          <cell r="K42">
            <v>110167.13</v>
          </cell>
        </row>
      </sheetData>
      <sheetData sheetId="88">
        <row r="42">
          <cell r="K42">
            <v>625180</v>
          </cell>
        </row>
      </sheetData>
      <sheetData sheetId="89">
        <row r="42">
          <cell r="K42">
            <v>487134</v>
          </cell>
        </row>
      </sheetData>
      <sheetData sheetId="90">
        <row r="42">
          <cell r="K42">
            <v>801672</v>
          </cell>
        </row>
      </sheetData>
      <sheetData sheetId="91">
        <row r="42">
          <cell r="K42">
            <v>66500</v>
          </cell>
        </row>
      </sheetData>
      <sheetData sheetId="92">
        <row r="42">
          <cell r="J42">
            <v>12807.84</v>
          </cell>
          <cell r="K42">
            <v>12807</v>
          </cell>
        </row>
      </sheetData>
      <sheetData sheetId="93">
        <row r="42">
          <cell r="K42">
            <v>38640</v>
          </cell>
        </row>
      </sheetData>
      <sheetData sheetId="94" refreshError="1"/>
      <sheetData sheetId="95" refreshError="1"/>
      <sheetData sheetId="96">
        <row r="42">
          <cell r="K42">
            <v>814770</v>
          </cell>
        </row>
      </sheetData>
      <sheetData sheetId="97">
        <row r="43">
          <cell r="K43">
            <v>1050222.8</v>
          </cell>
        </row>
      </sheetData>
      <sheetData sheetId="98" refreshError="1"/>
      <sheetData sheetId="99" refreshError="1"/>
      <sheetData sheetId="100">
        <row r="43">
          <cell r="K43">
            <v>50000</v>
          </cell>
        </row>
      </sheetData>
      <sheetData sheetId="101">
        <row r="43">
          <cell r="K43">
            <v>100000</v>
          </cell>
        </row>
      </sheetData>
      <sheetData sheetId="102">
        <row r="43">
          <cell r="K43">
            <v>60000</v>
          </cell>
        </row>
      </sheetData>
      <sheetData sheetId="103">
        <row r="43">
          <cell r="K43">
            <v>10000</v>
          </cell>
        </row>
      </sheetData>
      <sheetData sheetId="104" refreshError="1"/>
      <sheetData sheetId="105" refreshError="1"/>
      <sheetData sheetId="10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U158"/>
  <sheetViews>
    <sheetView tabSelected="1" zoomScaleNormal="100" workbookViewId="0">
      <pane ySplit="5" topLeftCell="A53" activePane="bottomLeft" state="frozen"/>
      <selection pane="bottomLeft" activeCell="C59" sqref="C59"/>
    </sheetView>
  </sheetViews>
  <sheetFormatPr defaultColWidth="9" defaultRowHeight="14.25"/>
  <cols>
    <col min="1" max="1" width="4.875" style="7" customWidth="1"/>
    <col min="2" max="2" width="12.875" style="7" customWidth="1"/>
    <col min="3" max="3" width="21.625" style="358" customWidth="1"/>
    <col min="4" max="4" width="12.375" style="359" hidden="1" customWidth="1"/>
    <col min="5" max="5" width="14.75" style="360" hidden="1" customWidth="1"/>
    <col min="6" max="6" width="13.75" style="360" hidden="1" customWidth="1"/>
    <col min="7" max="7" width="6.875" style="361" hidden="1" customWidth="1"/>
    <col min="8" max="8" width="9.5" style="361" hidden="1" customWidth="1"/>
    <col min="9" max="9" width="17.125" style="362" customWidth="1"/>
    <col min="10" max="10" width="15.5" style="363" customWidth="1"/>
    <col min="11" max="11" width="19.125" style="364" customWidth="1"/>
    <col min="12" max="12" width="13" style="364" hidden="1" customWidth="1"/>
    <col min="13" max="13" width="26.875" style="358" customWidth="1"/>
    <col min="14" max="14" width="14.25" style="4" customWidth="1"/>
    <col min="15" max="15" width="16.375" style="5" customWidth="1"/>
    <col min="16" max="16" width="17.25" style="6" customWidth="1"/>
    <col min="17" max="20" width="20.625" style="7" customWidth="1"/>
    <col min="21" max="251" width="9" style="7" customWidth="1"/>
    <col min="252" max="252" width="9" style="8" customWidth="1"/>
    <col min="253" max="256" width="9" style="9"/>
    <col min="257" max="257" width="4.875" style="9" customWidth="1"/>
    <col min="258" max="258" width="12.875" style="9" customWidth="1"/>
    <col min="259" max="259" width="21.625" style="9" customWidth="1"/>
    <col min="260" max="264" width="0" style="9" hidden="1" customWidth="1"/>
    <col min="265" max="265" width="17.125" style="9" customWidth="1"/>
    <col min="266" max="266" width="15.5" style="9" customWidth="1"/>
    <col min="267" max="267" width="19.125" style="9" customWidth="1"/>
    <col min="268" max="268" width="0" style="9" hidden="1" customWidth="1"/>
    <col min="269" max="269" width="26.875" style="9" customWidth="1"/>
    <col min="270" max="270" width="14.25" style="9" customWidth="1"/>
    <col min="271" max="271" width="16.375" style="9" customWidth="1"/>
    <col min="272" max="272" width="17.25" style="9" customWidth="1"/>
    <col min="273" max="276" width="20.625" style="9" customWidth="1"/>
    <col min="277" max="508" width="9" style="9" customWidth="1"/>
    <col min="509" max="512" width="9" style="9"/>
    <col min="513" max="513" width="4.875" style="9" customWidth="1"/>
    <col min="514" max="514" width="12.875" style="9" customWidth="1"/>
    <col min="515" max="515" width="21.625" style="9" customWidth="1"/>
    <col min="516" max="520" width="0" style="9" hidden="1" customWidth="1"/>
    <col min="521" max="521" width="17.125" style="9" customWidth="1"/>
    <col min="522" max="522" width="15.5" style="9" customWidth="1"/>
    <col min="523" max="523" width="19.125" style="9" customWidth="1"/>
    <col min="524" max="524" width="0" style="9" hidden="1" customWidth="1"/>
    <col min="525" max="525" width="26.875" style="9" customWidth="1"/>
    <col min="526" max="526" width="14.25" style="9" customWidth="1"/>
    <col min="527" max="527" width="16.375" style="9" customWidth="1"/>
    <col min="528" max="528" width="17.25" style="9" customWidth="1"/>
    <col min="529" max="532" width="20.625" style="9" customWidth="1"/>
    <col min="533" max="764" width="9" style="9" customWidth="1"/>
    <col min="765" max="768" width="9" style="9"/>
    <col min="769" max="769" width="4.875" style="9" customWidth="1"/>
    <col min="770" max="770" width="12.875" style="9" customWidth="1"/>
    <col min="771" max="771" width="21.625" style="9" customWidth="1"/>
    <col min="772" max="776" width="0" style="9" hidden="1" customWidth="1"/>
    <col min="777" max="777" width="17.125" style="9" customWidth="1"/>
    <col min="778" max="778" width="15.5" style="9" customWidth="1"/>
    <col min="779" max="779" width="19.125" style="9" customWidth="1"/>
    <col min="780" max="780" width="0" style="9" hidden="1" customWidth="1"/>
    <col min="781" max="781" width="26.875" style="9" customWidth="1"/>
    <col min="782" max="782" width="14.25" style="9" customWidth="1"/>
    <col min="783" max="783" width="16.375" style="9" customWidth="1"/>
    <col min="784" max="784" width="17.25" style="9" customWidth="1"/>
    <col min="785" max="788" width="20.625" style="9" customWidth="1"/>
    <col min="789" max="1020" width="9" style="9" customWidth="1"/>
    <col min="1021" max="1024" width="9" style="9"/>
    <col min="1025" max="1025" width="4.875" style="9" customWidth="1"/>
    <col min="1026" max="1026" width="12.875" style="9" customWidth="1"/>
    <col min="1027" max="1027" width="21.625" style="9" customWidth="1"/>
    <col min="1028" max="1032" width="0" style="9" hidden="1" customWidth="1"/>
    <col min="1033" max="1033" width="17.125" style="9" customWidth="1"/>
    <col min="1034" max="1034" width="15.5" style="9" customWidth="1"/>
    <col min="1035" max="1035" width="19.125" style="9" customWidth="1"/>
    <col min="1036" max="1036" width="0" style="9" hidden="1" customWidth="1"/>
    <col min="1037" max="1037" width="26.875" style="9" customWidth="1"/>
    <col min="1038" max="1038" width="14.25" style="9" customWidth="1"/>
    <col min="1039" max="1039" width="16.375" style="9" customWidth="1"/>
    <col min="1040" max="1040" width="17.25" style="9" customWidth="1"/>
    <col min="1041" max="1044" width="20.625" style="9" customWidth="1"/>
    <col min="1045" max="1276" width="9" style="9" customWidth="1"/>
    <col min="1277" max="1280" width="9" style="9"/>
    <col min="1281" max="1281" width="4.875" style="9" customWidth="1"/>
    <col min="1282" max="1282" width="12.875" style="9" customWidth="1"/>
    <col min="1283" max="1283" width="21.625" style="9" customWidth="1"/>
    <col min="1284" max="1288" width="0" style="9" hidden="1" customWidth="1"/>
    <col min="1289" max="1289" width="17.125" style="9" customWidth="1"/>
    <col min="1290" max="1290" width="15.5" style="9" customWidth="1"/>
    <col min="1291" max="1291" width="19.125" style="9" customWidth="1"/>
    <col min="1292" max="1292" width="0" style="9" hidden="1" customWidth="1"/>
    <col min="1293" max="1293" width="26.875" style="9" customWidth="1"/>
    <col min="1294" max="1294" width="14.25" style="9" customWidth="1"/>
    <col min="1295" max="1295" width="16.375" style="9" customWidth="1"/>
    <col min="1296" max="1296" width="17.25" style="9" customWidth="1"/>
    <col min="1297" max="1300" width="20.625" style="9" customWidth="1"/>
    <col min="1301" max="1532" width="9" style="9" customWidth="1"/>
    <col min="1533" max="1536" width="9" style="9"/>
    <col min="1537" max="1537" width="4.875" style="9" customWidth="1"/>
    <col min="1538" max="1538" width="12.875" style="9" customWidth="1"/>
    <col min="1539" max="1539" width="21.625" style="9" customWidth="1"/>
    <col min="1540" max="1544" width="0" style="9" hidden="1" customWidth="1"/>
    <col min="1545" max="1545" width="17.125" style="9" customWidth="1"/>
    <col min="1546" max="1546" width="15.5" style="9" customWidth="1"/>
    <col min="1547" max="1547" width="19.125" style="9" customWidth="1"/>
    <col min="1548" max="1548" width="0" style="9" hidden="1" customWidth="1"/>
    <col min="1549" max="1549" width="26.875" style="9" customWidth="1"/>
    <col min="1550" max="1550" width="14.25" style="9" customWidth="1"/>
    <col min="1551" max="1551" width="16.375" style="9" customWidth="1"/>
    <col min="1552" max="1552" width="17.25" style="9" customWidth="1"/>
    <col min="1553" max="1556" width="20.625" style="9" customWidth="1"/>
    <col min="1557" max="1788" width="9" style="9" customWidth="1"/>
    <col min="1789" max="1792" width="9" style="9"/>
    <col min="1793" max="1793" width="4.875" style="9" customWidth="1"/>
    <col min="1794" max="1794" width="12.875" style="9" customWidth="1"/>
    <col min="1795" max="1795" width="21.625" style="9" customWidth="1"/>
    <col min="1796" max="1800" width="0" style="9" hidden="1" customWidth="1"/>
    <col min="1801" max="1801" width="17.125" style="9" customWidth="1"/>
    <col min="1802" max="1802" width="15.5" style="9" customWidth="1"/>
    <col min="1803" max="1803" width="19.125" style="9" customWidth="1"/>
    <col min="1804" max="1804" width="0" style="9" hidden="1" customWidth="1"/>
    <col min="1805" max="1805" width="26.875" style="9" customWidth="1"/>
    <col min="1806" max="1806" width="14.25" style="9" customWidth="1"/>
    <col min="1807" max="1807" width="16.375" style="9" customWidth="1"/>
    <col min="1808" max="1808" width="17.25" style="9" customWidth="1"/>
    <col min="1809" max="1812" width="20.625" style="9" customWidth="1"/>
    <col min="1813" max="2044" width="9" style="9" customWidth="1"/>
    <col min="2045" max="2048" width="9" style="9"/>
    <col min="2049" max="2049" width="4.875" style="9" customWidth="1"/>
    <col min="2050" max="2050" width="12.875" style="9" customWidth="1"/>
    <col min="2051" max="2051" width="21.625" style="9" customWidth="1"/>
    <col min="2052" max="2056" width="0" style="9" hidden="1" customWidth="1"/>
    <col min="2057" max="2057" width="17.125" style="9" customWidth="1"/>
    <col min="2058" max="2058" width="15.5" style="9" customWidth="1"/>
    <col min="2059" max="2059" width="19.125" style="9" customWidth="1"/>
    <col min="2060" max="2060" width="0" style="9" hidden="1" customWidth="1"/>
    <col min="2061" max="2061" width="26.875" style="9" customWidth="1"/>
    <col min="2062" max="2062" width="14.25" style="9" customWidth="1"/>
    <col min="2063" max="2063" width="16.375" style="9" customWidth="1"/>
    <col min="2064" max="2064" width="17.25" style="9" customWidth="1"/>
    <col min="2065" max="2068" width="20.625" style="9" customWidth="1"/>
    <col min="2069" max="2300" width="9" style="9" customWidth="1"/>
    <col min="2301" max="2304" width="9" style="9"/>
    <col min="2305" max="2305" width="4.875" style="9" customWidth="1"/>
    <col min="2306" max="2306" width="12.875" style="9" customWidth="1"/>
    <col min="2307" max="2307" width="21.625" style="9" customWidth="1"/>
    <col min="2308" max="2312" width="0" style="9" hidden="1" customWidth="1"/>
    <col min="2313" max="2313" width="17.125" style="9" customWidth="1"/>
    <col min="2314" max="2314" width="15.5" style="9" customWidth="1"/>
    <col min="2315" max="2315" width="19.125" style="9" customWidth="1"/>
    <col min="2316" max="2316" width="0" style="9" hidden="1" customWidth="1"/>
    <col min="2317" max="2317" width="26.875" style="9" customWidth="1"/>
    <col min="2318" max="2318" width="14.25" style="9" customWidth="1"/>
    <col min="2319" max="2319" width="16.375" style="9" customWidth="1"/>
    <col min="2320" max="2320" width="17.25" style="9" customWidth="1"/>
    <col min="2321" max="2324" width="20.625" style="9" customWidth="1"/>
    <col min="2325" max="2556" width="9" style="9" customWidth="1"/>
    <col min="2557" max="2560" width="9" style="9"/>
    <col min="2561" max="2561" width="4.875" style="9" customWidth="1"/>
    <col min="2562" max="2562" width="12.875" style="9" customWidth="1"/>
    <col min="2563" max="2563" width="21.625" style="9" customWidth="1"/>
    <col min="2564" max="2568" width="0" style="9" hidden="1" customWidth="1"/>
    <col min="2569" max="2569" width="17.125" style="9" customWidth="1"/>
    <col min="2570" max="2570" width="15.5" style="9" customWidth="1"/>
    <col min="2571" max="2571" width="19.125" style="9" customWidth="1"/>
    <col min="2572" max="2572" width="0" style="9" hidden="1" customWidth="1"/>
    <col min="2573" max="2573" width="26.875" style="9" customWidth="1"/>
    <col min="2574" max="2574" width="14.25" style="9" customWidth="1"/>
    <col min="2575" max="2575" width="16.375" style="9" customWidth="1"/>
    <col min="2576" max="2576" width="17.25" style="9" customWidth="1"/>
    <col min="2577" max="2580" width="20.625" style="9" customWidth="1"/>
    <col min="2581" max="2812" width="9" style="9" customWidth="1"/>
    <col min="2813" max="2816" width="9" style="9"/>
    <col min="2817" max="2817" width="4.875" style="9" customWidth="1"/>
    <col min="2818" max="2818" width="12.875" style="9" customWidth="1"/>
    <col min="2819" max="2819" width="21.625" style="9" customWidth="1"/>
    <col min="2820" max="2824" width="0" style="9" hidden="1" customWidth="1"/>
    <col min="2825" max="2825" width="17.125" style="9" customWidth="1"/>
    <col min="2826" max="2826" width="15.5" style="9" customWidth="1"/>
    <col min="2827" max="2827" width="19.125" style="9" customWidth="1"/>
    <col min="2828" max="2828" width="0" style="9" hidden="1" customWidth="1"/>
    <col min="2829" max="2829" width="26.875" style="9" customWidth="1"/>
    <col min="2830" max="2830" width="14.25" style="9" customWidth="1"/>
    <col min="2831" max="2831" width="16.375" style="9" customWidth="1"/>
    <col min="2832" max="2832" width="17.25" style="9" customWidth="1"/>
    <col min="2833" max="2836" width="20.625" style="9" customWidth="1"/>
    <col min="2837" max="3068" width="9" style="9" customWidth="1"/>
    <col min="3069" max="3072" width="9" style="9"/>
    <col min="3073" max="3073" width="4.875" style="9" customWidth="1"/>
    <col min="3074" max="3074" width="12.875" style="9" customWidth="1"/>
    <col min="3075" max="3075" width="21.625" style="9" customWidth="1"/>
    <col min="3076" max="3080" width="0" style="9" hidden="1" customWidth="1"/>
    <col min="3081" max="3081" width="17.125" style="9" customWidth="1"/>
    <col min="3082" max="3082" width="15.5" style="9" customWidth="1"/>
    <col min="3083" max="3083" width="19.125" style="9" customWidth="1"/>
    <col min="3084" max="3084" width="0" style="9" hidden="1" customWidth="1"/>
    <col min="3085" max="3085" width="26.875" style="9" customWidth="1"/>
    <col min="3086" max="3086" width="14.25" style="9" customWidth="1"/>
    <col min="3087" max="3087" width="16.375" style="9" customWidth="1"/>
    <col min="3088" max="3088" width="17.25" style="9" customWidth="1"/>
    <col min="3089" max="3092" width="20.625" style="9" customWidth="1"/>
    <col min="3093" max="3324" width="9" style="9" customWidth="1"/>
    <col min="3325" max="3328" width="9" style="9"/>
    <col min="3329" max="3329" width="4.875" style="9" customWidth="1"/>
    <col min="3330" max="3330" width="12.875" style="9" customWidth="1"/>
    <col min="3331" max="3331" width="21.625" style="9" customWidth="1"/>
    <col min="3332" max="3336" width="0" style="9" hidden="1" customWidth="1"/>
    <col min="3337" max="3337" width="17.125" style="9" customWidth="1"/>
    <col min="3338" max="3338" width="15.5" style="9" customWidth="1"/>
    <col min="3339" max="3339" width="19.125" style="9" customWidth="1"/>
    <col min="3340" max="3340" width="0" style="9" hidden="1" customWidth="1"/>
    <col min="3341" max="3341" width="26.875" style="9" customWidth="1"/>
    <col min="3342" max="3342" width="14.25" style="9" customWidth="1"/>
    <col min="3343" max="3343" width="16.375" style="9" customWidth="1"/>
    <col min="3344" max="3344" width="17.25" style="9" customWidth="1"/>
    <col min="3345" max="3348" width="20.625" style="9" customWidth="1"/>
    <col min="3349" max="3580" width="9" style="9" customWidth="1"/>
    <col min="3581" max="3584" width="9" style="9"/>
    <col min="3585" max="3585" width="4.875" style="9" customWidth="1"/>
    <col min="3586" max="3586" width="12.875" style="9" customWidth="1"/>
    <col min="3587" max="3587" width="21.625" style="9" customWidth="1"/>
    <col min="3588" max="3592" width="0" style="9" hidden="1" customWidth="1"/>
    <col min="3593" max="3593" width="17.125" style="9" customWidth="1"/>
    <col min="3594" max="3594" width="15.5" style="9" customWidth="1"/>
    <col min="3595" max="3595" width="19.125" style="9" customWidth="1"/>
    <col min="3596" max="3596" width="0" style="9" hidden="1" customWidth="1"/>
    <col min="3597" max="3597" width="26.875" style="9" customWidth="1"/>
    <col min="3598" max="3598" width="14.25" style="9" customWidth="1"/>
    <col min="3599" max="3599" width="16.375" style="9" customWidth="1"/>
    <col min="3600" max="3600" width="17.25" style="9" customWidth="1"/>
    <col min="3601" max="3604" width="20.625" style="9" customWidth="1"/>
    <col min="3605" max="3836" width="9" style="9" customWidth="1"/>
    <col min="3837" max="3840" width="9" style="9"/>
    <col min="3841" max="3841" width="4.875" style="9" customWidth="1"/>
    <col min="3842" max="3842" width="12.875" style="9" customWidth="1"/>
    <col min="3843" max="3843" width="21.625" style="9" customWidth="1"/>
    <col min="3844" max="3848" width="0" style="9" hidden="1" customWidth="1"/>
    <col min="3849" max="3849" width="17.125" style="9" customWidth="1"/>
    <col min="3850" max="3850" width="15.5" style="9" customWidth="1"/>
    <col min="3851" max="3851" width="19.125" style="9" customWidth="1"/>
    <col min="3852" max="3852" width="0" style="9" hidden="1" customWidth="1"/>
    <col min="3853" max="3853" width="26.875" style="9" customWidth="1"/>
    <col min="3854" max="3854" width="14.25" style="9" customWidth="1"/>
    <col min="3855" max="3855" width="16.375" style="9" customWidth="1"/>
    <col min="3856" max="3856" width="17.25" style="9" customWidth="1"/>
    <col min="3857" max="3860" width="20.625" style="9" customWidth="1"/>
    <col min="3861" max="4092" width="9" style="9" customWidth="1"/>
    <col min="4093" max="4096" width="9" style="9"/>
    <col min="4097" max="4097" width="4.875" style="9" customWidth="1"/>
    <col min="4098" max="4098" width="12.875" style="9" customWidth="1"/>
    <col min="4099" max="4099" width="21.625" style="9" customWidth="1"/>
    <col min="4100" max="4104" width="0" style="9" hidden="1" customWidth="1"/>
    <col min="4105" max="4105" width="17.125" style="9" customWidth="1"/>
    <col min="4106" max="4106" width="15.5" style="9" customWidth="1"/>
    <col min="4107" max="4107" width="19.125" style="9" customWidth="1"/>
    <col min="4108" max="4108" width="0" style="9" hidden="1" customWidth="1"/>
    <col min="4109" max="4109" width="26.875" style="9" customWidth="1"/>
    <col min="4110" max="4110" width="14.25" style="9" customWidth="1"/>
    <col min="4111" max="4111" width="16.375" style="9" customWidth="1"/>
    <col min="4112" max="4112" width="17.25" style="9" customWidth="1"/>
    <col min="4113" max="4116" width="20.625" style="9" customWidth="1"/>
    <col min="4117" max="4348" width="9" style="9" customWidth="1"/>
    <col min="4349" max="4352" width="9" style="9"/>
    <col min="4353" max="4353" width="4.875" style="9" customWidth="1"/>
    <col min="4354" max="4354" width="12.875" style="9" customWidth="1"/>
    <col min="4355" max="4355" width="21.625" style="9" customWidth="1"/>
    <col min="4356" max="4360" width="0" style="9" hidden="1" customWidth="1"/>
    <col min="4361" max="4361" width="17.125" style="9" customWidth="1"/>
    <col min="4362" max="4362" width="15.5" style="9" customWidth="1"/>
    <col min="4363" max="4363" width="19.125" style="9" customWidth="1"/>
    <col min="4364" max="4364" width="0" style="9" hidden="1" customWidth="1"/>
    <col min="4365" max="4365" width="26.875" style="9" customWidth="1"/>
    <col min="4366" max="4366" width="14.25" style="9" customWidth="1"/>
    <col min="4367" max="4367" width="16.375" style="9" customWidth="1"/>
    <col min="4368" max="4368" width="17.25" style="9" customWidth="1"/>
    <col min="4369" max="4372" width="20.625" style="9" customWidth="1"/>
    <col min="4373" max="4604" width="9" style="9" customWidth="1"/>
    <col min="4605" max="4608" width="9" style="9"/>
    <col min="4609" max="4609" width="4.875" style="9" customWidth="1"/>
    <col min="4610" max="4610" width="12.875" style="9" customWidth="1"/>
    <col min="4611" max="4611" width="21.625" style="9" customWidth="1"/>
    <col min="4612" max="4616" width="0" style="9" hidden="1" customWidth="1"/>
    <col min="4617" max="4617" width="17.125" style="9" customWidth="1"/>
    <col min="4618" max="4618" width="15.5" style="9" customWidth="1"/>
    <col min="4619" max="4619" width="19.125" style="9" customWidth="1"/>
    <col min="4620" max="4620" width="0" style="9" hidden="1" customWidth="1"/>
    <col min="4621" max="4621" width="26.875" style="9" customWidth="1"/>
    <col min="4622" max="4622" width="14.25" style="9" customWidth="1"/>
    <col min="4623" max="4623" width="16.375" style="9" customWidth="1"/>
    <col min="4624" max="4624" width="17.25" style="9" customWidth="1"/>
    <col min="4625" max="4628" width="20.625" style="9" customWidth="1"/>
    <col min="4629" max="4860" width="9" style="9" customWidth="1"/>
    <col min="4861" max="4864" width="9" style="9"/>
    <col min="4865" max="4865" width="4.875" style="9" customWidth="1"/>
    <col min="4866" max="4866" width="12.875" style="9" customWidth="1"/>
    <col min="4867" max="4867" width="21.625" style="9" customWidth="1"/>
    <col min="4868" max="4872" width="0" style="9" hidden="1" customWidth="1"/>
    <col min="4873" max="4873" width="17.125" style="9" customWidth="1"/>
    <col min="4874" max="4874" width="15.5" style="9" customWidth="1"/>
    <col min="4875" max="4875" width="19.125" style="9" customWidth="1"/>
    <col min="4876" max="4876" width="0" style="9" hidden="1" customWidth="1"/>
    <col min="4877" max="4877" width="26.875" style="9" customWidth="1"/>
    <col min="4878" max="4878" width="14.25" style="9" customWidth="1"/>
    <col min="4879" max="4879" width="16.375" style="9" customWidth="1"/>
    <col min="4880" max="4880" width="17.25" style="9" customWidth="1"/>
    <col min="4881" max="4884" width="20.625" style="9" customWidth="1"/>
    <col min="4885" max="5116" width="9" style="9" customWidth="1"/>
    <col min="5117" max="5120" width="9" style="9"/>
    <col min="5121" max="5121" width="4.875" style="9" customWidth="1"/>
    <col min="5122" max="5122" width="12.875" style="9" customWidth="1"/>
    <col min="5123" max="5123" width="21.625" style="9" customWidth="1"/>
    <col min="5124" max="5128" width="0" style="9" hidden="1" customWidth="1"/>
    <col min="5129" max="5129" width="17.125" style="9" customWidth="1"/>
    <col min="5130" max="5130" width="15.5" style="9" customWidth="1"/>
    <col min="5131" max="5131" width="19.125" style="9" customWidth="1"/>
    <col min="5132" max="5132" width="0" style="9" hidden="1" customWidth="1"/>
    <col min="5133" max="5133" width="26.875" style="9" customWidth="1"/>
    <col min="5134" max="5134" width="14.25" style="9" customWidth="1"/>
    <col min="5135" max="5135" width="16.375" style="9" customWidth="1"/>
    <col min="5136" max="5136" width="17.25" style="9" customWidth="1"/>
    <col min="5137" max="5140" width="20.625" style="9" customWidth="1"/>
    <col min="5141" max="5372" width="9" style="9" customWidth="1"/>
    <col min="5373" max="5376" width="9" style="9"/>
    <col min="5377" max="5377" width="4.875" style="9" customWidth="1"/>
    <col min="5378" max="5378" width="12.875" style="9" customWidth="1"/>
    <col min="5379" max="5379" width="21.625" style="9" customWidth="1"/>
    <col min="5380" max="5384" width="0" style="9" hidden="1" customWidth="1"/>
    <col min="5385" max="5385" width="17.125" style="9" customWidth="1"/>
    <col min="5386" max="5386" width="15.5" style="9" customWidth="1"/>
    <col min="5387" max="5387" width="19.125" style="9" customWidth="1"/>
    <col min="5388" max="5388" width="0" style="9" hidden="1" customWidth="1"/>
    <col min="5389" max="5389" width="26.875" style="9" customWidth="1"/>
    <col min="5390" max="5390" width="14.25" style="9" customWidth="1"/>
    <col min="5391" max="5391" width="16.375" style="9" customWidth="1"/>
    <col min="5392" max="5392" width="17.25" style="9" customWidth="1"/>
    <col min="5393" max="5396" width="20.625" style="9" customWidth="1"/>
    <col min="5397" max="5628" width="9" style="9" customWidth="1"/>
    <col min="5629" max="5632" width="9" style="9"/>
    <col min="5633" max="5633" width="4.875" style="9" customWidth="1"/>
    <col min="5634" max="5634" width="12.875" style="9" customWidth="1"/>
    <col min="5635" max="5635" width="21.625" style="9" customWidth="1"/>
    <col min="5636" max="5640" width="0" style="9" hidden="1" customWidth="1"/>
    <col min="5641" max="5641" width="17.125" style="9" customWidth="1"/>
    <col min="5642" max="5642" width="15.5" style="9" customWidth="1"/>
    <col min="5643" max="5643" width="19.125" style="9" customWidth="1"/>
    <col min="5644" max="5644" width="0" style="9" hidden="1" customWidth="1"/>
    <col min="5645" max="5645" width="26.875" style="9" customWidth="1"/>
    <col min="5646" max="5646" width="14.25" style="9" customWidth="1"/>
    <col min="5647" max="5647" width="16.375" style="9" customWidth="1"/>
    <col min="5648" max="5648" width="17.25" style="9" customWidth="1"/>
    <col min="5649" max="5652" width="20.625" style="9" customWidth="1"/>
    <col min="5653" max="5884" width="9" style="9" customWidth="1"/>
    <col min="5885" max="5888" width="9" style="9"/>
    <col min="5889" max="5889" width="4.875" style="9" customWidth="1"/>
    <col min="5890" max="5890" width="12.875" style="9" customWidth="1"/>
    <col min="5891" max="5891" width="21.625" style="9" customWidth="1"/>
    <col min="5892" max="5896" width="0" style="9" hidden="1" customWidth="1"/>
    <col min="5897" max="5897" width="17.125" style="9" customWidth="1"/>
    <col min="5898" max="5898" width="15.5" style="9" customWidth="1"/>
    <col min="5899" max="5899" width="19.125" style="9" customWidth="1"/>
    <col min="5900" max="5900" width="0" style="9" hidden="1" customWidth="1"/>
    <col min="5901" max="5901" width="26.875" style="9" customWidth="1"/>
    <col min="5902" max="5902" width="14.25" style="9" customWidth="1"/>
    <col min="5903" max="5903" width="16.375" style="9" customWidth="1"/>
    <col min="5904" max="5904" width="17.25" style="9" customWidth="1"/>
    <col min="5905" max="5908" width="20.625" style="9" customWidth="1"/>
    <col min="5909" max="6140" width="9" style="9" customWidth="1"/>
    <col min="6141" max="6144" width="9" style="9"/>
    <col min="6145" max="6145" width="4.875" style="9" customWidth="1"/>
    <col min="6146" max="6146" width="12.875" style="9" customWidth="1"/>
    <col min="6147" max="6147" width="21.625" style="9" customWidth="1"/>
    <col min="6148" max="6152" width="0" style="9" hidden="1" customWidth="1"/>
    <col min="6153" max="6153" width="17.125" style="9" customWidth="1"/>
    <col min="6154" max="6154" width="15.5" style="9" customWidth="1"/>
    <col min="6155" max="6155" width="19.125" style="9" customWidth="1"/>
    <col min="6156" max="6156" width="0" style="9" hidden="1" customWidth="1"/>
    <col min="6157" max="6157" width="26.875" style="9" customWidth="1"/>
    <col min="6158" max="6158" width="14.25" style="9" customWidth="1"/>
    <col min="6159" max="6159" width="16.375" style="9" customWidth="1"/>
    <col min="6160" max="6160" width="17.25" style="9" customWidth="1"/>
    <col min="6161" max="6164" width="20.625" style="9" customWidth="1"/>
    <col min="6165" max="6396" width="9" style="9" customWidth="1"/>
    <col min="6397" max="6400" width="9" style="9"/>
    <col min="6401" max="6401" width="4.875" style="9" customWidth="1"/>
    <col min="6402" max="6402" width="12.875" style="9" customWidth="1"/>
    <col min="6403" max="6403" width="21.625" style="9" customWidth="1"/>
    <col min="6404" max="6408" width="0" style="9" hidden="1" customWidth="1"/>
    <col min="6409" max="6409" width="17.125" style="9" customWidth="1"/>
    <col min="6410" max="6410" width="15.5" style="9" customWidth="1"/>
    <col min="6411" max="6411" width="19.125" style="9" customWidth="1"/>
    <col min="6412" max="6412" width="0" style="9" hidden="1" customWidth="1"/>
    <col min="6413" max="6413" width="26.875" style="9" customWidth="1"/>
    <col min="6414" max="6414" width="14.25" style="9" customWidth="1"/>
    <col min="6415" max="6415" width="16.375" style="9" customWidth="1"/>
    <col min="6416" max="6416" width="17.25" style="9" customWidth="1"/>
    <col min="6417" max="6420" width="20.625" style="9" customWidth="1"/>
    <col min="6421" max="6652" width="9" style="9" customWidth="1"/>
    <col min="6653" max="6656" width="9" style="9"/>
    <col min="6657" max="6657" width="4.875" style="9" customWidth="1"/>
    <col min="6658" max="6658" width="12.875" style="9" customWidth="1"/>
    <col min="6659" max="6659" width="21.625" style="9" customWidth="1"/>
    <col min="6660" max="6664" width="0" style="9" hidden="1" customWidth="1"/>
    <col min="6665" max="6665" width="17.125" style="9" customWidth="1"/>
    <col min="6666" max="6666" width="15.5" style="9" customWidth="1"/>
    <col min="6667" max="6667" width="19.125" style="9" customWidth="1"/>
    <col min="6668" max="6668" width="0" style="9" hidden="1" customWidth="1"/>
    <col min="6669" max="6669" width="26.875" style="9" customWidth="1"/>
    <col min="6670" max="6670" width="14.25" style="9" customWidth="1"/>
    <col min="6671" max="6671" width="16.375" style="9" customWidth="1"/>
    <col min="6672" max="6672" width="17.25" style="9" customWidth="1"/>
    <col min="6673" max="6676" width="20.625" style="9" customWidth="1"/>
    <col min="6677" max="6908" width="9" style="9" customWidth="1"/>
    <col min="6909" max="6912" width="9" style="9"/>
    <col min="6913" max="6913" width="4.875" style="9" customWidth="1"/>
    <col min="6914" max="6914" width="12.875" style="9" customWidth="1"/>
    <col min="6915" max="6915" width="21.625" style="9" customWidth="1"/>
    <col min="6916" max="6920" width="0" style="9" hidden="1" customWidth="1"/>
    <col min="6921" max="6921" width="17.125" style="9" customWidth="1"/>
    <col min="6922" max="6922" width="15.5" style="9" customWidth="1"/>
    <col min="6923" max="6923" width="19.125" style="9" customWidth="1"/>
    <col min="6924" max="6924" width="0" style="9" hidden="1" customWidth="1"/>
    <col min="6925" max="6925" width="26.875" style="9" customWidth="1"/>
    <col min="6926" max="6926" width="14.25" style="9" customWidth="1"/>
    <col min="6927" max="6927" width="16.375" style="9" customWidth="1"/>
    <col min="6928" max="6928" width="17.25" style="9" customWidth="1"/>
    <col min="6929" max="6932" width="20.625" style="9" customWidth="1"/>
    <col min="6933" max="7164" width="9" style="9" customWidth="1"/>
    <col min="7165" max="7168" width="9" style="9"/>
    <col min="7169" max="7169" width="4.875" style="9" customWidth="1"/>
    <col min="7170" max="7170" width="12.875" style="9" customWidth="1"/>
    <col min="7171" max="7171" width="21.625" style="9" customWidth="1"/>
    <col min="7172" max="7176" width="0" style="9" hidden="1" customWidth="1"/>
    <col min="7177" max="7177" width="17.125" style="9" customWidth="1"/>
    <col min="7178" max="7178" width="15.5" style="9" customWidth="1"/>
    <col min="7179" max="7179" width="19.125" style="9" customWidth="1"/>
    <col min="7180" max="7180" width="0" style="9" hidden="1" customWidth="1"/>
    <col min="7181" max="7181" width="26.875" style="9" customWidth="1"/>
    <col min="7182" max="7182" width="14.25" style="9" customWidth="1"/>
    <col min="7183" max="7183" width="16.375" style="9" customWidth="1"/>
    <col min="7184" max="7184" width="17.25" style="9" customWidth="1"/>
    <col min="7185" max="7188" width="20.625" style="9" customWidth="1"/>
    <col min="7189" max="7420" width="9" style="9" customWidth="1"/>
    <col min="7421" max="7424" width="9" style="9"/>
    <col min="7425" max="7425" width="4.875" style="9" customWidth="1"/>
    <col min="7426" max="7426" width="12.875" style="9" customWidth="1"/>
    <col min="7427" max="7427" width="21.625" style="9" customWidth="1"/>
    <col min="7428" max="7432" width="0" style="9" hidden="1" customWidth="1"/>
    <col min="7433" max="7433" width="17.125" style="9" customWidth="1"/>
    <col min="7434" max="7434" width="15.5" style="9" customWidth="1"/>
    <col min="7435" max="7435" width="19.125" style="9" customWidth="1"/>
    <col min="7436" max="7436" width="0" style="9" hidden="1" customWidth="1"/>
    <col min="7437" max="7437" width="26.875" style="9" customWidth="1"/>
    <col min="7438" max="7438" width="14.25" style="9" customWidth="1"/>
    <col min="7439" max="7439" width="16.375" style="9" customWidth="1"/>
    <col min="7440" max="7440" width="17.25" style="9" customWidth="1"/>
    <col min="7441" max="7444" width="20.625" style="9" customWidth="1"/>
    <col min="7445" max="7676" width="9" style="9" customWidth="1"/>
    <col min="7677" max="7680" width="9" style="9"/>
    <col min="7681" max="7681" width="4.875" style="9" customWidth="1"/>
    <col min="7682" max="7682" width="12.875" style="9" customWidth="1"/>
    <col min="7683" max="7683" width="21.625" style="9" customWidth="1"/>
    <col min="7684" max="7688" width="0" style="9" hidden="1" customWidth="1"/>
    <col min="7689" max="7689" width="17.125" style="9" customWidth="1"/>
    <col min="7690" max="7690" width="15.5" style="9" customWidth="1"/>
    <col min="7691" max="7691" width="19.125" style="9" customWidth="1"/>
    <col min="7692" max="7692" width="0" style="9" hidden="1" customWidth="1"/>
    <col min="7693" max="7693" width="26.875" style="9" customWidth="1"/>
    <col min="7694" max="7694" width="14.25" style="9" customWidth="1"/>
    <col min="7695" max="7695" width="16.375" style="9" customWidth="1"/>
    <col min="7696" max="7696" width="17.25" style="9" customWidth="1"/>
    <col min="7697" max="7700" width="20.625" style="9" customWidth="1"/>
    <col min="7701" max="7932" width="9" style="9" customWidth="1"/>
    <col min="7933" max="7936" width="9" style="9"/>
    <col min="7937" max="7937" width="4.875" style="9" customWidth="1"/>
    <col min="7938" max="7938" width="12.875" style="9" customWidth="1"/>
    <col min="7939" max="7939" width="21.625" style="9" customWidth="1"/>
    <col min="7940" max="7944" width="0" style="9" hidden="1" customWidth="1"/>
    <col min="7945" max="7945" width="17.125" style="9" customWidth="1"/>
    <col min="7946" max="7946" width="15.5" style="9" customWidth="1"/>
    <col min="7947" max="7947" width="19.125" style="9" customWidth="1"/>
    <col min="7948" max="7948" width="0" style="9" hidden="1" customWidth="1"/>
    <col min="7949" max="7949" width="26.875" style="9" customWidth="1"/>
    <col min="7950" max="7950" width="14.25" style="9" customWidth="1"/>
    <col min="7951" max="7951" width="16.375" style="9" customWidth="1"/>
    <col min="7952" max="7952" width="17.25" style="9" customWidth="1"/>
    <col min="7953" max="7956" width="20.625" style="9" customWidth="1"/>
    <col min="7957" max="8188" width="9" style="9" customWidth="1"/>
    <col min="8189" max="8192" width="9" style="9"/>
    <col min="8193" max="8193" width="4.875" style="9" customWidth="1"/>
    <col min="8194" max="8194" width="12.875" style="9" customWidth="1"/>
    <col min="8195" max="8195" width="21.625" style="9" customWidth="1"/>
    <col min="8196" max="8200" width="0" style="9" hidden="1" customWidth="1"/>
    <col min="8201" max="8201" width="17.125" style="9" customWidth="1"/>
    <col min="8202" max="8202" width="15.5" style="9" customWidth="1"/>
    <col min="8203" max="8203" width="19.125" style="9" customWidth="1"/>
    <col min="8204" max="8204" width="0" style="9" hidden="1" customWidth="1"/>
    <col min="8205" max="8205" width="26.875" style="9" customWidth="1"/>
    <col min="8206" max="8206" width="14.25" style="9" customWidth="1"/>
    <col min="8207" max="8207" width="16.375" style="9" customWidth="1"/>
    <col min="8208" max="8208" width="17.25" style="9" customWidth="1"/>
    <col min="8209" max="8212" width="20.625" style="9" customWidth="1"/>
    <col min="8213" max="8444" width="9" style="9" customWidth="1"/>
    <col min="8445" max="8448" width="9" style="9"/>
    <col min="8449" max="8449" width="4.875" style="9" customWidth="1"/>
    <col min="8450" max="8450" width="12.875" style="9" customWidth="1"/>
    <col min="8451" max="8451" width="21.625" style="9" customWidth="1"/>
    <col min="8452" max="8456" width="0" style="9" hidden="1" customWidth="1"/>
    <col min="8457" max="8457" width="17.125" style="9" customWidth="1"/>
    <col min="8458" max="8458" width="15.5" style="9" customWidth="1"/>
    <col min="8459" max="8459" width="19.125" style="9" customWidth="1"/>
    <col min="8460" max="8460" width="0" style="9" hidden="1" customWidth="1"/>
    <col min="8461" max="8461" width="26.875" style="9" customWidth="1"/>
    <col min="8462" max="8462" width="14.25" style="9" customWidth="1"/>
    <col min="8463" max="8463" width="16.375" style="9" customWidth="1"/>
    <col min="8464" max="8464" width="17.25" style="9" customWidth="1"/>
    <col min="8465" max="8468" width="20.625" style="9" customWidth="1"/>
    <col min="8469" max="8700" width="9" style="9" customWidth="1"/>
    <col min="8701" max="8704" width="9" style="9"/>
    <col min="8705" max="8705" width="4.875" style="9" customWidth="1"/>
    <col min="8706" max="8706" width="12.875" style="9" customWidth="1"/>
    <col min="8707" max="8707" width="21.625" style="9" customWidth="1"/>
    <col min="8708" max="8712" width="0" style="9" hidden="1" customWidth="1"/>
    <col min="8713" max="8713" width="17.125" style="9" customWidth="1"/>
    <col min="8714" max="8714" width="15.5" style="9" customWidth="1"/>
    <col min="8715" max="8715" width="19.125" style="9" customWidth="1"/>
    <col min="8716" max="8716" width="0" style="9" hidden="1" customWidth="1"/>
    <col min="8717" max="8717" width="26.875" style="9" customWidth="1"/>
    <col min="8718" max="8718" width="14.25" style="9" customWidth="1"/>
    <col min="8719" max="8719" width="16.375" style="9" customWidth="1"/>
    <col min="8720" max="8720" width="17.25" style="9" customWidth="1"/>
    <col min="8721" max="8724" width="20.625" style="9" customWidth="1"/>
    <col min="8725" max="8956" width="9" style="9" customWidth="1"/>
    <col min="8957" max="8960" width="9" style="9"/>
    <col min="8961" max="8961" width="4.875" style="9" customWidth="1"/>
    <col min="8962" max="8962" width="12.875" style="9" customWidth="1"/>
    <col min="8963" max="8963" width="21.625" style="9" customWidth="1"/>
    <col min="8964" max="8968" width="0" style="9" hidden="1" customWidth="1"/>
    <col min="8969" max="8969" width="17.125" style="9" customWidth="1"/>
    <col min="8970" max="8970" width="15.5" style="9" customWidth="1"/>
    <col min="8971" max="8971" width="19.125" style="9" customWidth="1"/>
    <col min="8972" max="8972" width="0" style="9" hidden="1" customWidth="1"/>
    <col min="8973" max="8973" width="26.875" style="9" customWidth="1"/>
    <col min="8974" max="8974" width="14.25" style="9" customWidth="1"/>
    <col min="8975" max="8975" width="16.375" style="9" customWidth="1"/>
    <col min="8976" max="8976" width="17.25" style="9" customWidth="1"/>
    <col min="8977" max="8980" width="20.625" style="9" customWidth="1"/>
    <col min="8981" max="9212" width="9" style="9" customWidth="1"/>
    <col min="9213" max="9216" width="9" style="9"/>
    <col min="9217" max="9217" width="4.875" style="9" customWidth="1"/>
    <col min="9218" max="9218" width="12.875" style="9" customWidth="1"/>
    <col min="9219" max="9219" width="21.625" style="9" customWidth="1"/>
    <col min="9220" max="9224" width="0" style="9" hidden="1" customWidth="1"/>
    <col min="9225" max="9225" width="17.125" style="9" customWidth="1"/>
    <col min="9226" max="9226" width="15.5" style="9" customWidth="1"/>
    <col min="9227" max="9227" width="19.125" style="9" customWidth="1"/>
    <col min="9228" max="9228" width="0" style="9" hidden="1" customWidth="1"/>
    <col min="9229" max="9229" width="26.875" style="9" customWidth="1"/>
    <col min="9230" max="9230" width="14.25" style="9" customWidth="1"/>
    <col min="9231" max="9231" width="16.375" style="9" customWidth="1"/>
    <col min="9232" max="9232" width="17.25" style="9" customWidth="1"/>
    <col min="9233" max="9236" width="20.625" style="9" customWidth="1"/>
    <col min="9237" max="9468" width="9" style="9" customWidth="1"/>
    <col min="9469" max="9472" width="9" style="9"/>
    <col min="9473" max="9473" width="4.875" style="9" customWidth="1"/>
    <col min="9474" max="9474" width="12.875" style="9" customWidth="1"/>
    <col min="9475" max="9475" width="21.625" style="9" customWidth="1"/>
    <col min="9476" max="9480" width="0" style="9" hidden="1" customWidth="1"/>
    <col min="9481" max="9481" width="17.125" style="9" customWidth="1"/>
    <col min="9482" max="9482" width="15.5" style="9" customWidth="1"/>
    <col min="9483" max="9483" width="19.125" style="9" customWidth="1"/>
    <col min="9484" max="9484" width="0" style="9" hidden="1" customWidth="1"/>
    <col min="9485" max="9485" width="26.875" style="9" customWidth="1"/>
    <col min="9486" max="9486" width="14.25" style="9" customWidth="1"/>
    <col min="9487" max="9487" width="16.375" style="9" customWidth="1"/>
    <col min="9488" max="9488" width="17.25" style="9" customWidth="1"/>
    <col min="9489" max="9492" width="20.625" style="9" customWidth="1"/>
    <col min="9493" max="9724" width="9" style="9" customWidth="1"/>
    <col min="9725" max="9728" width="9" style="9"/>
    <col min="9729" max="9729" width="4.875" style="9" customWidth="1"/>
    <col min="9730" max="9730" width="12.875" style="9" customWidth="1"/>
    <col min="9731" max="9731" width="21.625" style="9" customWidth="1"/>
    <col min="9732" max="9736" width="0" style="9" hidden="1" customWidth="1"/>
    <col min="9737" max="9737" width="17.125" style="9" customWidth="1"/>
    <col min="9738" max="9738" width="15.5" style="9" customWidth="1"/>
    <col min="9739" max="9739" width="19.125" style="9" customWidth="1"/>
    <col min="9740" max="9740" width="0" style="9" hidden="1" customWidth="1"/>
    <col min="9741" max="9741" width="26.875" style="9" customWidth="1"/>
    <col min="9742" max="9742" width="14.25" style="9" customWidth="1"/>
    <col min="9743" max="9743" width="16.375" style="9" customWidth="1"/>
    <col min="9744" max="9744" width="17.25" style="9" customWidth="1"/>
    <col min="9745" max="9748" width="20.625" style="9" customWidth="1"/>
    <col min="9749" max="9980" width="9" style="9" customWidth="1"/>
    <col min="9981" max="9984" width="9" style="9"/>
    <col min="9985" max="9985" width="4.875" style="9" customWidth="1"/>
    <col min="9986" max="9986" width="12.875" style="9" customWidth="1"/>
    <col min="9987" max="9987" width="21.625" style="9" customWidth="1"/>
    <col min="9988" max="9992" width="0" style="9" hidden="1" customWidth="1"/>
    <col min="9993" max="9993" width="17.125" style="9" customWidth="1"/>
    <col min="9994" max="9994" width="15.5" style="9" customWidth="1"/>
    <col min="9995" max="9995" width="19.125" style="9" customWidth="1"/>
    <col min="9996" max="9996" width="0" style="9" hidden="1" customWidth="1"/>
    <col min="9997" max="9997" width="26.875" style="9" customWidth="1"/>
    <col min="9998" max="9998" width="14.25" style="9" customWidth="1"/>
    <col min="9999" max="9999" width="16.375" style="9" customWidth="1"/>
    <col min="10000" max="10000" width="17.25" style="9" customWidth="1"/>
    <col min="10001" max="10004" width="20.625" style="9" customWidth="1"/>
    <col min="10005" max="10236" width="9" style="9" customWidth="1"/>
    <col min="10237" max="10240" width="9" style="9"/>
    <col min="10241" max="10241" width="4.875" style="9" customWidth="1"/>
    <col min="10242" max="10242" width="12.875" style="9" customWidth="1"/>
    <col min="10243" max="10243" width="21.625" style="9" customWidth="1"/>
    <col min="10244" max="10248" width="0" style="9" hidden="1" customWidth="1"/>
    <col min="10249" max="10249" width="17.125" style="9" customWidth="1"/>
    <col min="10250" max="10250" width="15.5" style="9" customWidth="1"/>
    <col min="10251" max="10251" width="19.125" style="9" customWidth="1"/>
    <col min="10252" max="10252" width="0" style="9" hidden="1" customWidth="1"/>
    <col min="10253" max="10253" width="26.875" style="9" customWidth="1"/>
    <col min="10254" max="10254" width="14.25" style="9" customWidth="1"/>
    <col min="10255" max="10255" width="16.375" style="9" customWidth="1"/>
    <col min="10256" max="10256" width="17.25" style="9" customWidth="1"/>
    <col min="10257" max="10260" width="20.625" style="9" customWidth="1"/>
    <col min="10261" max="10492" width="9" style="9" customWidth="1"/>
    <col min="10493" max="10496" width="9" style="9"/>
    <col min="10497" max="10497" width="4.875" style="9" customWidth="1"/>
    <col min="10498" max="10498" width="12.875" style="9" customWidth="1"/>
    <col min="10499" max="10499" width="21.625" style="9" customWidth="1"/>
    <col min="10500" max="10504" width="0" style="9" hidden="1" customWidth="1"/>
    <col min="10505" max="10505" width="17.125" style="9" customWidth="1"/>
    <col min="10506" max="10506" width="15.5" style="9" customWidth="1"/>
    <col min="10507" max="10507" width="19.125" style="9" customWidth="1"/>
    <col min="10508" max="10508" width="0" style="9" hidden="1" customWidth="1"/>
    <col min="10509" max="10509" width="26.875" style="9" customWidth="1"/>
    <col min="10510" max="10510" width="14.25" style="9" customWidth="1"/>
    <col min="10511" max="10511" width="16.375" style="9" customWidth="1"/>
    <col min="10512" max="10512" width="17.25" style="9" customWidth="1"/>
    <col min="10513" max="10516" width="20.625" style="9" customWidth="1"/>
    <col min="10517" max="10748" width="9" style="9" customWidth="1"/>
    <col min="10749" max="10752" width="9" style="9"/>
    <col min="10753" max="10753" width="4.875" style="9" customWidth="1"/>
    <col min="10754" max="10754" width="12.875" style="9" customWidth="1"/>
    <col min="10755" max="10755" width="21.625" style="9" customWidth="1"/>
    <col min="10756" max="10760" width="0" style="9" hidden="1" customWidth="1"/>
    <col min="10761" max="10761" width="17.125" style="9" customWidth="1"/>
    <col min="10762" max="10762" width="15.5" style="9" customWidth="1"/>
    <col min="10763" max="10763" width="19.125" style="9" customWidth="1"/>
    <col min="10764" max="10764" width="0" style="9" hidden="1" customWidth="1"/>
    <col min="10765" max="10765" width="26.875" style="9" customWidth="1"/>
    <col min="10766" max="10766" width="14.25" style="9" customWidth="1"/>
    <col min="10767" max="10767" width="16.375" style="9" customWidth="1"/>
    <col min="10768" max="10768" width="17.25" style="9" customWidth="1"/>
    <col min="10769" max="10772" width="20.625" style="9" customWidth="1"/>
    <col min="10773" max="11004" width="9" style="9" customWidth="1"/>
    <col min="11005" max="11008" width="9" style="9"/>
    <col min="11009" max="11009" width="4.875" style="9" customWidth="1"/>
    <col min="11010" max="11010" width="12.875" style="9" customWidth="1"/>
    <col min="11011" max="11011" width="21.625" style="9" customWidth="1"/>
    <col min="11012" max="11016" width="0" style="9" hidden="1" customWidth="1"/>
    <col min="11017" max="11017" width="17.125" style="9" customWidth="1"/>
    <col min="11018" max="11018" width="15.5" style="9" customWidth="1"/>
    <col min="11019" max="11019" width="19.125" style="9" customWidth="1"/>
    <col min="11020" max="11020" width="0" style="9" hidden="1" customWidth="1"/>
    <col min="11021" max="11021" width="26.875" style="9" customWidth="1"/>
    <col min="11022" max="11022" width="14.25" style="9" customWidth="1"/>
    <col min="11023" max="11023" width="16.375" style="9" customWidth="1"/>
    <col min="11024" max="11024" width="17.25" style="9" customWidth="1"/>
    <col min="11025" max="11028" width="20.625" style="9" customWidth="1"/>
    <col min="11029" max="11260" width="9" style="9" customWidth="1"/>
    <col min="11261" max="11264" width="9" style="9"/>
    <col min="11265" max="11265" width="4.875" style="9" customWidth="1"/>
    <col min="11266" max="11266" width="12.875" style="9" customWidth="1"/>
    <col min="11267" max="11267" width="21.625" style="9" customWidth="1"/>
    <col min="11268" max="11272" width="0" style="9" hidden="1" customWidth="1"/>
    <col min="11273" max="11273" width="17.125" style="9" customWidth="1"/>
    <col min="11274" max="11274" width="15.5" style="9" customWidth="1"/>
    <col min="11275" max="11275" width="19.125" style="9" customWidth="1"/>
    <col min="11276" max="11276" width="0" style="9" hidden="1" customWidth="1"/>
    <col min="11277" max="11277" width="26.875" style="9" customWidth="1"/>
    <col min="11278" max="11278" width="14.25" style="9" customWidth="1"/>
    <col min="11279" max="11279" width="16.375" style="9" customWidth="1"/>
    <col min="11280" max="11280" width="17.25" style="9" customWidth="1"/>
    <col min="11281" max="11284" width="20.625" style="9" customWidth="1"/>
    <col min="11285" max="11516" width="9" style="9" customWidth="1"/>
    <col min="11517" max="11520" width="9" style="9"/>
    <col min="11521" max="11521" width="4.875" style="9" customWidth="1"/>
    <col min="11522" max="11522" width="12.875" style="9" customWidth="1"/>
    <col min="11523" max="11523" width="21.625" style="9" customWidth="1"/>
    <col min="11524" max="11528" width="0" style="9" hidden="1" customWidth="1"/>
    <col min="11529" max="11529" width="17.125" style="9" customWidth="1"/>
    <col min="11530" max="11530" width="15.5" style="9" customWidth="1"/>
    <col min="11531" max="11531" width="19.125" style="9" customWidth="1"/>
    <col min="11532" max="11532" width="0" style="9" hidden="1" customWidth="1"/>
    <col min="11533" max="11533" width="26.875" style="9" customWidth="1"/>
    <col min="11534" max="11534" width="14.25" style="9" customWidth="1"/>
    <col min="11535" max="11535" width="16.375" style="9" customWidth="1"/>
    <col min="11536" max="11536" width="17.25" style="9" customWidth="1"/>
    <col min="11537" max="11540" width="20.625" style="9" customWidth="1"/>
    <col min="11541" max="11772" width="9" style="9" customWidth="1"/>
    <col min="11773" max="11776" width="9" style="9"/>
    <col min="11777" max="11777" width="4.875" style="9" customWidth="1"/>
    <col min="11778" max="11778" width="12.875" style="9" customWidth="1"/>
    <col min="11779" max="11779" width="21.625" style="9" customWidth="1"/>
    <col min="11780" max="11784" width="0" style="9" hidden="1" customWidth="1"/>
    <col min="11785" max="11785" width="17.125" style="9" customWidth="1"/>
    <col min="11786" max="11786" width="15.5" style="9" customWidth="1"/>
    <col min="11787" max="11787" width="19.125" style="9" customWidth="1"/>
    <col min="11788" max="11788" width="0" style="9" hidden="1" customWidth="1"/>
    <col min="11789" max="11789" width="26.875" style="9" customWidth="1"/>
    <col min="11790" max="11790" width="14.25" style="9" customWidth="1"/>
    <col min="11791" max="11791" width="16.375" style="9" customWidth="1"/>
    <col min="11792" max="11792" width="17.25" style="9" customWidth="1"/>
    <col min="11793" max="11796" width="20.625" style="9" customWidth="1"/>
    <col min="11797" max="12028" width="9" style="9" customWidth="1"/>
    <col min="12029" max="12032" width="9" style="9"/>
    <col min="12033" max="12033" width="4.875" style="9" customWidth="1"/>
    <col min="12034" max="12034" width="12.875" style="9" customWidth="1"/>
    <col min="12035" max="12035" width="21.625" style="9" customWidth="1"/>
    <col min="12036" max="12040" width="0" style="9" hidden="1" customWidth="1"/>
    <col min="12041" max="12041" width="17.125" style="9" customWidth="1"/>
    <col min="12042" max="12042" width="15.5" style="9" customWidth="1"/>
    <col min="12043" max="12043" width="19.125" style="9" customWidth="1"/>
    <col min="12044" max="12044" width="0" style="9" hidden="1" customWidth="1"/>
    <col min="12045" max="12045" width="26.875" style="9" customWidth="1"/>
    <col min="12046" max="12046" width="14.25" style="9" customWidth="1"/>
    <col min="12047" max="12047" width="16.375" style="9" customWidth="1"/>
    <col min="12048" max="12048" width="17.25" style="9" customWidth="1"/>
    <col min="12049" max="12052" width="20.625" style="9" customWidth="1"/>
    <col min="12053" max="12284" width="9" style="9" customWidth="1"/>
    <col min="12285" max="12288" width="9" style="9"/>
    <col min="12289" max="12289" width="4.875" style="9" customWidth="1"/>
    <col min="12290" max="12290" width="12.875" style="9" customWidth="1"/>
    <col min="12291" max="12291" width="21.625" style="9" customWidth="1"/>
    <col min="12292" max="12296" width="0" style="9" hidden="1" customWidth="1"/>
    <col min="12297" max="12297" width="17.125" style="9" customWidth="1"/>
    <col min="12298" max="12298" width="15.5" style="9" customWidth="1"/>
    <col min="12299" max="12299" width="19.125" style="9" customWidth="1"/>
    <col min="12300" max="12300" width="0" style="9" hidden="1" customWidth="1"/>
    <col min="12301" max="12301" width="26.875" style="9" customWidth="1"/>
    <col min="12302" max="12302" width="14.25" style="9" customWidth="1"/>
    <col min="12303" max="12303" width="16.375" style="9" customWidth="1"/>
    <col min="12304" max="12304" width="17.25" style="9" customWidth="1"/>
    <col min="12305" max="12308" width="20.625" style="9" customWidth="1"/>
    <col min="12309" max="12540" width="9" style="9" customWidth="1"/>
    <col min="12541" max="12544" width="9" style="9"/>
    <col min="12545" max="12545" width="4.875" style="9" customWidth="1"/>
    <col min="12546" max="12546" width="12.875" style="9" customWidth="1"/>
    <col min="12547" max="12547" width="21.625" style="9" customWidth="1"/>
    <col min="12548" max="12552" width="0" style="9" hidden="1" customWidth="1"/>
    <col min="12553" max="12553" width="17.125" style="9" customWidth="1"/>
    <col min="12554" max="12554" width="15.5" style="9" customWidth="1"/>
    <col min="12555" max="12555" width="19.125" style="9" customWidth="1"/>
    <col min="12556" max="12556" width="0" style="9" hidden="1" customWidth="1"/>
    <col min="12557" max="12557" width="26.875" style="9" customWidth="1"/>
    <col min="12558" max="12558" width="14.25" style="9" customWidth="1"/>
    <col min="12559" max="12559" width="16.375" style="9" customWidth="1"/>
    <col min="12560" max="12560" width="17.25" style="9" customWidth="1"/>
    <col min="12561" max="12564" width="20.625" style="9" customWidth="1"/>
    <col min="12565" max="12796" width="9" style="9" customWidth="1"/>
    <col min="12797" max="12800" width="9" style="9"/>
    <col min="12801" max="12801" width="4.875" style="9" customWidth="1"/>
    <col min="12802" max="12802" width="12.875" style="9" customWidth="1"/>
    <col min="12803" max="12803" width="21.625" style="9" customWidth="1"/>
    <col min="12804" max="12808" width="0" style="9" hidden="1" customWidth="1"/>
    <col min="12809" max="12809" width="17.125" style="9" customWidth="1"/>
    <col min="12810" max="12810" width="15.5" style="9" customWidth="1"/>
    <col min="12811" max="12811" width="19.125" style="9" customWidth="1"/>
    <col min="12812" max="12812" width="0" style="9" hidden="1" customWidth="1"/>
    <col min="12813" max="12813" width="26.875" style="9" customWidth="1"/>
    <col min="12814" max="12814" width="14.25" style="9" customWidth="1"/>
    <col min="12815" max="12815" width="16.375" style="9" customWidth="1"/>
    <col min="12816" max="12816" width="17.25" style="9" customWidth="1"/>
    <col min="12817" max="12820" width="20.625" style="9" customWidth="1"/>
    <col min="12821" max="13052" width="9" style="9" customWidth="1"/>
    <col min="13053" max="13056" width="9" style="9"/>
    <col min="13057" max="13057" width="4.875" style="9" customWidth="1"/>
    <col min="13058" max="13058" width="12.875" style="9" customWidth="1"/>
    <col min="13059" max="13059" width="21.625" style="9" customWidth="1"/>
    <col min="13060" max="13064" width="0" style="9" hidden="1" customWidth="1"/>
    <col min="13065" max="13065" width="17.125" style="9" customWidth="1"/>
    <col min="13066" max="13066" width="15.5" style="9" customWidth="1"/>
    <col min="13067" max="13067" width="19.125" style="9" customWidth="1"/>
    <col min="13068" max="13068" width="0" style="9" hidden="1" customWidth="1"/>
    <col min="13069" max="13069" width="26.875" style="9" customWidth="1"/>
    <col min="13070" max="13070" width="14.25" style="9" customWidth="1"/>
    <col min="13071" max="13071" width="16.375" style="9" customWidth="1"/>
    <col min="13072" max="13072" width="17.25" style="9" customWidth="1"/>
    <col min="13073" max="13076" width="20.625" style="9" customWidth="1"/>
    <col min="13077" max="13308" width="9" style="9" customWidth="1"/>
    <col min="13309" max="13312" width="9" style="9"/>
    <col min="13313" max="13313" width="4.875" style="9" customWidth="1"/>
    <col min="13314" max="13314" width="12.875" style="9" customWidth="1"/>
    <col min="13315" max="13315" width="21.625" style="9" customWidth="1"/>
    <col min="13316" max="13320" width="0" style="9" hidden="1" customWidth="1"/>
    <col min="13321" max="13321" width="17.125" style="9" customWidth="1"/>
    <col min="13322" max="13322" width="15.5" style="9" customWidth="1"/>
    <col min="13323" max="13323" width="19.125" style="9" customWidth="1"/>
    <col min="13324" max="13324" width="0" style="9" hidden="1" customWidth="1"/>
    <col min="13325" max="13325" width="26.875" style="9" customWidth="1"/>
    <col min="13326" max="13326" width="14.25" style="9" customWidth="1"/>
    <col min="13327" max="13327" width="16.375" style="9" customWidth="1"/>
    <col min="13328" max="13328" width="17.25" style="9" customWidth="1"/>
    <col min="13329" max="13332" width="20.625" style="9" customWidth="1"/>
    <col min="13333" max="13564" width="9" style="9" customWidth="1"/>
    <col min="13565" max="13568" width="9" style="9"/>
    <col min="13569" max="13569" width="4.875" style="9" customWidth="1"/>
    <col min="13570" max="13570" width="12.875" style="9" customWidth="1"/>
    <col min="13571" max="13571" width="21.625" style="9" customWidth="1"/>
    <col min="13572" max="13576" width="0" style="9" hidden="1" customWidth="1"/>
    <col min="13577" max="13577" width="17.125" style="9" customWidth="1"/>
    <col min="13578" max="13578" width="15.5" style="9" customWidth="1"/>
    <col min="13579" max="13579" width="19.125" style="9" customWidth="1"/>
    <col min="13580" max="13580" width="0" style="9" hidden="1" customWidth="1"/>
    <col min="13581" max="13581" width="26.875" style="9" customWidth="1"/>
    <col min="13582" max="13582" width="14.25" style="9" customWidth="1"/>
    <col min="13583" max="13583" width="16.375" style="9" customWidth="1"/>
    <col min="13584" max="13584" width="17.25" style="9" customWidth="1"/>
    <col min="13585" max="13588" width="20.625" style="9" customWidth="1"/>
    <col min="13589" max="13820" width="9" style="9" customWidth="1"/>
    <col min="13821" max="13824" width="9" style="9"/>
    <col min="13825" max="13825" width="4.875" style="9" customWidth="1"/>
    <col min="13826" max="13826" width="12.875" style="9" customWidth="1"/>
    <col min="13827" max="13827" width="21.625" style="9" customWidth="1"/>
    <col min="13828" max="13832" width="0" style="9" hidden="1" customWidth="1"/>
    <col min="13833" max="13833" width="17.125" style="9" customWidth="1"/>
    <col min="13834" max="13834" width="15.5" style="9" customWidth="1"/>
    <col min="13835" max="13835" width="19.125" style="9" customWidth="1"/>
    <col min="13836" max="13836" width="0" style="9" hidden="1" customWidth="1"/>
    <col min="13837" max="13837" width="26.875" style="9" customWidth="1"/>
    <col min="13838" max="13838" width="14.25" style="9" customWidth="1"/>
    <col min="13839" max="13839" width="16.375" style="9" customWidth="1"/>
    <col min="13840" max="13840" width="17.25" style="9" customWidth="1"/>
    <col min="13841" max="13844" width="20.625" style="9" customWidth="1"/>
    <col min="13845" max="14076" width="9" style="9" customWidth="1"/>
    <col min="14077" max="14080" width="9" style="9"/>
    <col min="14081" max="14081" width="4.875" style="9" customWidth="1"/>
    <col min="14082" max="14082" width="12.875" style="9" customWidth="1"/>
    <col min="14083" max="14083" width="21.625" style="9" customWidth="1"/>
    <col min="14084" max="14088" width="0" style="9" hidden="1" customWidth="1"/>
    <col min="14089" max="14089" width="17.125" style="9" customWidth="1"/>
    <col min="14090" max="14090" width="15.5" style="9" customWidth="1"/>
    <col min="14091" max="14091" width="19.125" style="9" customWidth="1"/>
    <col min="14092" max="14092" width="0" style="9" hidden="1" customWidth="1"/>
    <col min="14093" max="14093" width="26.875" style="9" customWidth="1"/>
    <col min="14094" max="14094" width="14.25" style="9" customWidth="1"/>
    <col min="14095" max="14095" width="16.375" style="9" customWidth="1"/>
    <col min="14096" max="14096" width="17.25" style="9" customWidth="1"/>
    <col min="14097" max="14100" width="20.625" style="9" customWidth="1"/>
    <col min="14101" max="14332" width="9" style="9" customWidth="1"/>
    <col min="14333" max="14336" width="9" style="9"/>
    <col min="14337" max="14337" width="4.875" style="9" customWidth="1"/>
    <col min="14338" max="14338" width="12.875" style="9" customWidth="1"/>
    <col min="14339" max="14339" width="21.625" style="9" customWidth="1"/>
    <col min="14340" max="14344" width="0" style="9" hidden="1" customWidth="1"/>
    <col min="14345" max="14345" width="17.125" style="9" customWidth="1"/>
    <col min="14346" max="14346" width="15.5" style="9" customWidth="1"/>
    <col min="14347" max="14347" width="19.125" style="9" customWidth="1"/>
    <col min="14348" max="14348" width="0" style="9" hidden="1" customWidth="1"/>
    <col min="14349" max="14349" width="26.875" style="9" customWidth="1"/>
    <col min="14350" max="14350" width="14.25" style="9" customWidth="1"/>
    <col min="14351" max="14351" width="16.375" style="9" customWidth="1"/>
    <col min="14352" max="14352" width="17.25" style="9" customWidth="1"/>
    <col min="14353" max="14356" width="20.625" style="9" customWidth="1"/>
    <col min="14357" max="14588" width="9" style="9" customWidth="1"/>
    <col min="14589" max="14592" width="9" style="9"/>
    <col min="14593" max="14593" width="4.875" style="9" customWidth="1"/>
    <col min="14594" max="14594" width="12.875" style="9" customWidth="1"/>
    <col min="14595" max="14595" width="21.625" style="9" customWidth="1"/>
    <col min="14596" max="14600" width="0" style="9" hidden="1" customWidth="1"/>
    <col min="14601" max="14601" width="17.125" style="9" customWidth="1"/>
    <col min="14602" max="14602" width="15.5" style="9" customWidth="1"/>
    <col min="14603" max="14603" width="19.125" style="9" customWidth="1"/>
    <col min="14604" max="14604" width="0" style="9" hidden="1" customWidth="1"/>
    <col min="14605" max="14605" width="26.875" style="9" customWidth="1"/>
    <col min="14606" max="14606" width="14.25" style="9" customWidth="1"/>
    <col min="14607" max="14607" width="16.375" style="9" customWidth="1"/>
    <col min="14608" max="14608" width="17.25" style="9" customWidth="1"/>
    <col min="14609" max="14612" width="20.625" style="9" customWidth="1"/>
    <col min="14613" max="14844" width="9" style="9" customWidth="1"/>
    <col min="14845" max="14848" width="9" style="9"/>
    <col min="14849" max="14849" width="4.875" style="9" customWidth="1"/>
    <col min="14850" max="14850" width="12.875" style="9" customWidth="1"/>
    <col min="14851" max="14851" width="21.625" style="9" customWidth="1"/>
    <col min="14852" max="14856" width="0" style="9" hidden="1" customWidth="1"/>
    <col min="14857" max="14857" width="17.125" style="9" customWidth="1"/>
    <col min="14858" max="14858" width="15.5" style="9" customWidth="1"/>
    <col min="14859" max="14859" width="19.125" style="9" customWidth="1"/>
    <col min="14860" max="14860" width="0" style="9" hidden="1" customWidth="1"/>
    <col min="14861" max="14861" width="26.875" style="9" customWidth="1"/>
    <col min="14862" max="14862" width="14.25" style="9" customWidth="1"/>
    <col min="14863" max="14863" width="16.375" style="9" customWidth="1"/>
    <col min="14864" max="14864" width="17.25" style="9" customWidth="1"/>
    <col min="14865" max="14868" width="20.625" style="9" customWidth="1"/>
    <col min="14869" max="15100" width="9" style="9" customWidth="1"/>
    <col min="15101" max="15104" width="9" style="9"/>
    <col min="15105" max="15105" width="4.875" style="9" customWidth="1"/>
    <col min="15106" max="15106" width="12.875" style="9" customWidth="1"/>
    <col min="15107" max="15107" width="21.625" style="9" customWidth="1"/>
    <col min="15108" max="15112" width="0" style="9" hidden="1" customWidth="1"/>
    <col min="15113" max="15113" width="17.125" style="9" customWidth="1"/>
    <col min="15114" max="15114" width="15.5" style="9" customWidth="1"/>
    <col min="15115" max="15115" width="19.125" style="9" customWidth="1"/>
    <col min="15116" max="15116" width="0" style="9" hidden="1" customWidth="1"/>
    <col min="15117" max="15117" width="26.875" style="9" customWidth="1"/>
    <col min="15118" max="15118" width="14.25" style="9" customWidth="1"/>
    <col min="15119" max="15119" width="16.375" style="9" customWidth="1"/>
    <col min="15120" max="15120" width="17.25" style="9" customWidth="1"/>
    <col min="15121" max="15124" width="20.625" style="9" customWidth="1"/>
    <col min="15125" max="15356" width="9" style="9" customWidth="1"/>
    <col min="15357" max="15360" width="9" style="9"/>
    <col min="15361" max="15361" width="4.875" style="9" customWidth="1"/>
    <col min="15362" max="15362" width="12.875" style="9" customWidth="1"/>
    <col min="15363" max="15363" width="21.625" style="9" customWidth="1"/>
    <col min="15364" max="15368" width="0" style="9" hidden="1" customWidth="1"/>
    <col min="15369" max="15369" width="17.125" style="9" customWidth="1"/>
    <col min="15370" max="15370" width="15.5" style="9" customWidth="1"/>
    <col min="15371" max="15371" width="19.125" style="9" customWidth="1"/>
    <col min="15372" max="15372" width="0" style="9" hidden="1" customWidth="1"/>
    <col min="15373" max="15373" width="26.875" style="9" customWidth="1"/>
    <col min="15374" max="15374" width="14.25" style="9" customWidth="1"/>
    <col min="15375" max="15375" width="16.375" style="9" customWidth="1"/>
    <col min="15376" max="15376" width="17.25" style="9" customWidth="1"/>
    <col min="15377" max="15380" width="20.625" style="9" customWidth="1"/>
    <col min="15381" max="15612" width="9" style="9" customWidth="1"/>
    <col min="15613" max="15616" width="9" style="9"/>
    <col min="15617" max="15617" width="4.875" style="9" customWidth="1"/>
    <col min="15618" max="15618" width="12.875" style="9" customWidth="1"/>
    <col min="15619" max="15619" width="21.625" style="9" customWidth="1"/>
    <col min="15620" max="15624" width="0" style="9" hidden="1" customWidth="1"/>
    <col min="15625" max="15625" width="17.125" style="9" customWidth="1"/>
    <col min="15626" max="15626" width="15.5" style="9" customWidth="1"/>
    <col min="15627" max="15627" width="19.125" style="9" customWidth="1"/>
    <col min="15628" max="15628" width="0" style="9" hidden="1" customWidth="1"/>
    <col min="15629" max="15629" width="26.875" style="9" customWidth="1"/>
    <col min="15630" max="15630" width="14.25" style="9" customWidth="1"/>
    <col min="15631" max="15631" width="16.375" style="9" customWidth="1"/>
    <col min="15632" max="15632" width="17.25" style="9" customWidth="1"/>
    <col min="15633" max="15636" width="20.625" style="9" customWidth="1"/>
    <col min="15637" max="15868" width="9" style="9" customWidth="1"/>
    <col min="15869" max="15872" width="9" style="9"/>
    <col min="15873" max="15873" width="4.875" style="9" customWidth="1"/>
    <col min="15874" max="15874" width="12.875" style="9" customWidth="1"/>
    <col min="15875" max="15875" width="21.625" style="9" customWidth="1"/>
    <col min="15876" max="15880" width="0" style="9" hidden="1" customWidth="1"/>
    <col min="15881" max="15881" width="17.125" style="9" customWidth="1"/>
    <col min="15882" max="15882" width="15.5" style="9" customWidth="1"/>
    <col min="15883" max="15883" width="19.125" style="9" customWidth="1"/>
    <col min="15884" max="15884" width="0" style="9" hidden="1" customWidth="1"/>
    <col min="15885" max="15885" width="26.875" style="9" customWidth="1"/>
    <col min="15886" max="15886" width="14.25" style="9" customWidth="1"/>
    <col min="15887" max="15887" width="16.375" style="9" customWidth="1"/>
    <col min="15888" max="15888" width="17.25" style="9" customWidth="1"/>
    <col min="15889" max="15892" width="20.625" style="9" customWidth="1"/>
    <col min="15893" max="16124" width="9" style="9" customWidth="1"/>
    <col min="16125" max="16128" width="9" style="9"/>
    <col min="16129" max="16129" width="4.875" style="9" customWidth="1"/>
    <col min="16130" max="16130" width="12.875" style="9" customWidth="1"/>
    <col min="16131" max="16131" width="21.625" style="9" customWidth="1"/>
    <col min="16132" max="16136" width="0" style="9" hidden="1" customWidth="1"/>
    <col min="16137" max="16137" width="17.125" style="9" customWidth="1"/>
    <col min="16138" max="16138" width="15.5" style="9" customWidth="1"/>
    <col min="16139" max="16139" width="19.125" style="9" customWidth="1"/>
    <col min="16140" max="16140" width="0" style="9" hidden="1" customWidth="1"/>
    <col min="16141" max="16141" width="26.875" style="9" customWidth="1"/>
    <col min="16142" max="16142" width="14.25" style="9" customWidth="1"/>
    <col min="16143" max="16143" width="16.375" style="9" customWidth="1"/>
    <col min="16144" max="16144" width="17.25" style="9" customWidth="1"/>
    <col min="16145" max="16148" width="20.625" style="9" customWidth="1"/>
    <col min="16149" max="16380" width="9" style="9" customWidth="1"/>
    <col min="16381" max="16384" width="9" style="9"/>
  </cols>
  <sheetData>
    <row r="1" spans="1:252" ht="27" customHeight="1">
      <c r="A1" s="1" t="s">
        <v>0</v>
      </c>
      <c r="B1" s="1"/>
      <c r="C1" s="2"/>
      <c r="D1" s="1"/>
      <c r="E1" s="1"/>
      <c r="F1" s="1"/>
      <c r="G1" s="3"/>
      <c r="H1" s="1"/>
      <c r="I1" s="1"/>
      <c r="J1" s="1"/>
      <c r="K1" s="1"/>
      <c r="L1" s="1"/>
      <c r="M1" s="1"/>
    </row>
    <row r="2" spans="1:252" s="18" customFormat="1" ht="33" customHeight="1">
      <c r="A2" s="10" t="s">
        <v>1</v>
      </c>
      <c r="B2" s="10"/>
      <c r="C2" s="11" t="s">
        <v>2</v>
      </c>
      <c r="D2" s="10"/>
      <c r="E2" s="11" t="s">
        <v>3</v>
      </c>
      <c r="F2" s="11"/>
      <c r="G2" s="12"/>
      <c r="H2" s="11"/>
      <c r="I2" s="11" t="s">
        <v>4</v>
      </c>
      <c r="J2" s="11"/>
      <c r="K2" s="13" t="s">
        <v>5</v>
      </c>
      <c r="L2" s="13"/>
      <c r="M2" s="13"/>
      <c r="N2" s="14"/>
      <c r="O2" s="15"/>
      <c r="P2" s="16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</row>
    <row r="3" spans="1:252" s="18" customFormat="1" ht="33" customHeight="1">
      <c r="A3" s="11" t="s">
        <v>6</v>
      </c>
      <c r="B3" s="11"/>
      <c r="C3" s="11"/>
      <c r="D3" s="11"/>
      <c r="E3" s="11"/>
      <c r="F3" s="11"/>
      <c r="G3" s="12"/>
      <c r="H3" s="11"/>
      <c r="I3" s="11" t="s">
        <v>7</v>
      </c>
      <c r="J3" s="11"/>
      <c r="K3" s="11"/>
      <c r="L3" s="11"/>
      <c r="M3" s="11"/>
      <c r="N3" s="14"/>
      <c r="O3" s="15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</row>
    <row r="4" spans="1:252" s="18" customFormat="1" ht="29.25" customHeight="1">
      <c r="A4" s="10" t="s">
        <v>8</v>
      </c>
      <c r="B4" s="10"/>
      <c r="C4" s="19">
        <v>42461</v>
      </c>
      <c r="D4" s="20"/>
      <c r="E4" s="21"/>
      <c r="F4" s="22"/>
      <c r="G4" s="23"/>
      <c r="H4" s="24"/>
      <c r="I4" s="10" t="s">
        <v>9</v>
      </c>
      <c r="J4" s="10"/>
      <c r="K4" s="25">
        <v>42493</v>
      </c>
      <c r="L4" s="25"/>
      <c r="M4" s="26" t="s">
        <v>10</v>
      </c>
      <c r="N4" s="14"/>
      <c r="O4" s="15"/>
      <c r="P4" s="16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</row>
    <row r="5" spans="1:252" ht="59.1" customHeight="1">
      <c r="A5" s="27" t="s">
        <v>11</v>
      </c>
      <c r="B5" s="28"/>
      <c r="C5" s="29" t="s">
        <v>12</v>
      </c>
      <c r="D5" s="30" t="s">
        <v>13</v>
      </c>
      <c r="E5" s="31" t="s">
        <v>14</v>
      </c>
      <c r="F5" s="26" t="s">
        <v>15</v>
      </c>
      <c r="G5" s="32" t="s">
        <v>16</v>
      </c>
      <c r="H5" s="32" t="s">
        <v>17</v>
      </c>
      <c r="I5" s="33" t="s">
        <v>390</v>
      </c>
      <c r="J5" s="34" t="s">
        <v>18</v>
      </c>
      <c r="K5" s="35" t="s">
        <v>19</v>
      </c>
      <c r="L5" s="36" t="s">
        <v>20</v>
      </c>
      <c r="M5" s="26" t="s">
        <v>21</v>
      </c>
    </row>
    <row r="6" spans="1:252" s="8" customFormat="1" ht="27" customHeight="1">
      <c r="A6" s="37" t="s">
        <v>22</v>
      </c>
      <c r="B6" s="38" t="s">
        <v>23</v>
      </c>
      <c r="C6" s="39" t="s">
        <v>24</v>
      </c>
      <c r="D6" s="40"/>
      <c r="E6" s="41">
        <v>4650257.97</v>
      </c>
      <c r="F6" s="42"/>
      <c r="G6" s="43">
        <v>1</v>
      </c>
      <c r="H6" s="43">
        <f>(I6+K6)/E6</f>
        <v>0.97369375187587714</v>
      </c>
      <c r="I6" s="44">
        <v>4527927.13</v>
      </c>
      <c r="J6" s="45">
        <v>122330.84</v>
      </c>
      <c r="K6" s="45"/>
      <c r="L6" s="35"/>
      <c r="M6" s="46" t="s">
        <v>25</v>
      </c>
      <c r="N6" s="47"/>
      <c r="O6" s="48"/>
      <c r="P6" s="48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</row>
    <row r="7" spans="1:252" s="8" customFormat="1" ht="19.5" customHeight="1">
      <c r="A7" s="49"/>
      <c r="B7" s="50"/>
      <c r="C7" s="39" t="s">
        <v>26</v>
      </c>
      <c r="D7" s="40"/>
      <c r="E7" s="41">
        <v>533958.81999999995</v>
      </c>
      <c r="F7" s="42"/>
      <c r="G7" s="43">
        <v>1</v>
      </c>
      <c r="H7" s="43">
        <f>(I7+K7)/E7</f>
        <v>0.99058378696694249</v>
      </c>
      <c r="I7" s="51">
        <v>528930.94999999995</v>
      </c>
      <c r="J7" s="45">
        <v>5027.87</v>
      </c>
      <c r="K7" s="45"/>
      <c r="L7" s="52"/>
      <c r="M7" s="53"/>
      <c r="N7" s="47"/>
      <c r="O7" s="54"/>
      <c r="P7" s="4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</row>
    <row r="8" spans="1:252" s="8" customFormat="1" ht="29.25" customHeight="1">
      <c r="A8" s="49"/>
      <c r="B8" s="55"/>
      <c r="C8" s="56" t="s">
        <v>27</v>
      </c>
      <c r="D8" s="40"/>
      <c r="E8" s="42">
        <v>97928.86</v>
      </c>
      <c r="F8" s="42"/>
      <c r="G8" s="43">
        <v>1</v>
      </c>
      <c r="H8" s="43">
        <f>(I8+K8)/E8</f>
        <v>1</v>
      </c>
      <c r="I8" s="51">
        <v>97928.86</v>
      </c>
      <c r="J8" s="45">
        <f>E8-I8</f>
        <v>0</v>
      </c>
      <c r="K8" s="45"/>
      <c r="L8" s="52"/>
      <c r="M8" s="46"/>
      <c r="N8" s="47"/>
      <c r="O8" s="54"/>
      <c r="P8" s="4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</row>
    <row r="9" spans="1:252" ht="28.5" hidden="1" customHeight="1">
      <c r="A9" s="49"/>
      <c r="B9" s="57"/>
      <c r="C9" s="58" t="s">
        <v>28</v>
      </c>
      <c r="D9" s="59"/>
      <c r="E9" s="60"/>
      <c r="F9" s="60"/>
      <c r="G9" s="61"/>
      <c r="H9" s="62"/>
      <c r="I9" s="63"/>
      <c r="J9" s="45">
        <f>E9-I9</f>
        <v>0</v>
      </c>
      <c r="K9" s="45"/>
      <c r="L9" s="64"/>
      <c r="M9" s="65"/>
      <c r="O9" s="54"/>
      <c r="P9" s="48"/>
    </row>
    <row r="10" spans="1:252" s="8" customFormat="1" ht="25.5" customHeight="1">
      <c r="A10" s="49"/>
      <c r="B10" s="55"/>
      <c r="C10" s="56" t="s">
        <v>29</v>
      </c>
      <c r="D10" s="40"/>
      <c r="E10" s="42">
        <v>85047.679999999993</v>
      </c>
      <c r="F10" s="42"/>
      <c r="G10" s="43">
        <v>1</v>
      </c>
      <c r="H10" s="43">
        <f>(I10+K10)/E10</f>
        <v>1</v>
      </c>
      <c r="I10" s="51">
        <v>85047.679999999993</v>
      </c>
      <c r="J10" s="45">
        <f>E10-I10</f>
        <v>0</v>
      </c>
      <c r="K10" s="45"/>
      <c r="L10" s="52"/>
      <c r="M10" s="46"/>
      <c r="N10" s="47"/>
      <c r="O10" s="66"/>
      <c r="P10" s="48"/>
    </row>
    <row r="11" spans="1:252" s="8" customFormat="1" ht="27" customHeight="1">
      <c r="A11" s="49"/>
      <c r="B11" s="67" t="s">
        <v>30</v>
      </c>
      <c r="C11" s="39" t="s">
        <v>31</v>
      </c>
      <c r="D11" s="40"/>
      <c r="E11" s="42">
        <v>1929037.72</v>
      </c>
      <c r="F11" s="68"/>
      <c r="G11" s="43">
        <v>1</v>
      </c>
      <c r="H11" s="43">
        <v>1</v>
      </c>
      <c r="I11" s="51">
        <v>1929037.72</v>
      </c>
      <c r="J11" s="45">
        <f>E11-I11</f>
        <v>0</v>
      </c>
      <c r="K11" s="45"/>
      <c r="L11" s="69" t="s">
        <v>32</v>
      </c>
      <c r="M11" s="53"/>
      <c r="N11" s="47"/>
      <c r="O11" s="66"/>
      <c r="P11" s="48"/>
    </row>
    <row r="12" spans="1:252" s="8" customFormat="1" ht="24" customHeight="1">
      <c r="A12" s="49"/>
      <c r="B12" s="38"/>
      <c r="C12" s="39" t="s">
        <v>33</v>
      </c>
      <c r="D12" s="40"/>
      <c r="E12" s="42">
        <v>523390.7</v>
      </c>
      <c r="F12" s="68"/>
      <c r="G12" s="43">
        <v>1</v>
      </c>
      <c r="H12" s="43">
        <f>(I12+K12)/E12</f>
        <v>0.98198668795605271</v>
      </c>
      <c r="I12" s="51">
        <v>513962.7</v>
      </c>
      <c r="J12" s="45">
        <v>9428</v>
      </c>
      <c r="K12" s="45"/>
      <c r="L12" s="69"/>
      <c r="M12" s="53"/>
      <c r="N12" s="47"/>
      <c r="O12" s="54"/>
      <c r="P12" s="4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</row>
    <row r="13" spans="1:252" s="8" customFormat="1" ht="27" customHeight="1">
      <c r="A13" s="49"/>
      <c r="B13" s="38"/>
      <c r="C13" s="39" t="s">
        <v>34</v>
      </c>
      <c r="D13" s="40"/>
      <c r="E13" s="42">
        <v>1268708.54</v>
      </c>
      <c r="F13" s="68"/>
      <c r="G13" s="43">
        <v>1</v>
      </c>
      <c r="H13" s="43">
        <f>(I13+K13)/E13</f>
        <v>0.97479868780579038</v>
      </c>
      <c r="I13" s="51">
        <v>1236735.4200000002</v>
      </c>
      <c r="J13" s="45">
        <v>31973.119999999999</v>
      </c>
      <c r="K13" s="70"/>
      <c r="L13" s="69"/>
      <c r="M13" s="71" t="s">
        <v>35</v>
      </c>
      <c r="N13" s="47"/>
      <c r="O13" s="54"/>
      <c r="P13" s="4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</row>
    <row r="14" spans="1:252" s="17" customFormat="1" ht="18.95" customHeight="1">
      <c r="A14" s="49"/>
      <c r="B14" s="72"/>
      <c r="C14" s="73" t="s">
        <v>36</v>
      </c>
      <c r="D14" s="74">
        <f>SUM(D6:D13)</f>
        <v>0</v>
      </c>
      <c r="E14" s="75">
        <f>SUM(E6:E13)</f>
        <v>9088330.2899999991</v>
      </c>
      <c r="F14" s="74">
        <f>SUM(F6:F13)</f>
        <v>0</v>
      </c>
      <c r="G14" s="76"/>
      <c r="H14" s="77"/>
      <c r="I14" s="78">
        <f>SUM(I6:I13)</f>
        <v>8919570.4600000009</v>
      </c>
      <c r="J14" s="78">
        <f>SUM(J6:J13)</f>
        <v>168759.83</v>
      </c>
      <c r="K14" s="78"/>
      <c r="L14" s="78">
        <f>SUM(L6:L13)</f>
        <v>0</v>
      </c>
      <c r="M14" s="79"/>
      <c r="N14" s="14"/>
      <c r="O14" s="80"/>
      <c r="P14" s="48"/>
    </row>
    <row r="15" spans="1:252" s="7" customFormat="1" ht="25.5" customHeight="1">
      <c r="A15" s="81" t="s">
        <v>37</v>
      </c>
      <c r="B15" s="81"/>
      <c r="C15" s="56" t="s">
        <v>38</v>
      </c>
      <c r="D15" s="82"/>
      <c r="E15" s="82">
        <v>3218124.76</v>
      </c>
      <c r="F15" s="82"/>
      <c r="G15" s="83">
        <v>1</v>
      </c>
      <c r="H15" s="84">
        <v>1</v>
      </c>
      <c r="I15" s="82">
        <v>3218124.76</v>
      </c>
      <c r="J15" s="85">
        <f>E15-I15</f>
        <v>0</v>
      </c>
      <c r="K15" s="82"/>
      <c r="L15" s="86"/>
      <c r="M15" s="87"/>
      <c r="N15" s="47"/>
      <c r="O15" s="5"/>
      <c r="P15" s="48"/>
      <c r="IR15" s="8"/>
    </row>
    <row r="16" spans="1:252" s="7" customFormat="1" ht="21.75" customHeight="1">
      <c r="A16" s="88"/>
      <c r="B16" s="88"/>
      <c r="C16" s="56" t="s">
        <v>39</v>
      </c>
      <c r="D16" s="82"/>
      <c r="E16" s="82">
        <v>5252435.95</v>
      </c>
      <c r="F16" s="82"/>
      <c r="G16" s="83">
        <v>1</v>
      </c>
      <c r="H16" s="84">
        <v>1</v>
      </c>
      <c r="I16" s="82">
        <v>5252435.95</v>
      </c>
      <c r="J16" s="85">
        <f>E16-I16</f>
        <v>0</v>
      </c>
      <c r="K16" s="82"/>
      <c r="L16" s="86"/>
      <c r="M16" s="87"/>
      <c r="N16" s="47"/>
      <c r="O16" s="89"/>
      <c r="P16" s="48"/>
      <c r="IR16" s="8"/>
    </row>
    <row r="17" spans="1:255" s="7" customFormat="1" ht="21.75" customHeight="1">
      <c r="A17" s="88"/>
      <c r="B17" s="88"/>
      <c r="C17" s="56" t="s">
        <v>40</v>
      </c>
      <c r="D17" s="82"/>
      <c r="E17" s="82">
        <v>1995469.99</v>
      </c>
      <c r="F17" s="82"/>
      <c r="G17" s="83">
        <v>1</v>
      </c>
      <c r="H17" s="84">
        <v>1</v>
      </c>
      <c r="I17" s="90">
        <v>1995469.99</v>
      </c>
      <c r="J17" s="85">
        <f>E17-I17</f>
        <v>0</v>
      </c>
      <c r="K17" s="82"/>
      <c r="L17" s="86"/>
      <c r="M17" s="87"/>
      <c r="N17" s="91"/>
      <c r="O17" s="89"/>
      <c r="P17" s="48"/>
      <c r="IR17" s="8"/>
    </row>
    <row r="18" spans="1:255" s="7" customFormat="1" ht="29.25" customHeight="1">
      <c r="A18" s="92"/>
      <c r="B18" s="92"/>
      <c r="C18" s="93" t="s">
        <v>36</v>
      </c>
      <c r="D18" s="94">
        <f>SUM(D15:D17)</f>
        <v>0</v>
      </c>
      <c r="E18" s="95">
        <f>SUM(E15:E17)</f>
        <v>10466030.700000001</v>
      </c>
      <c r="F18" s="94">
        <f>SUM(F15:F17)</f>
        <v>0</v>
      </c>
      <c r="G18" s="96"/>
      <c r="H18" s="97"/>
      <c r="I18" s="94">
        <f>SUM(I15:I17)</f>
        <v>10466030.700000001</v>
      </c>
      <c r="J18" s="94">
        <f>SUM(J15:J17)</f>
        <v>0</v>
      </c>
      <c r="K18" s="95"/>
      <c r="L18" s="98"/>
      <c r="M18" s="99"/>
      <c r="N18" s="4"/>
      <c r="O18" s="89"/>
      <c r="P18" s="48"/>
    </row>
    <row r="19" spans="1:255" s="118" customFormat="1" ht="31.5" customHeight="1">
      <c r="A19" s="100" t="s">
        <v>41</v>
      </c>
      <c r="B19" s="101" t="s">
        <v>41</v>
      </c>
      <c r="C19" s="102" t="s">
        <v>42</v>
      </c>
      <c r="D19" s="103">
        <v>1500000</v>
      </c>
      <c r="E19" s="104">
        <f>1298855.75+4200</f>
        <v>1303055.75</v>
      </c>
      <c r="F19" s="105">
        <f>(G19+I19)/D19</f>
        <v>0.29736982666666667</v>
      </c>
      <c r="G19" s="106">
        <v>0.7</v>
      </c>
      <c r="H19" s="107">
        <f>(I19+K19)/E19</f>
        <v>0.34231385725438068</v>
      </c>
      <c r="I19" s="108">
        <v>446054.04</v>
      </c>
      <c r="J19" s="109">
        <f t="shared" ref="J19:J48" si="0">E19-I19</f>
        <v>857001.71</v>
      </c>
      <c r="K19" s="110"/>
      <c r="L19" s="111"/>
      <c r="M19" s="112"/>
      <c r="N19" s="113"/>
      <c r="O19" s="114"/>
      <c r="P19" s="115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7"/>
      <c r="IT19" s="117"/>
      <c r="IU19" s="117"/>
    </row>
    <row r="20" spans="1:255" s="118" customFormat="1" ht="28.5" customHeight="1">
      <c r="A20" s="100"/>
      <c r="B20" s="101"/>
      <c r="C20" s="119" t="s">
        <v>43</v>
      </c>
      <c r="D20" s="120"/>
      <c r="E20" s="108">
        <v>13060</v>
      </c>
      <c r="F20" s="108"/>
      <c r="G20" s="121">
        <v>1</v>
      </c>
      <c r="H20" s="107">
        <v>1</v>
      </c>
      <c r="I20" s="108">
        <v>0</v>
      </c>
      <c r="J20" s="122">
        <f t="shared" si="0"/>
        <v>13060</v>
      </c>
      <c r="K20" s="111"/>
      <c r="L20" s="123"/>
      <c r="M20" s="124"/>
      <c r="N20" s="113"/>
      <c r="O20" s="125"/>
      <c r="P20" s="115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/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  <c r="FE20" s="116"/>
      <c r="FF20" s="116"/>
      <c r="FG20" s="116"/>
      <c r="FH20" s="116"/>
      <c r="FI20" s="116"/>
      <c r="FJ20" s="116"/>
      <c r="FK20" s="116"/>
      <c r="FL20" s="116"/>
      <c r="FM20" s="116"/>
      <c r="FN20" s="116"/>
      <c r="FO20" s="116"/>
      <c r="FP20" s="116"/>
      <c r="FQ20" s="116"/>
      <c r="FR20" s="116"/>
      <c r="FS20" s="116"/>
      <c r="FT20" s="116"/>
      <c r="FU20" s="116"/>
      <c r="FV20" s="116"/>
      <c r="FW20" s="116"/>
      <c r="FX20" s="116"/>
      <c r="FY20" s="116"/>
      <c r="FZ20" s="116"/>
      <c r="GA20" s="116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7"/>
      <c r="IT20" s="117"/>
      <c r="IU20" s="117"/>
    </row>
    <row r="21" spans="1:255" s="118" customFormat="1" ht="32.25" customHeight="1">
      <c r="A21" s="100"/>
      <c r="B21" s="101"/>
      <c r="C21" s="126" t="s">
        <v>44</v>
      </c>
      <c r="D21" s="120">
        <v>2000000</v>
      </c>
      <c r="E21" s="109">
        <f>1024328.3+15190</f>
        <v>1039518.3</v>
      </c>
      <c r="F21" s="109"/>
      <c r="G21" s="121">
        <v>0.7</v>
      </c>
      <c r="H21" s="107">
        <f>(I21+K21)/E21</f>
        <v>0.55688880128421014</v>
      </c>
      <c r="I21" s="109">
        <v>578896.1</v>
      </c>
      <c r="J21" s="122">
        <f t="shared" si="0"/>
        <v>460622.20000000007</v>
      </c>
      <c r="K21" s="127"/>
      <c r="L21" s="123"/>
      <c r="M21" s="112"/>
      <c r="N21" s="113"/>
      <c r="O21" s="114"/>
      <c r="P21" s="115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  <c r="IN21" s="116"/>
      <c r="IO21" s="116"/>
      <c r="IP21" s="116"/>
      <c r="IQ21" s="116"/>
      <c r="IR21" s="116"/>
      <c r="IS21" s="117"/>
      <c r="IT21" s="117"/>
      <c r="IU21" s="117"/>
    </row>
    <row r="22" spans="1:255" s="130" customFormat="1" ht="30" customHeight="1">
      <c r="A22" s="100"/>
      <c r="B22" s="101"/>
      <c r="C22" s="119" t="s">
        <v>45</v>
      </c>
      <c r="D22" s="120"/>
      <c r="E22" s="108">
        <v>89106.27</v>
      </c>
      <c r="F22" s="108"/>
      <c r="G22" s="121">
        <v>1</v>
      </c>
      <c r="H22" s="107">
        <v>1</v>
      </c>
      <c r="I22" s="108">
        <v>0</v>
      </c>
      <c r="J22" s="122">
        <f t="shared" si="0"/>
        <v>89106.27</v>
      </c>
      <c r="K22" s="111"/>
      <c r="L22" s="128"/>
      <c r="M22" s="129"/>
      <c r="N22" s="113"/>
      <c r="O22" s="125"/>
      <c r="P22" s="115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/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116"/>
      <c r="FI22" s="116"/>
      <c r="FJ22" s="116"/>
      <c r="FK22" s="116"/>
      <c r="FL22" s="116"/>
      <c r="FM22" s="116"/>
      <c r="FN22" s="116"/>
      <c r="FO22" s="116"/>
      <c r="FP22" s="116"/>
      <c r="FQ22" s="116"/>
      <c r="FR22" s="116"/>
      <c r="FS22" s="116"/>
      <c r="FT22" s="116"/>
      <c r="FU22" s="116"/>
      <c r="FV22" s="116"/>
      <c r="FW22" s="116"/>
      <c r="FX22" s="116"/>
      <c r="FY22" s="116"/>
      <c r="FZ22" s="116"/>
      <c r="GA22" s="116"/>
      <c r="GB22" s="116"/>
      <c r="GC22" s="116"/>
      <c r="GD22" s="116"/>
      <c r="GE22" s="116"/>
      <c r="GF22" s="116"/>
      <c r="GG22" s="116"/>
      <c r="GH22" s="116"/>
      <c r="GI22" s="116"/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116"/>
      <c r="GU22" s="116"/>
      <c r="GV22" s="116"/>
      <c r="GW22" s="116"/>
      <c r="GX22" s="116"/>
      <c r="GY22" s="116"/>
      <c r="GZ22" s="116"/>
      <c r="HA22" s="116"/>
      <c r="HB22" s="116"/>
      <c r="HC22" s="116"/>
      <c r="HD22" s="116"/>
      <c r="HE22" s="116"/>
      <c r="HF22" s="116"/>
      <c r="HG22" s="116"/>
      <c r="HH22" s="116"/>
      <c r="HI22" s="116"/>
      <c r="HJ22" s="116"/>
      <c r="HK22" s="116"/>
      <c r="HL22" s="116"/>
      <c r="HM22" s="116"/>
      <c r="HN22" s="116"/>
      <c r="HO22" s="116"/>
      <c r="HP22" s="116"/>
      <c r="HQ22" s="116"/>
      <c r="HR22" s="116"/>
      <c r="HS22" s="116"/>
      <c r="HT22" s="116"/>
      <c r="HU22" s="116"/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116"/>
      <c r="IG22" s="116"/>
      <c r="IH22" s="116"/>
      <c r="II22" s="116"/>
      <c r="IJ22" s="116"/>
      <c r="IK22" s="116"/>
      <c r="IL22" s="116"/>
      <c r="IM22" s="116"/>
      <c r="IN22" s="116"/>
      <c r="IO22" s="116"/>
      <c r="IP22" s="116"/>
      <c r="IQ22" s="116"/>
      <c r="IR22" s="116"/>
    </row>
    <row r="23" spans="1:255" s="130" customFormat="1" ht="30" customHeight="1">
      <c r="A23" s="100"/>
      <c r="B23" s="101"/>
      <c r="C23" s="131" t="s">
        <v>46</v>
      </c>
      <c r="D23" s="120">
        <v>150000</v>
      </c>
      <c r="E23" s="109">
        <f>272732.5+18950</f>
        <v>291682.5</v>
      </c>
      <c r="F23" s="109"/>
      <c r="G23" s="121">
        <v>0.7</v>
      </c>
      <c r="H23" s="107">
        <f>(I23+K23)/E23</f>
        <v>0.59653904502327015</v>
      </c>
      <c r="I23" s="108">
        <v>174000</v>
      </c>
      <c r="J23" s="122">
        <f t="shared" si="0"/>
        <v>117682.5</v>
      </c>
      <c r="K23" s="127"/>
      <c r="L23" s="128"/>
      <c r="M23" s="132"/>
      <c r="N23" s="113"/>
      <c r="O23" s="125"/>
      <c r="P23" s="115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  <c r="IN23" s="116"/>
      <c r="IO23" s="116"/>
      <c r="IP23" s="116"/>
      <c r="IQ23" s="116"/>
      <c r="IR23" s="116"/>
    </row>
    <row r="24" spans="1:255" s="130" customFormat="1" ht="30" customHeight="1">
      <c r="A24" s="100"/>
      <c r="B24" s="101"/>
      <c r="C24" s="119" t="s">
        <v>47</v>
      </c>
      <c r="D24" s="120">
        <v>350000</v>
      </c>
      <c r="E24" s="108">
        <v>50500</v>
      </c>
      <c r="F24" s="108"/>
      <c r="G24" s="121">
        <v>1</v>
      </c>
      <c r="H24" s="107">
        <v>1</v>
      </c>
      <c r="I24" s="108">
        <v>50500</v>
      </c>
      <c r="J24" s="109">
        <f t="shared" si="0"/>
        <v>0</v>
      </c>
      <c r="K24" s="133"/>
      <c r="L24" s="134"/>
      <c r="M24" s="135"/>
      <c r="N24" s="113"/>
      <c r="O24" s="125"/>
      <c r="P24" s="115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  <c r="DS24" s="116"/>
      <c r="DT24" s="116"/>
      <c r="DU24" s="116"/>
      <c r="DV24" s="116"/>
      <c r="DW24" s="116"/>
      <c r="DX24" s="116"/>
      <c r="DY24" s="116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16"/>
      <c r="EL24" s="116"/>
      <c r="EM24" s="116"/>
      <c r="EN24" s="116"/>
      <c r="EO24" s="116"/>
      <c r="EP24" s="116"/>
      <c r="EQ24" s="116"/>
      <c r="ER24" s="116"/>
      <c r="ES24" s="116"/>
      <c r="ET24" s="116"/>
      <c r="EU24" s="116"/>
      <c r="EV24" s="116"/>
      <c r="EW24" s="116"/>
      <c r="EX24" s="116"/>
      <c r="EY24" s="116"/>
      <c r="EZ24" s="116"/>
      <c r="FA24" s="116"/>
      <c r="FB24" s="116"/>
      <c r="FC24" s="116"/>
      <c r="FD24" s="116"/>
      <c r="FE24" s="116"/>
      <c r="FF24" s="116"/>
      <c r="FG24" s="116"/>
      <c r="FH24" s="116"/>
      <c r="FI24" s="116"/>
      <c r="FJ24" s="116"/>
      <c r="FK24" s="116"/>
      <c r="FL24" s="116"/>
      <c r="FM24" s="116"/>
      <c r="FN24" s="116"/>
      <c r="FO24" s="116"/>
      <c r="FP24" s="116"/>
      <c r="FQ24" s="116"/>
      <c r="FR24" s="116"/>
      <c r="FS24" s="116"/>
      <c r="FT24" s="116"/>
      <c r="FU24" s="116"/>
      <c r="FV24" s="116"/>
      <c r="FW24" s="116"/>
      <c r="FX24" s="116"/>
      <c r="FY24" s="116"/>
      <c r="FZ24" s="116"/>
      <c r="GA24" s="116"/>
      <c r="GB24" s="116"/>
      <c r="GC24" s="116"/>
      <c r="GD24" s="116"/>
      <c r="GE24" s="116"/>
      <c r="GF24" s="116"/>
      <c r="GG24" s="116"/>
      <c r="GH24" s="116"/>
      <c r="GI24" s="116"/>
      <c r="GJ24" s="116"/>
      <c r="GK24" s="116"/>
      <c r="GL24" s="116"/>
      <c r="GM24" s="116"/>
      <c r="GN24" s="116"/>
      <c r="GO24" s="116"/>
      <c r="GP24" s="116"/>
      <c r="GQ24" s="116"/>
      <c r="GR24" s="116"/>
      <c r="GS24" s="116"/>
      <c r="GT24" s="116"/>
      <c r="GU24" s="116"/>
      <c r="GV24" s="116"/>
      <c r="GW24" s="116"/>
      <c r="GX24" s="116"/>
      <c r="GY24" s="116"/>
      <c r="GZ24" s="116"/>
      <c r="HA24" s="116"/>
      <c r="HB24" s="116"/>
      <c r="HC24" s="116"/>
      <c r="HD24" s="116"/>
      <c r="HE24" s="116"/>
      <c r="HF24" s="116"/>
      <c r="HG24" s="116"/>
      <c r="HH24" s="116"/>
      <c r="HI24" s="116"/>
      <c r="HJ24" s="116"/>
      <c r="HK24" s="116"/>
      <c r="HL24" s="116"/>
      <c r="HM24" s="116"/>
      <c r="HN24" s="116"/>
      <c r="HO24" s="116"/>
      <c r="HP24" s="116"/>
      <c r="HQ24" s="116"/>
      <c r="HR24" s="116"/>
      <c r="HS24" s="116"/>
      <c r="HT24" s="116"/>
      <c r="HU24" s="116"/>
      <c r="HV24" s="116"/>
      <c r="HW24" s="116"/>
      <c r="HX24" s="116"/>
      <c r="HY24" s="116"/>
      <c r="HZ24" s="116"/>
      <c r="IA24" s="116"/>
      <c r="IB24" s="116"/>
      <c r="IC24" s="116"/>
      <c r="ID24" s="116"/>
      <c r="IE24" s="116"/>
      <c r="IF24" s="116"/>
      <c r="IG24" s="116"/>
      <c r="IH24" s="116"/>
      <c r="II24" s="116"/>
      <c r="IJ24" s="116"/>
      <c r="IK24" s="116"/>
      <c r="IL24" s="116"/>
      <c r="IM24" s="116"/>
      <c r="IN24" s="116"/>
      <c r="IO24" s="116"/>
      <c r="IP24" s="116"/>
      <c r="IQ24" s="116"/>
      <c r="IR24" s="116"/>
    </row>
    <row r="25" spans="1:255" s="118" customFormat="1" ht="21.75" customHeight="1">
      <c r="A25" s="100"/>
      <c r="B25" s="101"/>
      <c r="C25" s="119" t="s">
        <v>48</v>
      </c>
      <c r="D25" s="120">
        <v>63960</v>
      </c>
      <c r="E25" s="108">
        <v>96000</v>
      </c>
      <c r="F25" s="108"/>
      <c r="G25" s="121">
        <v>1</v>
      </c>
      <c r="H25" s="107">
        <v>1</v>
      </c>
      <c r="I25" s="108">
        <v>96000</v>
      </c>
      <c r="J25" s="109">
        <f t="shared" si="0"/>
        <v>0</v>
      </c>
      <c r="K25" s="111"/>
      <c r="L25" s="111"/>
      <c r="M25" s="112"/>
      <c r="N25" s="113"/>
      <c r="O25" s="136"/>
      <c r="P25" s="115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/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  <c r="FE25" s="116"/>
      <c r="FF25" s="116"/>
      <c r="FG25" s="116"/>
      <c r="FH25" s="116"/>
      <c r="FI25" s="116"/>
      <c r="FJ25" s="116"/>
      <c r="FK25" s="116"/>
      <c r="FL25" s="116"/>
      <c r="FM25" s="116"/>
      <c r="FN25" s="116"/>
      <c r="FO25" s="116"/>
      <c r="FP25" s="116"/>
      <c r="FQ25" s="116"/>
      <c r="FR25" s="116"/>
      <c r="FS25" s="116"/>
      <c r="FT25" s="116"/>
      <c r="FU25" s="116"/>
      <c r="FV25" s="116"/>
      <c r="FW25" s="116"/>
      <c r="FX25" s="116"/>
      <c r="FY25" s="116"/>
      <c r="FZ25" s="116"/>
      <c r="GA25" s="116"/>
      <c r="GB25" s="116"/>
      <c r="GC25" s="116"/>
      <c r="GD25" s="116"/>
      <c r="GE25" s="116"/>
      <c r="GF25" s="116"/>
      <c r="GG25" s="116"/>
      <c r="GH25" s="116"/>
      <c r="GI25" s="116"/>
      <c r="GJ25" s="116"/>
      <c r="GK25" s="116"/>
      <c r="GL25" s="116"/>
      <c r="GM25" s="116"/>
      <c r="GN25" s="116"/>
      <c r="GO25" s="116"/>
      <c r="GP25" s="116"/>
      <c r="GQ25" s="116"/>
      <c r="GR25" s="116"/>
      <c r="GS25" s="116"/>
      <c r="GT25" s="116"/>
      <c r="GU25" s="116"/>
      <c r="GV25" s="116"/>
      <c r="GW25" s="116"/>
      <c r="GX25" s="116"/>
      <c r="GY25" s="116"/>
      <c r="GZ25" s="116"/>
      <c r="HA25" s="116"/>
      <c r="HB25" s="116"/>
      <c r="HC25" s="116"/>
      <c r="HD25" s="116"/>
      <c r="HE25" s="116"/>
      <c r="HF25" s="116"/>
      <c r="HG25" s="116"/>
      <c r="HH25" s="116"/>
      <c r="HI25" s="116"/>
      <c r="HJ25" s="116"/>
      <c r="HK25" s="116"/>
      <c r="HL25" s="116"/>
      <c r="HM25" s="116"/>
      <c r="HN25" s="116"/>
      <c r="HO25" s="116"/>
      <c r="HP25" s="116"/>
      <c r="HQ25" s="116"/>
      <c r="HR25" s="116"/>
      <c r="HS25" s="116"/>
      <c r="HT25" s="116"/>
      <c r="HU25" s="116"/>
      <c r="HV25" s="116"/>
      <c r="HW25" s="116"/>
      <c r="HX25" s="116"/>
      <c r="HY25" s="116"/>
      <c r="HZ25" s="116"/>
      <c r="IA25" s="116"/>
      <c r="IB25" s="116"/>
      <c r="IC25" s="116"/>
      <c r="ID25" s="116"/>
      <c r="IE25" s="116"/>
      <c r="IF25" s="116"/>
      <c r="IG25" s="116"/>
      <c r="IH25" s="116"/>
      <c r="II25" s="116"/>
      <c r="IJ25" s="116"/>
      <c r="IK25" s="116"/>
      <c r="IL25" s="116"/>
      <c r="IM25" s="116"/>
      <c r="IN25" s="116"/>
      <c r="IO25" s="116"/>
      <c r="IP25" s="116"/>
      <c r="IQ25" s="116"/>
      <c r="IR25" s="117"/>
    </row>
    <row r="26" spans="1:255" s="118" customFormat="1" ht="21.75" customHeight="1">
      <c r="A26" s="100"/>
      <c r="B26" s="101"/>
      <c r="C26" s="137" t="s">
        <v>49</v>
      </c>
      <c r="D26" s="138">
        <v>1900000</v>
      </c>
      <c r="E26" s="138">
        <v>1185660.0900000001</v>
      </c>
      <c r="F26" s="108"/>
      <c r="G26" s="121">
        <v>0.95</v>
      </c>
      <c r="H26" s="107">
        <f>(I26+K26)/E26</f>
        <v>0.86868240627041771</v>
      </c>
      <c r="I26" s="139">
        <v>1029962.06</v>
      </c>
      <c r="J26" s="109">
        <f t="shared" si="0"/>
        <v>155698.03000000003</v>
      </c>
      <c r="K26" s="111"/>
      <c r="L26" s="111"/>
      <c r="M26" s="112"/>
      <c r="N26" s="113"/>
      <c r="O26" s="140"/>
      <c r="P26" s="115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/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  <c r="FE26" s="116"/>
      <c r="FF26" s="116"/>
      <c r="FG26" s="116"/>
      <c r="FH26" s="116"/>
      <c r="FI26" s="116"/>
      <c r="FJ26" s="116"/>
      <c r="FK26" s="116"/>
      <c r="FL26" s="116"/>
      <c r="FM26" s="116"/>
      <c r="FN26" s="116"/>
      <c r="FO26" s="116"/>
      <c r="FP26" s="116"/>
      <c r="FQ26" s="116"/>
      <c r="FR26" s="116"/>
      <c r="FS26" s="116"/>
      <c r="FT26" s="116"/>
      <c r="FU26" s="116"/>
      <c r="FV26" s="116"/>
      <c r="FW26" s="116"/>
      <c r="FX26" s="116"/>
      <c r="FY26" s="116"/>
      <c r="FZ26" s="116"/>
      <c r="GA26" s="116"/>
      <c r="GB26" s="116"/>
      <c r="GC26" s="116"/>
      <c r="GD26" s="116"/>
      <c r="GE26" s="116"/>
      <c r="GF26" s="116"/>
      <c r="GG26" s="116"/>
      <c r="GH26" s="116"/>
      <c r="GI26" s="116"/>
      <c r="GJ26" s="116"/>
      <c r="GK26" s="116"/>
      <c r="GL26" s="116"/>
      <c r="GM26" s="116"/>
      <c r="GN26" s="116"/>
      <c r="GO26" s="116"/>
      <c r="GP26" s="116"/>
      <c r="GQ26" s="116"/>
      <c r="GR26" s="116"/>
      <c r="GS26" s="116"/>
      <c r="GT26" s="116"/>
      <c r="GU26" s="116"/>
      <c r="GV26" s="116"/>
      <c r="GW26" s="116"/>
      <c r="GX26" s="116"/>
      <c r="GY26" s="116"/>
      <c r="GZ26" s="116"/>
      <c r="HA26" s="116"/>
      <c r="HB26" s="116"/>
      <c r="HC26" s="116"/>
      <c r="HD26" s="116"/>
      <c r="HE26" s="116"/>
      <c r="HF26" s="116"/>
      <c r="HG26" s="116"/>
      <c r="HH26" s="116"/>
      <c r="HI26" s="116"/>
      <c r="HJ26" s="116"/>
      <c r="HK26" s="116"/>
      <c r="HL26" s="116"/>
      <c r="HM26" s="116"/>
      <c r="HN26" s="116"/>
      <c r="HO26" s="116"/>
      <c r="HP26" s="116"/>
      <c r="HQ26" s="116"/>
      <c r="HR26" s="116"/>
      <c r="HS26" s="116"/>
      <c r="HT26" s="116"/>
      <c r="HU26" s="116"/>
      <c r="HV26" s="116"/>
      <c r="HW26" s="116"/>
      <c r="HX26" s="116"/>
      <c r="HY26" s="116"/>
      <c r="HZ26" s="116"/>
      <c r="IA26" s="116"/>
      <c r="IB26" s="116"/>
      <c r="IC26" s="116"/>
      <c r="ID26" s="116"/>
      <c r="IE26" s="116"/>
      <c r="IF26" s="116"/>
      <c r="IG26" s="116"/>
      <c r="IH26" s="116"/>
      <c r="II26" s="116"/>
      <c r="IJ26" s="116"/>
      <c r="IK26" s="116"/>
      <c r="IL26" s="116"/>
      <c r="IM26" s="116"/>
      <c r="IN26" s="116"/>
      <c r="IO26" s="116"/>
      <c r="IP26" s="116"/>
      <c r="IQ26" s="116"/>
      <c r="IR26" s="117"/>
    </row>
    <row r="27" spans="1:255" s="118" customFormat="1" ht="21.75" customHeight="1">
      <c r="A27" s="100"/>
      <c r="B27" s="101"/>
      <c r="C27" s="119" t="s">
        <v>50</v>
      </c>
      <c r="D27" s="120"/>
      <c r="E27" s="108">
        <v>101061</v>
      </c>
      <c r="F27" s="108"/>
      <c r="G27" s="121">
        <v>1</v>
      </c>
      <c r="H27" s="107">
        <v>1</v>
      </c>
      <c r="I27" s="108">
        <v>101061</v>
      </c>
      <c r="J27" s="109">
        <f t="shared" si="0"/>
        <v>0</v>
      </c>
      <c r="K27" s="111"/>
      <c r="L27" s="111"/>
      <c r="M27" s="112"/>
      <c r="N27" s="113"/>
      <c r="O27" s="140"/>
      <c r="P27" s="115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116"/>
      <c r="FX27" s="116"/>
      <c r="FY27" s="116"/>
      <c r="FZ27" s="116"/>
      <c r="GA27" s="116"/>
      <c r="GB27" s="116"/>
      <c r="GC27" s="116"/>
      <c r="GD27" s="116"/>
      <c r="GE27" s="116"/>
      <c r="GF27" s="116"/>
      <c r="GG27" s="116"/>
      <c r="GH27" s="116"/>
      <c r="GI27" s="116"/>
      <c r="GJ27" s="116"/>
      <c r="GK27" s="116"/>
      <c r="GL27" s="116"/>
      <c r="GM27" s="116"/>
      <c r="GN27" s="116"/>
      <c r="GO27" s="116"/>
      <c r="GP27" s="116"/>
      <c r="GQ27" s="116"/>
      <c r="GR27" s="116"/>
      <c r="GS27" s="116"/>
      <c r="GT27" s="116"/>
      <c r="GU27" s="116"/>
      <c r="GV27" s="116"/>
      <c r="GW27" s="116"/>
      <c r="GX27" s="116"/>
      <c r="GY27" s="116"/>
      <c r="GZ27" s="116"/>
      <c r="HA27" s="116"/>
      <c r="HB27" s="116"/>
      <c r="HC27" s="116"/>
      <c r="HD27" s="116"/>
      <c r="HE27" s="116"/>
      <c r="HF27" s="116"/>
      <c r="HG27" s="116"/>
      <c r="HH27" s="116"/>
      <c r="HI27" s="116"/>
      <c r="HJ27" s="116"/>
      <c r="HK27" s="116"/>
      <c r="HL27" s="116"/>
      <c r="HM27" s="116"/>
      <c r="HN27" s="116"/>
      <c r="HO27" s="116"/>
      <c r="HP27" s="116"/>
      <c r="HQ27" s="116"/>
      <c r="HR27" s="116"/>
      <c r="HS27" s="116"/>
      <c r="HT27" s="116"/>
      <c r="HU27" s="116"/>
      <c r="HV27" s="116"/>
      <c r="HW27" s="116"/>
      <c r="HX27" s="116"/>
      <c r="HY27" s="116"/>
      <c r="HZ27" s="116"/>
      <c r="IA27" s="116"/>
      <c r="IB27" s="116"/>
      <c r="IC27" s="116"/>
      <c r="ID27" s="116"/>
      <c r="IE27" s="116"/>
      <c r="IF27" s="116"/>
      <c r="IG27" s="116"/>
      <c r="IH27" s="116"/>
      <c r="II27" s="116"/>
      <c r="IJ27" s="116"/>
      <c r="IK27" s="116"/>
      <c r="IL27" s="116"/>
      <c r="IM27" s="116"/>
      <c r="IN27" s="116"/>
      <c r="IO27" s="116"/>
      <c r="IP27" s="116"/>
      <c r="IQ27" s="116"/>
      <c r="IR27" s="117"/>
    </row>
    <row r="28" spans="1:255" s="118" customFormat="1" ht="21.75" customHeight="1">
      <c r="A28" s="100"/>
      <c r="B28" s="101"/>
      <c r="C28" s="119" t="s">
        <v>51</v>
      </c>
      <c r="D28" s="120">
        <v>1600000</v>
      </c>
      <c r="E28" s="108">
        <v>619889.01</v>
      </c>
      <c r="F28" s="108"/>
      <c r="G28" s="121">
        <v>1</v>
      </c>
      <c r="H28" s="107">
        <v>1</v>
      </c>
      <c r="I28" s="108">
        <v>539889.01</v>
      </c>
      <c r="J28" s="109">
        <f t="shared" si="0"/>
        <v>80000</v>
      </c>
      <c r="K28" s="111">
        <v>80000</v>
      </c>
      <c r="L28" s="111"/>
      <c r="M28" s="112"/>
      <c r="N28" s="113"/>
      <c r="O28" s="141"/>
      <c r="P28" s="115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  <c r="GP28" s="116"/>
      <c r="GQ28" s="116"/>
      <c r="GR28" s="116"/>
      <c r="GS28" s="116"/>
      <c r="GT28" s="116"/>
      <c r="GU28" s="116"/>
      <c r="GV28" s="116"/>
      <c r="GW28" s="116"/>
      <c r="GX28" s="116"/>
      <c r="GY28" s="116"/>
      <c r="GZ28" s="116"/>
      <c r="HA28" s="116"/>
      <c r="HB28" s="116"/>
      <c r="HC28" s="116"/>
      <c r="HD28" s="116"/>
      <c r="HE28" s="116"/>
      <c r="HF28" s="116"/>
      <c r="HG28" s="116"/>
      <c r="HH28" s="116"/>
      <c r="HI28" s="116"/>
      <c r="HJ28" s="116"/>
      <c r="HK28" s="116"/>
      <c r="HL28" s="116"/>
      <c r="HM28" s="116"/>
      <c r="HN28" s="116"/>
      <c r="HO28" s="116"/>
      <c r="HP28" s="116"/>
      <c r="HQ28" s="116"/>
      <c r="HR28" s="116"/>
      <c r="HS28" s="116"/>
      <c r="HT28" s="116"/>
      <c r="HU28" s="116"/>
      <c r="HV28" s="116"/>
      <c r="HW28" s="116"/>
      <c r="HX28" s="116"/>
      <c r="HY28" s="116"/>
      <c r="HZ28" s="116"/>
      <c r="IA28" s="116"/>
      <c r="IB28" s="116"/>
      <c r="IC28" s="116"/>
      <c r="ID28" s="116"/>
      <c r="IE28" s="116"/>
      <c r="IF28" s="116"/>
      <c r="IG28" s="116"/>
      <c r="IH28" s="116"/>
      <c r="II28" s="116"/>
      <c r="IJ28" s="116"/>
      <c r="IK28" s="116"/>
      <c r="IL28" s="116"/>
      <c r="IM28" s="116"/>
      <c r="IN28" s="116"/>
      <c r="IO28" s="116"/>
      <c r="IP28" s="116"/>
      <c r="IQ28" s="116"/>
      <c r="IR28" s="117"/>
    </row>
    <row r="29" spans="1:255" s="118" customFormat="1" ht="21.75" customHeight="1">
      <c r="A29" s="100"/>
      <c r="B29" s="101"/>
      <c r="C29" s="119" t="s">
        <v>52</v>
      </c>
      <c r="D29" s="120"/>
      <c r="E29" s="108">
        <v>102497.08</v>
      </c>
      <c r="F29" s="108"/>
      <c r="G29" s="121">
        <v>0.7</v>
      </c>
      <c r="H29" s="107">
        <f>(I29+K29)/E29</f>
        <v>0.48781877493485665</v>
      </c>
      <c r="I29" s="108">
        <v>50000</v>
      </c>
      <c r="J29" s="109">
        <f t="shared" si="0"/>
        <v>52497.08</v>
      </c>
      <c r="K29" s="111"/>
      <c r="L29" s="111"/>
      <c r="M29" s="112"/>
      <c r="N29" s="113"/>
      <c r="O29" s="141"/>
      <c r="P29" s="115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116"/>
      <c r="FX29" s="116"/>
      <c r="FY29" s="116"/>
      <c r="FZ29" s="116"/>
      <c r="GA29" s="116"/>
      <c r="GB29" s="116"/>
      <c r="GC29" s="116"/>
      <c r="GD29" s="116"/>
      <c r="GE29" s="116"/>
      <c r="GF29" s="116"/>
      <c r="GG29" s="116"/>
      <c r="GH29" s="116"/>
      <c r="GI29" s="116"/>
      <c r="GJ29" s="116"/>
      <c r="GK29" s="116"/>
      <c r="GL29" s="116"/>
      <c r="GM29" s="116"/>
      <c r="GN29" s="116"/>
      <c r="GO29" s="116"/>
      <c r="GP29" s="116"/>
      <c r="GQ29" s="116"/>
      <c r="GR29" s="116"/>
      <c r="GS29" s="116"/>
      <c r="GT29" s="116"/>
      <c r="GU29" s="116"/>
      <c r="GV29" s="116"/>
      <c r="GW29" s="116"/>
      <c r="GX29" s="116"/>
      <c r="GY29" s="116"/>
      <c r="GZ29" s="116"/>
      <c r="HA29" s="116"/>
      <c r="HB29" s="116"/>
      <c r="HC29" s="116"/>
      <c r="HD29" s="116"/>
      <c r="HE29" s="116"/>
      <c r="HF29" s="116"/>
      <c r="HG29" s="116"/>
      <c r="HH29" s="116"/>
      <c r="HI29" s="116"/>
      <c r="HJ29" s="116"/>
      <c r="HK29" s="116"/>
      <c r="HL29" s="116"/>
      <c r="HM29" s="116"/>
      <c r="HN29" s="116"/>
      <c r="HO29" s="116"/>
      <c r="HP29" s="116"/>
      <c r="HQ29" s="116"/>
      <c r="HR29" s="116"/>
      <c r="HS29" s="116"/>
      <c r="HT29" s="116"/>
      <c r="HU29" s="116"/>
      <c r="HV29" s="116"/>
      <c r="HW29" s="116"/>
      <c r="HX29" s="116"/>
      <c r="HY29" s="116"/>
      <c r="HZ29" s="116"/>
      <c r="IA29" s="116"/>
      <c r="IB29" s="116"/>
      <c r="IC29" s="116"/>
      <c r="ID29" s="116"/>
      <c r="IE29" s="116"/>
      <c r="IF29" s="116"/>
      <c r="IG29" s="116"/>
      <c r="IH29" s="116"/>
      <c r="II29" s="116"/>
      <c r="IJ29" s="116"/>
      <c r="IK29" s="116"/>
      <c r="IL29" s="116"/>
      <c r="IM29" s="116"/>
      <c r="IN29" s="116"/>
      <c r="IO29" s="116"/>
      <c r="IP29" s="116"/>
      <c r="IQ29" s="116"/>
      <c r="IR29" s="117"/>
    </row>
    <row r="30" spans="1:255" s="118" customFormat="1" ht="21.75" customHeight="1">
      <c r="A30" s="100"/>
      <c r="B30" s="101"/>
      <c r="C30" s="119" t="s">
        <v>53</v>
      </c>
      <c r="D30" s="120"/>
      <c r="E30" s="108">
        <v>79852.5</v>
      </c>
      <c r="F30" s="108"/>
      <c r="G30" s="121">
        <v>1</v>
      </c>
      <c r="H30" s="107">
        <v>1</v>
      </c>
      <c r="I30" s="108">
        <v>0</v>
      </c>
      <c r="J30" s="109">
        <f t="shared" si="0"/>
        <v>79852.5</v>
      </c>
      <c r="K30" s="111">
        <f>J30</f>
        <v>79852.5</v>
      </c>
      <c r="L30" s="111"/>
      <c r="M30" s="112"/>
      <c r="N30" s="113"/>
      <c r="O30" s="141"/>
      <c r="P30" s="115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  <c r="DS30" s="116"/>
      <c r="DT30" s="116"/>
      <c r="DU30" s="116"/>
      <c r="DV30" s="116"/>
      <c r="DW30" s="116"/>
      <c r="DX30" s="116"/>
      <c r="DY30" s="116"/>
      <c r="DZ30" s="116"/>
      <c r="EA30" s="116"/>
      <c r="EB30" s="116"/>
      <c r="EC30" s="116"/>
      <c r="ED30" s="116"/>
      <c r="EE30" s="116"/>
      <c r="EF30" s="116"/>
      <c r="EG30" s="116"/>
      <c r="EH30" s="116"/>
      <c r="EI30" s="116"/>
      <c r="EJ30" s="116"/>
      <c r="EK30" s="116"/>
      <c r="EL30" s="116"/>
      <c r="EM30" s="116"/>
      <c r="EN30" s="116"/>
      <c r="EO30" s="116"/>
      <c r="EP30" s="116"/>
      <c r="EQ30" s="116"/>
      <c r="ER30" s="116"/>
      <c r="ES30" s="116"/>
      <c r="ET30" s="116"/>
      <c r="EU30" s="116"/>
      <c r="EV30" s="116"/>
      <c r="EW30" s="116"/>
      <c r="EX30" s="116"/>
      <c r="EY30" s="116"/>
      <c r="EZ30" s="116"/>
      <c r="FA30" s="116"/>
      <c r="FB30" s="116"/>
      <c r="FC30" s="116"/>
      <c r="FD30" s="116"/>
      <c r="FE30" s="116"/>
      <c r="FF30" s="116"/>
      <c r="FG30" s="116"/>
      <c r="FH30" s="116"/>
      <c r="FI30" s="116"/>
      <c r="FJ30" s="116"/>
      <c r="FK30" s="116"/>
      <c r="FL30" s="116"/>
      <c r="FM30" s="116"/>
      <c r="FN30" s="116"/>
      <c r="FO30" s="116"/>
      <c r="FP30" s="116"/>
      <c r="FQ30" s="116"/>
      <c r="FR30" s="116"/>
      <c r="FS30" s="116"/>
      <c r="FT30" s="116"/>
      <c r="FU30" s="116"/>
      <c r="FV30" s="116"/>
      <c r="FW30" s="116"/>
      <c r="FX30" s="116"/>
      <c r="FY30" s="116"/>
      <c r="FZ30" s="116"/>
      <c r="GA30" s="116"/>
      <c r="GB30" s="116"/>
      <c r="GC30" s="116"/>
      <c r="GD30" s="116"/>
      <c r="GE30" s="116"/>
      <c r="GF30" s="116"/>
      <c r="GG30" s="116"/>
      <c r="GH30" s="116"/>
      <c r="GI30" s="116"/>
      <c r="GJ30" s="116"/>
      <c r="GK30" s="116"/>
      <c r="GL30" s="116"/>
      <c r="GM30" s="116"/>
      <c r="GN30" s="116"/>
      <c r="GO30" s="116"/>
      <c r="GP30" s="116"/>
      <c r="GQ30" s="116"/>
      <c r="GR30" s="116"/>
      <c r="GS30" s="116"/>
      <c r="GT30" s="116"/>
      <c r="GU30" s="116"/>
      <c r="GV30" s="116"/>
      <c r="GW30" s="116"/>
      <c r="GX30" s="116"/>
      <c r="GY30" s="116"/>
      <c r="GZ30" s="116"/>
      <c r="HA30" s="116"/>
      <c r="HB30" s="116"/>
      <c r="HC30" s="116"/>
      <c r="HD30" s="116"/>
      <c r="HE30" s="116"/>
      <c r="HF30" s="116"/>
      <c r="HG30" s="116"/>
      <c r="HH30" s="116"/>
      <c r="HI30" s="116"/>
      <c r="HJ30" s="116"/>
      <c r="HK30" s="116"/>
      <c r="HL30" s="116"/>
      <c r="HM30" s="116"/>
      <c r="HN30" s="116"/>
      <c r="HO30" s="116"/>
      <c r="HP30" s="116"/>
      <c r="HQ30" s="116"/>
      <c r="HR30" s="116"/>
      <c r="HS30" s="116"/>
      <c r="HT30" s="116"/>
      <c r="HU30" s="116"/>
      <c r="HV30" s="116"/>
      <c r="HW30" s="116"/>
      <c r="HX30" s="116"/>
      <c r="HY30" s="116"/>
      <c r="HZ30" s="116"/>
      <c r="IA30" s="116"/>
      <c r="IB30" s="116"/>
      <c r="IC30" s="116"/>
      <c r="ID30" s="116"/>
      <c r="IE30" s="116"/>
      <c r="IF30" s="116"/>
      <c r="IG30" s="116"/>
      <c r="IH30" s="116"/>
      <c r="II30" s="116"/>
      <c r="IJ30" s="116"/>
      <c r="IK30" s="116"/>
      <c r="IL30" s="116"/>
      <c r="IM30" s="116"/>
      <c r="IN30" s="116"/>
      <c r="IO30" s="116"/>
      <c r="IP30" s="116"/>
      <c r="IQ30" s="116"/>
      <c r="IR30" s="117"/>
    </row>
    <row r="31" spans="1:255" s="118" customFormat="1" ht="21.75" customHeight="1">
      <c r="A31" s="100"/>
      <c r="B31" s="101"/>
      <c r="C31" s="119" t="s">
        <v>54</v>
      </c>
      <c r="D31" s="120">
        <v>200000</v>
      </c>
      <c r="E31" s="108">
        <v>32900</v>
      </c>
      <c r="F31" s="108"/>
      <c r="G31" s="121">
        <v>0.7</v>
      </c>
      <c r="H31" s="107">
        <f>(I31+K31)/E31</f>
        <v>0.74802431610942244</v>
      </c>
      <c r="I31" s="108">
        <v>24610</v>
      </c>
      <c r="J31" s="109">
        <f t="shared" si="0"/>
        <v>8290</v>
      </c>
      <c r="K31" s="111"/>
      <c r="L31" s="111"/>
      <c r="M31" s="112"/>
      <c r="N31" s="113"/>
      <c r="O31" s="141"/>
      <c r="P31" s="115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7"/>
    </row>
    <row r="32" spans="1:255" s="118" customFormat="1" ht="21.75" customHeight="1">
      <c r="A32" s="100"/>
      <c r="B32" s="101"/>
      <c r="C32" s="119" t="s">
        <v>55</v>
      </c>
      <c r="D32" s="120"/>
      <c r="E32" s="108">
        <f>13091.3+15173+54005</f>
        <v>82269.3</v>
      </c>
      <c r="F32" s="108"/>
      <c r="G32" s="121">
        <v>1</v>
      </c>
      <c r="H32" s="107">
        <v>1</v>
      </c>
      <c r="I32" s="108">
        <v>0</v>
      </c>
      <c r="J32" s="109">
        <f t="shared" si="0"/>
        <v>82269.3</v>
      </c>
      <c r="K32" s="111"/>
      <c r="L32" s="111"/>
      <c r="M32" s="112"/>
      <c r="N32" s="113"/>
      <c r="O32" s="140"/>
      <c r="P32" s="115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  <c r="DP32" s="116"/>
      <c r="DQ32" s="116"/>
      <c r="DR32" s="116"/>
      <c r="DS32" s="116"/>
      <c r="DT32" s="116"/>
      <c r="DU32" s="116"/>
      <c r="DV32" s="116"/>
      <c r="DW32" s="116"/>
      <c r="DX32" s="116"/>
      <c r="DY32" s="116"/>
      <c r="DZ32" s="116"/>
      <c r="EA32" s="116"/>
      <c r="EB32" s="116"/>
      <c r="EC32" s="116"/>
      <c r="ED32" s="116"/>
      <c r="EE32" s="116"/>
      <c r="EF32" s="116"/>
      <c r="EG32" s="116"/>
      <c r="EH32" s="116"/>
      <c r="EI32" s="116"/>
      <c r="EJ32" s="116"/>
      <c r="EK32" s="116"/>
      <c r="EL32" s="116"/>
      <c r="EM32" s="116"/>
      <c r="EN32" s="116"/>
      <c r="EO32" s="116"/>
      <c r="EP32" s="116"/>
      <c r="EQ32" s="116"/>
      <c r="ER32" s="116"/>
      <c r="ES32" s="116"/>
      <c r="ET32" s="116"/>
      <c r="EU32" s="116"/>
      <c r="EV32" s="116"/>
      <c r="EW32" s="116"/>
      <c r="EX32" s="116"/>
      <c r="EY32" s="116"/>
      <c r="EZ32" s="116"/>
      <c r="FA32" s="116"/>
      <c r="FB32" s="116"/>
      <c r="FC32" s="116"/>
      <c r="FD32" s="116"/>
      <c r="FE32" s="116"/>
      <c r="FF32" s="116"/>
      <c r="FG32" s="116"/>
      <c r="FH32" s="116"/>
      <c r="FI32" s="116"/>
      <c r="FJ32" s="116"/>
      <c r="FK32" s="116"/>
      <c r="FL32" s="116"/>
      <c r="FM32" s="116"/>
      <c r="FN32" s="116"/>
      <c r="FO32" s="116"/>
      <c r="FP32" s="116"/>
      <c r="FQ32" s="116"/>
      <c r="FR32" s="116"/>
      <c r="FS32" s="116"/>
      <c r="FT32" s="116"/>
      <c r="FU32" s="116"/>
      <c r="FV32" s="116"/>
      <c r="FW32" s="116"/>
      <c r="FX32" s="116"/>
      <c r="FY32" s="116"/>
      <c r="FZ32" s="116"/>
      <c r="GA32" s="116"/>
      <c r="GB32" s="116"/>
      <c r="GC32" s="116"/>
      <c r="GD32" s="116"/>
      <c r="GE32" s="116"/>
      <c r="GF32" s="116"/>
      <c r="GG32" s="116"/>
      <c r="GH32" s="116"/>
      <c r="GI32" s="116"/>
      <c r="GJ32" s="116"/>
      <c r="GK32" s="116"/>
      <c r="GL32" s="116"/>
      <c r="GM32" s="116"/>
      <c r="GN32" s="116"/>
      <c r="GO32" s="116"/>
      <c r="GP32" s="116"/>
      <c r="GQ32" s="116"/>
      <c r="GR32" s="116"/>
      <c r="GS32" s="116"/>
      <c r="GT32" s="116"/>
      <c r="GU32" s="116"/>
      <c r="GV32" s="116"/>
      <c r="GW32" s="116"/>
      <c r="GX32" s="116"/>
      <c r="GY32" s="116"/>
      <c r="GZ32" s="116"/>
      <c r="HA32" s="116"/>
      <c r="HB32" s="116"/>
      <c r="HC32" s="116"/>
      <c r="HD32" s="116"/>
      <c r="HE32" s="116"/>
      <c r="HF32" s="116"/>
      <c r="HG32" s="116"/>
      <c r="HH32" s="116"/>
      <c r="HI32" s="116"/>
      <c r="HJ32" s="116"/>
      <c r="HK32" s="116"/>
      <c r="HL32" s="116"/>
      <c r="HM32" s="116"/>
      <c r="HN32" s="116"/>
      <c r="HO32" s="116"/>
      <c r="HP32" s="116"/>
      <c r="HQ32" s="116"/>
      <c r="HR32" s="116"/>
      <c r="HS32" s="116"/>
      <c r="HT32" s="116"/>
      <c r="HU32" s="116"/>
      <c r="HV32" s="116"/>
      <c r="HW32" s="116"/>
      <c r="HX32" s="116"/>
      <c r="HY32" s="116"/>
      <c r="HZ32" s="116"/>
      <c r="IA32" s="116"/>
      <c r="IB32" s="116"/>
      <c r="IC32" s="116"/>
      <c r="ID32" s="116"/>
      <c r="IE32" s="116"/>
      <c r="IF32" s="116"/>
      <c r="IG32" s="116"/>
      <c r="IH32" s="116"/>
      <c r="II32" s="116"/>
      <c r="IJ32" s="116"/>
      <c r="IK32" s="116"/>
      <c r="IL32" s="116"/>
      <c r="IM32" s="116"/>
      <c r="IN32" s="116"/>
      <c r="IO32" s="116"/>
      <c r="IP32" s="116"/>
      <c r="IQ32" s="116"/>
      <c r="IR32" s="117"/>
    </row>
    <row r="33" spans="1:252" s="118" customFormat="1" ht="29.1" customHeight="1">
      <c r="A33" s="100"/>
      <c r="B33" s="101"/>
      <c r="C33" s="119" t="s">
        <v>56</v>
      </c>
      <c r="D33" s="120">
        <v>150000</v>
      </c>
      <c r="E33" s="108">
        <v>197515</v>
      </c>
      <c r="F33" s="108"/>
      <c r="G33" s="121"/>
      <c r="H33" s="107">
        <f t="shared" ref="H33:H38" si="1">(I33+K33)/E33</f>
        <v>1</v>
      </c>
      <c r="I33" s="108">
        <v>197515</v>
      </c>
      <c r="J33" s="109">
        <f t="shared" si="0"/>
        <v>0</v>
      </c>
      <c r="K33" s="111"/>
      <c r="L33" s="111"/>
      <c r="M33" s="112"/>
      <c r="N33" s="113"/>
      <c r="O33" s="140"/>
      <c r="P33" s="115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  <c r="DP33" s="116"/>
      <c r="DQ33" s="116"/>
      <c r="DR33" s="116"/>
      <c r="DS33" s="116"/>
      <c r="DT33" s="116"/>
      <c r="DU33" s="116"/>
      <c r="DV33" s="116"/>
      <c r="DW33" s="116"/>
      <c r="DX33" s="116"/>
      <c r="DY33" s="116"/>
      <c r="DZ33" s="116"/>
      <c r="EA33" s="116"/>
      <c r="EB33" s="116"/>
      <c r="EC33" s="116"/>
      <c r="ED33" s="116"/>
      <c r="EE33" s="116"/>
      <c r="EF33" s="116"/>
      <c r="EG33" s="116"/>
      <c r="EH33" s="116"/>
      <c r="EI33" s="116"/>
      <c r="EJ33" s="116"/>
      <c r="EK33" s="116"/>
      <c r="EL33" s="116"/>
      <c r="EM33" s="116"/>
      <c r="EN33" s="116"/>
      <c r="EO33" s="116"/>
      <c r="EP33" s="116"/>
      <c r="EQ33" s="116"/>
      <c r="ER33" s="116"/>
      <c r="ES33" s="116"/>
      <c r="ET33" s="116"/>
      <c r="EU33" s="116"/>
      <c r="EV33" s="116"/>
      <c r="EW33" s="116"/>
      <c r="EX33" s="116"/>
      <c r="EY33" s="116"/>
      <c r="EZ33" s="116"/>
      <c r="FA33" s="116"/>
      <c r="FB33" s="116"/>
      <c r="FC33" s="116"/>
      <c r="FD33" s="116"/>
      <c r="FE33" s="116"/>
      <c r="FF33" s="116"/>
      <c r="FG33" s="116"/>
      <c r="FH33" s="116"/>
      <c r="FI33" s="116"/>
      <c r="FJ33" s="116"/>
      <c r="FK33" s="116"/>
      <c r="FL33" s="116"/>
      <c r="FM33" s="116"/>
      <c r="FN33" s="116"/>
      <c r="FO33" s="116"/>
      <c r="FP33" s="116"/>
      <c r="FQ33" s="116"/>
      <c r="FR33" s="116"/>
      <c r="FS33" s="116"/>
      <c r="FT33" s="116"/>
      <c r="FU33" s="116"/>
      <c r="FV33" s="116"/>
      <c r="FW33" s="116"/>
      <c r="FX33" s="116"/>
      <c r="FY33" s="116"/>
      <c r="FZ33" s="116"/>
      <c r="GA33" s="116"/>
      <c r="GB33" s="116"/>
      <c r="GC33" s="116"/>
      <c r="GD33" s="116"/>
      <c r="GE33" s="116"/>
      <c r="GF33" s="116"/>
      <c r="GG33" s="116"/>
      <c r="GH33" s="116"/>
      <c r="GI33" s="116"/>
      <c r="GJ33" s="116"/>
      <c r="GK33" s="116"/>
      <c r="GL33" s="116"/>
      <c r="GM33" s="116"/>
      <c r="GN33" s="116"/>
      <c r="GO33" s="116"/>
      <c r="GP33" s="116"/>
      <c r="GQ33" s="116"/>
      <c r="GR33" s="116"/>
      <c r="GS33" s="116"/>
      <c r="GT33" s="116"/>
      <c r="GU33" s="116"/>
      <c r="GV33" s="116"/>
      <c r="GW33" s="116"/>
      <c r="GX33" s="116"/>
      <c r="GY33" s="116"/>
      <c r="GZ33" s="116"/>
      <c r="HA33" s="116"/>
      <c r="HB33" s="116"/>
      <c r="HC33" s="116"/>
      <c r="HD33" s="116"/>
      <c r="HE33" s="116"/>
      <c r="HF33" s="116"/>
      <c r="HG33" s="116"/>
      <c r="HH33" s="116"/>
      <c r="HI33" s="116"/>
      <c r="HJ33" s="116"/>
      <c r="HK33" s="116"/>
      <c r="HL33" s="116"/>
      <c r="HM33" s="116"/>
      <c r="HN33" s="116"/>
      <c r="HO33" s="116"/>
      <c r="HP33" s="116"/>
      <c r="HQ33" s="116"/>
      <c r="HR33" s="116"/>
      <c r="HS33" s="116"/>
      <c r="HT33" s="116"/>
      <c r="HU33" s="116"/>
      <c r="HV33" s="116"/>
      <c r="HW33" s="116"/>
      <c r="HX33" s="116"/>
      <c r="HY33" s="116"/>
      <c r="HZ33" s="116"/>
      <c r="IA33" s="116"/>
      <c r="IB33" s="116"/>
      <c r="IC33" s="116"/>
      <c r="ID33" s="116"/>
      <c r="IE33" s="116"/>
      <c r="IF33" s="116"/>
      <c r="IG33" s="116"/>
      <c r="IH33" s="116"/>
      <c r="II33" s="116"/>
      <c r="IJ33" s="116"/>
      <c r="IK33" s="116"/>
      <c r="IL33" s="116"/>
      <c r="IM33" s="116"/>
      <c r="IN33" s="116"/>
      <c r="IO33" s="116"/>
      <c r="IP33" s="116"/>
      <c r="IQ33" s="116"/>
      <c r="IR33" s="117"/>
    </row>
    <row r="34" spans="1:252" s="118" customFormat="1" ht="27" customHeight="1">
      <c r="A34" s="100"/>
      <c r="B34" s="101"/>
      <c r="C34" s="119" t="s">
        <v>57</v>
      </c>
      <c r="D34" s="142">
        <v>8200000</v>
      </c>
      <c r="E34" s="143">
        <v>1148710.8</v>
      </c>
      <c r="F34" s="144"/>
      <c r="G34" s="121">
        <v>0.7</v>
      </c>
      <c r="H34" s="107">
        <f t="shared" si="1"/>
        <v>0.70000000000000007</v>
      </c>
      <c r="I34" s="109">
        <v>804097.56</v>
      </c>
      <c r="J34" s="109">
        <f t="shared" si="0"/>
        <v>344613.24</v>
      </c>
      <c r="K34" s="145"/>
      <c r="L34" s="111"/>
      <c r="M34" s="112"/>
      <c r="N34" s="113"/>
      <c r="O34" s="140"/>
      <c r="P34" s="115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  <c r="DS34" s="116"/>
      <c r="DT34" s="116"/>
      <c r="DU34" s="116"/>
      <c r="DV34" s="116"/>
      <c r="DW34" s="116"/>
      <c r="DX34" s="116"/>
      <c r="DY34" s="116"/>
      <c r="DZ34" s="116"/>
      <c r="EA34" s="116"/>
      <c r="EB34" s="116"/>
      <c r="EC34" s="116"/>
      <c r="ED34" s="116"/>
      <c r="EE34" s="116"/>
      <c r="EF34" s="116"/>
      <c r="EG34" s="116"/>
      <c r="EH34" s="116"/>
      <c r="EI34" s="116"/>
      <c r="EJ34" s="116"/>
      <c r="EK34" s="116"/>
      <c r="EL34" s="116"/>
      <c r="EM34" s="116"/>
      <c r="EN34" s="116"/>
      <c r="EO34" s="116"/>
      <c r="EP34" s="116"/>
      <c r="EQ34" s="116"/>
      <c r="ER34" s="116"/>
      <c r="ES34" s="116"/>
      <c r="ET34" s="116"/>
      <c r="EU34" s="116"/>
      <c r="EV34" s="116"/>
      <c r="EW34" s="116"/>
      <c r="EX34" s="116"/>
      <c r="EY34" s="116"/>
      <c r="EZ34" s="116"/>
      <c r="FA34" s="116"/>
      <c r="FB34" s="116"/>
      <c r="FC34" s="116"/>
      <c r="FD34" s="116"/>
      <c r="FE34" s="116"/>
      <c r="FF34" s="116"/>
      <c r="FG34" s="116"/>
      <c r="FH34" s="116"/>
      <c r="FI34" s="116"/>
      <c r="FJ34" s="116"/>
      <c r="FK34" s="116"/>
      <c r="FL34" s="116"/>
      <c r="FM34" s="116"/>
      <c r="FN34" s="116"/>
      <c r="FO34" s="116"/>
      <c r="FP34" s="116"/>
      <c r="FQ34" s="116"/>
      <c r="FR34" s="116"/>
      <c r="FS34" s="116"/>
      <c r="FT34" s="116"/>
      <c r="FU34" s="116"/>
      <c r="FV34" s="116"/>
      <c r="FW34" s="116"/>
      <c r="FX34" s="116"/>
      <c r="FY34" s="116"/>
      <c r="FZ34" s="116"/>
      <c r="GA34" s="116"/>
      <c r="GB34" s="116"/>
      <c r="GC34" s="116"/>
      <c r="GD34" s="116"/>
      <c r="GE34" s="116"/>
      <c r="GF34" s="116"/>
      <c r="GG34" s="116"/>
      <c r="GH34" s="116"/>
      <c r="GI34" s="116"/>
      <c r="GJ34" s="116"/>
      <c r="GK34" s="116"/>
      <c r="GL34" s="116"/>
      <c r="GM34" s="116"/>
      <c r="GN34" s="116"/>
      <c r="GO34" s="116"/>
      <c r="GP34" s="116"/>
      <c r="GQ34" s="116"/>
      <c r="GR34" s="116"/>
      <c r="GS34" s="116"/>
      <c r="GT34" s="116"/>
      <c r="GU34" s="116"/>
      <c r="GV34" s="116"/>
      <c r="GW34" s="116"/>
      <c r="GX34" s="116"/>
      <c r="GY34" s="116"/>
      <c r="GZ34" s="116"/>
      <c r="HA34" s="116"/>
      <c r="HB34" s="116"/>
      <c r="HC34" s="116"/>
      <c r="HD34" s="116"/>
      <c r="HE34" s="116"/>
      <c r="HF34" s="116"/>
      <c r="HG34" s="116"/>
      <c r="HH34" s="116"/>
      <c r="HI34" s="116"/>
      <c r="HJ34" s="116"/>
      <c r="HK34" s="116"/>
      <c r="HL34" s="116"/>
      <c r="HM34" s="116"/>
      <c r="HN34" s="116"/>
      <c r="HO34" s="116"/>
      <c r="HP34" s="116"/>
      <c r="HQ34" s="116"/>
      <c r="HR34" s="116"/>
      <c r="HS34" s="116"/>
      <c r="HT34" s="116"/>
      <c r="HU34" s="116"/>
      <c r="HV34" s="116"/>
      <c r="HW34" s="116"/>
      <c r="HX34" s="116"/>
      <c r="HY34" s="116"/>
      <c r="HZ34" s="116"/>
      <c r="IA34" s="116"/>
      <c r="IB34" s="116"/>
      <c r="IC34" s="116"/>
      <c r="ID34" s="116"/>
      <c r="IE34" s="116"/>
      <c r="IF34" s="116"/>
      <c r="IG34" s="116"/>
      <c r="IH34" s="116"/>
      <c r="II34" s="116"/>
      <c r="IJ34" s="116"/>
      <c r="IK34" s="116"/>
      <c r="IL34" s="116"/>
      <c r="IM34" s="116"/>
      <c r="IN34" s="116"/>
      <c r="IO34" s="116"/>
      <c r="IP34" s="116"/>
      <c r="IQ34" s="116"/>
      <c r="IR34" s="117"/>
    </row>
    <row r="35" spans="1:252" s="118" customFormat="1" ht="27" customHeight="1">
      <c r="A35" s="100"/>
      <c r="B35" s="101"/>
      <c r="C35" s="146" t="s">
        <v>58</v>
      </c>
      <c r="D35" s="142"/>
      <c r="E35" s="143">
        <v>1111924.3500000001</v>
      </c>
      <c r="F35" s="144"/>
      <c r="G35" s="121">
        <v>0.7</v>
      </c>
      <c r="H35" s="107">
        <f t="shared" si="1"/>
        <v>0.63002002789128586</v>
      </c>
      <c r="I35" s="109">
        <v>700534.61</v>
      </c>
      <c r="J35" s="109">
        <f t="shared" si="0"/>
        <v>411389.74000000011</v>
      </c>
      <c r="K35" s="127"/>
      <c r="L35" s="111"/>
      <c r="M35" s="112"/>
      <c r="N35" s="113"/>
      <c r="O35" s="140"/>
      <c r="P35" s="115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/>
      <c r="DY35" s="116"/>
      <c r="DZ35" s="116"/>
      <c r="EA35" s="116"/>
      <c r="EB35" s="116"/>
      <c r="EC35" s="116"/>
      <c r="ED35" s="116"/>
      <c r="EE35" s="116"/>
      <c r="EF35" s="116"/>
      <c r="EG35" s="116"/>
      <c r="EH35" s="116"/>
      <c r="EI35" s="116"/>
      <c r="EJ35" s="116"/>
      <c r="EK35" s="116"/>
      <c r="EL35" s="116"/>
      <c r="EM35" s="116"/>
      <c r="EN35" s="116"/>
      <c r="EO35" s="116"/>
      <c r="EP35" s="116"/>
      <c r="EQ35" s="116"/>
      <c r="ER35" s="116"/>
      <c r="ES35" s="116"/>
      <c r="ET35" s="116"/>
      <c r="EU35" s="116"/>
      <c r="EV35" s="116"/>
      <c r="EW35" s="116"/>
      <c r="EX35" s="116"/>
      <c r="EY35" s="116"/>
      <c r="EZ35" s="116"/>
      <c r="FA35" s="116"/>
      <c r="FB35" s="116"/>
      <c r="FC35" s="116"/>
      <c r="FD35" s="116"/>
      <c r="FE35" s="116"/>
      <c r="FF35" s="116"/>
      <c r="FG35" s="116"/>
      <c r="FH35" s="116"/>
      <c r="FI35" s="116"/>
      <c r="FJ35" s="116"/>
      <c r="FK35" s="116"/>
      <c r="FL35" s="116"/>
      <c r="FM35" s="116"/>
      <c r="FN35" s="116"/>
      <c r="FO35" s="116"/>
      <c r="FP35" s="116"/>
      <c r="FQ35" s="116"/>
      <c r="FR35" s="116"/>
      <c r="FS35" s="116"/>
      <c r="FT35" s="116"/>
      <c r="FU35" s="116"/>
      <c r="FV35" s="116"/>
      <c r="FW35" s="116"/>
      <c r="FX35" s="116"/>
      <c r="FY35" s="116"/>
      <c r="FZ35" s="116"/>
      <c r="GA35" s="116"/>
      <c r="GB35" s="116"/>
      <c r="GC35" s="116"/>
      <c r="GD35" s="116"/>
      <c r="GE35" s="116"/>
      <c r="GF35" s="116"/>
      <c r="GG35" s="116"/>
      <c r="GH35" s="116"/>
      <c r="GI35" s="116"/>
      <c r="GJ35" s="116"/>
      <c r="GK35" s="116"/>
      <c r="GL35" s="116"/>
      <c r="GM35" s="116"/>
      <c r="GN35" s="116"/>
      <c r="GO35" s="116"/>
      <c r="GP35" s="116"/>
      <c r="GQ35" s="116"/>
      <c r="GR35" s="116"/>
      <c r="GS35" s="116"/>
      <c r="GT35" s="116"/>
      <c r="GU35" s="116"/>
      <c r="GV35" s="116"/>
      <c r="GW35" s="116"/>
      <c r="GX35" s="116"/>
      <c r="GY35" s="116"/>
      <c r="GZ35" s="116"/>
      <c r="HA35" s="116"/>
      <c r="HB35" s="116"/>
      <c r="HC35" s="116"/>
      <c r="HD35" s="116"/>
      <c r="HE35" s="116"/>
      <c r="HF35" s="116"/>
      <c r="HG35" s="116"/>
      <c r="HH35" s="116"/>
      <c r="HI35" s="116"/>
      <c r="HJ35" s="116"/>
      <c r="HK35" s="116"/>
      <c r="HL35" s="116"/>
      <c r="HM35" s="116"/>
      <c r="HN35" s="116"/>
      <c r="HO35" s="116"/>
      <c r="HP35" s="116"/>
      <c r="HQ35" s="116"/>
      <c r="HR35" s="116"/>
      <c r="HS35" s="116"/>
      <c r="HT35" s="116"/>
      <c r="HU35" s="116"/>
      <c r="HV35" s="116"/>
      <c r="HW35" s="116"/>
      <c r="HX35" s="116"/>
      <c r="HY35" s="116"/>
      <c r="HZ35" s="116"/>
      <c r="IA35" s="116"/>
      <c r="IB35" s="116"/>
      <c r="IC35" s="116"/>
      <c r="ID35" s="116"/>
      <c r="IE35" s="116"/>
      <c r="IF35" s="116"/>
      <c r="IG35" s="116"/>
      <c r="IH35" s="116"/>
      <c r="II35" s="116"/>
      <c r="IJ35" s="116"/>
      <c r="IK35" s="116"/>
      <c r="IL35" s="116"/>
      <c r="IM35" s="116"/>
      <c r="IN35" s="116"/>
      <c r="IO35" s="116"/>
      <c r="IP35" s="116"/>
      <c r="IQ35" s="116"/>
      <c r="IR35" s="117"/>
    </row>
    <row r="36" spans="1:252" s="118" customFormat="1" ht="27" customHeight="1">
      <c r="A36" s="100"/>
      <c r="B36" s="101"/>
      <c r="C36" s="119" t="s">
        <v>59</v>
      </c>
      <c r="D36" s="142">
        <v>1000000</v>
      </c>
      <c r="E36" s="143">
        <v>797876.6</v>
      </c>
      <c r="F36" s="144"/>
      <c r="G36" s="121">
        <v>0.7</v>
      </c>
      <c r="H36" s="107">
        <f t="shared" si="1"/>
        <v>0.82719558387850955</v>
      </c>
      <c r="I36" s="109">
        <v>660000</v>
      </c>
      <c r="J36" s="109">
        <f t="shared" si="0"/>
        <v>137876.59999999998</v>
      </c>
      <c r="K36" s="145"/>
      <c r="L36" s="111"/>
      <c r="M36" s="112"/>
      <c r="N36" s="113"/>
      <c r="O36" s="140"/>
      <c r="P36" s="115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  <c r="DP36" s="116"/>
      <c r="DQ36" s="116"/>
      <c r="DR36" s="116"/>
      <c r="DS36" s="116"/>
      <c r="DT36" s="116"/>
      <c r="DU36" s="116"/>
      <c r="DV36" s="116"/>
      <c r="DW36" s="116"/>
      <c r="DX36" s="116"/>
      <c r="DY36" s="116"/>
      <c r="DZ36" s="116"/>
      <c r="EA36" s="116"/>
      <c r="EB36" s="116"/>
      <c r="EC36" s="116"/>
      <c r="ED36" s="116"/>
      <c r="EE36" s="116"/>
      <c r="EF36" s="116"/>
      <c r="EG36" s="116"/>
      <c r="EH36" s="116"/>
      <c r="EI36" s="116"/>
      <c r="EJ36" s="116"/>
      <c r="EK36" s="116"/>
      <c r="EL36" s="116"/>
      <c r="EM36" s="116"/>
      <c r="EN36" s="116"/>
      <c r="EO36" s="116"/>
      <c r="EP36" s="116"/>
      <c r="EQ36" s="116"/>
      <c r="ER36" s="116"/>
      <c r="ES36" s="116"/>
      <c r="ET36" s="116"/>
      <c r="EU36" s="116"/>
      <c r="EV36" s="116"/>
      <c r="EW36" s="116"/>
      <c r="EX36" s="116"/>
      <c r="EY36" s="116"/>
      <c r="EZ36" s="116"/>
      <c r="FA36" s="116"/>
      <c r="FB36" s="116"/>
      <c r="FC36" s="116"/>
      <c r="FD36" s="116"/>
      <c r="FE36" s="116"/>
      <c r="FF36" s="116"/>
      <c r="FG36" s="116"/>
      <c r="FH36" s="116"/>
      <c r="FI36" s="116"/>
      <c r="FJ36" s="116"/>
      <c r="FK36" s="116"/>
      <c r="FL36" s="116"/>
      <c r="FM36" s="116"/>
      <c r="FN36" s="116"/>
      <c r="FO36" s="116"/>
      <c r="FP36" s="116"/>
      <c r="FQ36" s="116"/>
      <c r="FR36" s="116"/>
      <c r="FS36" s="116"/>
      <c r="FT36" s="116"/>
      <c r="FU36" s="116"/>
      <c r="FV36" s="116"/>
      <c r="FW36" s="116"/>
      <c r="FX36" s="116"/>
      <c r="FY36" s="116"/>
      <c r="FZ36" s="116"/>
      <c r="GA36" s="116"/>
      <c r="GB36" s="116"/>
      <c r="GC36" s="116"/>
      <c r="GD36" s="116"/>
      <c r="GE36" s="116"/>
      <c r="GF36" s="116"/>
      <c r="GG36" s="116"/>
      <c r="GH36" s="116"/>
      <c r="GI36" s="116"/>
      <c r="GJ36" s="116"/>
      <c r="GK36" s="116"/>
      <c r="GL36" s="116"/>
      <c r="GM36" s="116"/>
      <c r="GN36" s="116"/>
      <c r="GO36" s="116"/>
      <c r="GP36" s="116"/>
      <c r="GQ36" s="116"/>
      <c r="GR36" s="116"/>
      <c r="GS36" s="116"/>
      <c r="GT36" s="116"/>
      <c r="GU36" s="116"/>
      <c r="GV36" s="116"/>
      <c r="GW36" s="116"/>
      <c r="GX36" s="116"/>
      <c r="GY36" s="116"/>
      <c r="GZ36" s="116"/>
      <c r="HA36" s="116"/>
      <c r="HB36" s="116"/>
      <c r="HC36" s="116"/>
      <c r="HD36" s="116"/>
      <c r="HE36" s="116"/>
      <c r="HF36" s="116"/>
      <c r="HG36" s="116"/>
      <c r="HH36" s="116"/>
      <c r="HI36" s="116"/>
      <c r="HJ36" s="116"/>
      <c r="HK36" s="116"/>
      <c r="HL36" s="116"/>
      <c r="HM36" s="116"/>
      <c r="HN36" s="116"/>
      <c r="HO36" s="116"/>
      <c r="HP36" s="116"/>
      <c r="HQ36" s="116"/>
      <c r="HR36" s="116"/>
      <c r="HS36" s="116"/>
      <c r="HT36" s="116"/>
      <c r="HU36" s="116"/>
      <c r="HV36" s="116"/>
      <c r="HW36" s="116"/>
      <c r="HX36" s="116"/>
      <c r="HY36" s="116"/>
      <c r="HZ36" s="116"/>
      <c r="IA36" s="116"/>
      <c r="IB36" s="116"/>
      <c r="IC36" s="116"/>
      <c r="ID36" s="116"/>
      <c r="IE36" s="116"/>
      <c r="IF36" s="116"/>
      <c r="IG36" s="116"/>
      <c r="IH36" s="116"/>
      <c r="II36" s="116"/>
      <c r="IJ36" s="116"/>
      <c r="IK36" s="116"/>
      <c r="IL36" s="116"/>
      <c r="IM36" s="116"/>
      <c r="IN36" s="116"/>
      <c r="IO36" s="116"/>
      <c r="IP36" s="116"/>
      <c r="IQ36" s="116"/>
      <c r="IR36" s="117"/>
    </row>
    <row r="37" spans="1:252" s="118" customFormat="1" ht="27" customHeight="1">
      <c r="A37" s="100"/>
      <c r="B37" s="101"/>
      <c r="C37" s="137" t="s">
        <v>60</v>
      </c>
      <c r="D37" s="120">
        <v>1000000</v>
      </c>
      <c r="E37" s="138">
        <v>1061950</v>
      </c>
      <c r="F37" s="108"/>
      <c r="G37" s="121">
        <v>1</v>
      </c>
      <c r="H37" s="107">
        <f t="shared" si="1"/>
        <v>0.99557417957530958</v>
      </c>
      <c r="I37" s="139">
        <v>1057250</v>
      </c>
      <c r="J37" s="109">
        <f t="shared" si="0"/>
        <v>4700</v>
      </c>
      <c r="K37" s="111"/>
      <c r="L37" s="111"/>
      <c r="M37" s="112"/>
      <c r="N37" s="113"/>
      <c r="O37" s="140"/>
      <c r="P37" s="115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  <c r="EC37" s="116"/>
      <c r="ED37" s="116"/>
      <c r="EE37" s="116"/>
      <c r="EF37" s="116"/>
      <c r="EG37" s="116"/>
      <c r="EH37" s="116"/>
      <c r="EI37" s="116"/>
      <c r="EJ37" s="116"/>
      <c r="EK37" s="116"/>
      <c r="EL37" s="116"/>
      <c r="EM37" s="116"/>
      <c r="EN37" s="116"/>
      <c r="EO37" s="116"/>
      <c r="EP37" s="116"/>
      <c r="EQ37" s="116"/>
      <c r="ER37" s="116"/>
      <c r="ES37" s="116"/>
      <c r="ET37" s="116"/>
      <c r="EU37" s="116"/>
      <c r="EV37" s="116"/>
      <c r="EW37" s="116"/>
      <c r="EX37" s="116"/>
      <c r="EY37" s="116"/>
      <c r="EZ37" s="116"/>
      <c r="FA37" s="116"/>
      <c r="FB37" s="116"/>
      <c r="FC37" s="116"/>
      <c r="FD37" s="116"/>
      <c r="FE37" s="116"/>
      <c r="FF37" s="116"/>
      <c r="FG37" s="116"/>
      <c r="FH37" s="116"/>
      <c r="FI37" s="116"/>
      <c r="FJ37" s="116"/>
      <c r="FK37" s="116"/>
      <c r="FL37" s="116"/>
      <c r="FM37" s="116"/>
      <c r="FN37" s="116"/>
      <c r="FO37" s="116"/>
      <c r="FP37" s="116"/>
      <c r="FQ37" s="116"/>
      <c r="FR37" s="116"/>
      <c r="FS37" s="116"/>
      <c r="FT37" s="116"/>
      <c r="FU37" s="116"/>
      <c r="FV37" s="116"/>
      <c r="FW37" s="116"/>
      <c r="FX37" s="116"/>
      <c r="FY37" s="116"/>
      <c r="FZ37" s="116"/>
      <c r="GA37" s="116"/>
      <c r="GB37" s="116"/>
      <c r="GC37" s="116"/>
      <c r="GD37" s="116"/>
      <c r="GE37" s="116"/>
      <c r="GF37" s="116"/>
      <c r="GG37" s="116"/>
      <c r="GH37" s="116"/>
      <c r="GI37" s="116"/>
      <c r="GJ37" s="116"/>
      <c r="GK37" s="116"/>
      <c r="GL37" s="116"/>
      <c r="GM37" s="116"/>
      <c r="GN37" s="116"/>
      <c r="GO37" s="116"/>
      <c r="GP37" s="116"/>
      <c r="GQ37" s="116"/>
      <c r="GR37" s="116"/>
      <c r="GS37" s="116"/>
      <c r="GT37" s="116"/>
      <c r="GU37" s="116"/>
      <c r="GV37" s="116"/>
      <c r="GW37" s="116"/>
      <c r="GX37" s="116"/>
      <c r="GY37" s="116"/>
      <c r="GZ37" s="116"/>
      <c r="HA37" s="116"/>
      <c r="HB37" s="116"/>
      <c r="HC37" s="116"/>
      <c r="HD37" s="116"/>
      <c r="HE37" s="116"/>
      <c r="HF37" s="116"/>
      <c r="HG37" s="116"/>
      <c r="HH37" s="116"/>
      <c r="HI37" s="116"/>
      <c r="HJ37" s="116"/>
      <c r="HK37" s="116"/>
      <c r="HL37" s="116"/>
      <c r="HM37" s="116"/>
      <c r="HN37" s="116"/>
      <c r="HO37" s="116"/>
      <c r="HP37" s="116"/>
      <c r="HQ37" s="116"/>
      <c r="HR37" s="116"/>
      <c r="HS37" s="116"/>
      <c r="HT37" s="116"/>
      <c r="HU37" s="116"/>
      <c r="HV37" s="116"/>
      <c r="HW37" s="116"/>
      <c r="HX37" s="116"/>
      <c r="HY37" s="116"/>
      <c r="HZ37" s="116"/>
      <c r="IA37" s="116"/>
      <c r="IB37" s="116"/>
      <c r="IC37" s="116"/>
      <c r="ID37" s="116"/>
      <c r="IE37" s="116"/>
      <c r="IF37" s="116"/>
      <c r="IG37" s="116"/>
      <c r="IH37" s="116"/>
      <c r="II37" s="116"/>
      <c r="IJ37" s="116"/>
      <c r="IK37" s="116"/>
      <c r="IL37" s="116"/>
      <c r="IM37" s="116"/>
      <c r="IN37" s="116"/>
      <c r="IO37" s="116"/>
      <c r="IP37" s="116"/>
      <c r="IQ37" s="116"/>
      <c r="IR37" s="117"/>
    </row>
    <row r="38" spans="1:252" s="118" customFormat="1" ht="36" customHeight="1">
      <c r="A38" s="100"/>
      <c r="B38" s="101"/>
      <c r="C38" s="137" t="s">
        <v>61</v>
      </c>
      <c r="D38" s="120">
        <v>1000000</v>
      </c>
      <c r="E38" s="138">
        <v>1765250</v>
      </c>
      <c r="F38" s="108"/>
      <c r="G38" s="121">
        <v>1</v>
      </c>
      <c r="H38" s="107">
        <f t="shared" si="1"/>
        <v>0.96091205211726383</v>
      </c>
      <c r="I38" s="139">
        <v>1696250</v>
      </c>
      <c r="J38" s="109">
        <f t="shared" si="0"/>
        <v>69000</v>
      </c>
      <c r="K38" s="111"/>
      <c r="L38" s="111"/>
      <c r="M38" s="112"/>
      <c r="N38" s="113"/>
      <c r="O38" s="140"/>
      <c r="P38" s="115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  <c r="DP38" s="116"/>
      <c r="DQ38" s="116"/>
      <c r="DR38" s="116"/>
      <c r="DS38" s="116"/>
      <c r="DT38" s="116"/>
      <c r="DU38" s="116"/>
      <c r="DV38" s="116"/>
      <c r="DW38" s="116"/>
      <c r="DX38" s="116"/>
      <c r="DY38" s="116"/>
      <c r="DZ38" s="116"/>
      <c r="EA38" s="116"/>
      <c r="EB38" s="116"/>
      <c r="EC38" s="116"/>
      <c r="ED38" s="116"/>
      <c r="EE38" s="116"/>
      <c r="EF38" s="116"/>
      <c r="EG38" s="116"/>
      <c r="EH38" s="116"/>
      <c r="EI38" s="116"/>
      <c r="EJ38" s="116"/>
      <c r="EK38" s="116"/>
      <c r="EL38" s="116"/>
      <c r="EM38" s="116"/>
      <c r="EN38" s="116"/>
      <c r="EO38" s="116"/>
      <c r="EP38" s="116"/>
      <c r="EQ38" s="116"/>
      <c r="ER38" s="116"/>
      <c r="ES38" s="116"/>
      <c r="ET38" s="116"/>
      <c r="EU38" s="116"/>
      <c r="EV38" s="116"/>
      <c r="EW38" s="116"/>
      <c r="EX38" s="116"/>
      <c r="EY38" s="116"/>
      <c r="EZ38" s="116"/>
      <c r="FA38" s="116"/>
      <c r="FB38" s="116"/>
      <c r="FC38" s="116"/>
      <c r="FD38" s="116"/>
      <c r="FE38" s="116"/>
      <c r="FF38" s="116"/>
      <c r="FG38" s="116"/>
      <c r="FH38" s="116"/>
      <c r="FI38" s="116"/>
      <c r="FJ38" s="116"/>
      <c r="FK38" s="116"/>
      <c r="FL38" s="116"/>
      <c r="FM38" s="116"/>
      <c r="FN38" s="116"/>
      <c r="FO38" s="116"/>
      <c r="FP38" s="116"/>
      <c r="FQ38" s="116"/>
      <c r="FR38" s="116"/>
      <c r="FS38" s="116"/>
      <c r="FT38" s="116"/>
      <c r="FU38" s="116"/>
      <c r="FV38" s="116"/>
      <c r="FW38" s="116"/>
      <c r="FX38" s="116"/>
      <c r="FY38" s="116"/>
      <c r="FZ38" s="116"/>
      <c r="GA38" s="116"/>
      <c r="GB38" s="116"/>
      <c r="GC38" s="116"/>
      <c r="GD38" s="116"/>
      <c r="GE38" s="116"/>
      <c r="GF38" s="116"/>
      <c r="GG38" s="116"/>
      <c r="GH38" s="116"/>
      <c r="GI38" s="116"/>
      <c r="GJ38" s="116"/>
      <c r="GK38" s="116"/>
      <c r="GL38" s="116"/>
      <c r="GM38" s="116"/>
      <c r="GN38" s="116"/>
      <c r="GO38" s="116"/>
      <c r="GP38" s="116"/>
      <c r="GQ38" s="116"/>
      <c r="GR38" s="116"/>
      <c r="GS38" s="116"/>
      <c r="GT38" s="116"/>
      <c r="GU38" s="116"/>
      <c r="GV38" s="116"/>
      <c r="GW38" s="116"/>
      <c r="GX38" s="116"/>
      <c r="GY38" s="116"/>
      <c r="GZ38" s="116"/>
      <c r="HA38" s="116"/>
      <c r="HB38" s="116"/>
      <c r="HC38" s="116"/>
      <c r="HD38" s="116"/>
      <c r="HE38" s="116"/>
      <c r="HF38" s="116"/>
      <c r="HG38" s="116"/>
      <c r="HH38" s="116"/>
      <c r="HI38" s="116"/>
      <c r="HJ38" s="116"/>
      <c r="HK38" s="116"/>
      <c r="HL38" s="116"/>
      <c r="HM38" s="116"/>
      <c r="HN38" s="116"/>
      <c r="HO38" s="116"/>
      <c r="HP38" s="116"/>
      <c r="HQ38" s="116"/>
      <c r="HR38" s="116"/>
      <c r="HS38" s="116"/>
      <c r="HT38" s="116"/>
      <c r="HU38" s="116"/>
      <c r="HV38" s="116"/>
      <c r="HW38" s="116"/>
      <c r="HX38" s="116"/>
      <c r="HY38" s="116"/>
      <c r="HZ38" s="116"/>
      <c r="IA38" s="116"/>
      <c r="IB38" s="116"/>
      <c r="IC38" s="116"/>
      <c r="ID38" s="116"/>
      <c r="IE38" s="116"/>
      <c r="IF38" s="116"/>
      <c r="IG38" s="116"/>
      <c r="IH38" s="116"/>
      <c r="II38" s="116"/>
      <c r="IJ38" s="116"/>
      <c r="IK38" s="116"/>
      <c r="IL38" s="116"/>
      <c r="IM38" s="116"/>
      <c r="IN38" s="116"/>
      <c r="IO38" s="116"/>
      <c r="IP38" s="116"/>
      <c r="IQ38" s="116"/>
      <c r="IR38" s="117"/>
    </row>
    <row r="39" spans="1:252" s="118" customFormat="1" ht="27" customHeight="1">
      <c r="A39" s="100"/>
      <c r="B39" s="101"/>
      <c r="C39" s="119" t="s">
        <v>62</v>
      </c>
      <c r="D39" s="120"/>
      <c r="E39" s="108">
        <f>22920+9380</f>
        <v>32300</v>
      </c>
      <c r="F39" s="108"/>
      <c r="G39" s="121">
        <v>1</v>
      </c>
      <c r="H39" s="107">
        <v>1</v>
      </c>
      <c r="I39" s="108">
        <v>22920</v>
      </c>
      <c r="J39" s="109">
        <f t="shared" si="0"/>
        <v>9380</v>
      </c>
      <c r="K39" s="111"/>
      <c r="L39" s="111"/>
      <c r="M39" s="112"/>
      <c r="N39" s="113"/>
      <c r="O39" s="140"/>
      <c r="P39" s="115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  <c r="DP39" s="116"/>
      <c r="DQ39" s="116"/>
      <c r="DR39" s="116"/>
      <c r="DS39" s="116"/>
      <c r="DT39" s="116"/>
      <c r="DU39" s="116"/>
      <c r="DV39" s="116"/>
      <c r="DW39" s="116"/>
      <c r="DX39" s="116"/>
      <c r="DY39" s="116"/>
      <c r="DZ39" s="116"/>
      <c r="EA39" s="116"/>
      <c r="EB39" s="116"/>
      <c r="EC39" s="116"/>
      <c r="ED39" s="116"/>
      <c r="EE39" s="116"/>
      <c r="EF39" s="116"/>
      <c r="EG39" s="116"/>
      <c r="EH39" s="116"/>
      <c r="EI39" s="116"/>
      <c r="EJ39" s="116"/>
      <c r="EK39" s="116"/>
      <c r="EL39" s="116"/>
      <c r="EM39" s="116"/>
      <c r="EN39" s="116"/>
      <c r="EO39" s="116"/>
      <c r="EP39" s="116"/>
      <c r="EQ39" s="116"/>
      <c r="ER39" s="116"/>
      <c r="ES39" s="116"/>
      <c r="ET39" s="116"/>
      <c r="EU39" s="116"/>
      <c r="EV39" s="116"/>
      <c r="EW39" s="116"/>
      <c r="EX39" s="116"/>
      <c r="EY39" s="116"/>
      <c r="EZ39" s="116"/>
      <c r="FA39" s="116"/>
      <c r="FB39" s="116"/>
      <c r="FC39" s="116"/>
      <c r="FD39" s="116"/>
      <c r="FE39" s="116"/>
      <c r="FF39" s="116"/>
      <c r="FG39" s="116"/>
      <c r="FH39" s="116"/>
      <c r="FI39" s="116"/>
      <c r="FJ39" s="116"/>
      <c r="FK39" s="116"/>
      <c r="FL39" s="116"/>
      <c r="FM39" s="116"/>
      <c r="FN39" s="116"/>
      <c r="FO39" s="116"/>
      <c r="FP39" s="116"/>
      <c r="FQ39" s="116"/>
      <c r="FR39" s="116"/>
      <c r="FS39" s="116"/>
      <c r="FT39" s="116"/>
      <c r="FU39" s="116"/>
      <c r="FV39" s="116"/>
      <c r="FW39" s="116"/>
      <c r="FX39" s="116"/>
      <c r="FY39" s="116"/>
      <c r="FZ39" s="116"/>
      <c r="GA39" s="116"/>
      <c r="GB39" s="116"/>
      <c r="GC39" s="116"/>
      <c r="GD39" s="116"/>
      <c r="GE39" s="116"/>
      <c r="GF39" s="116"/>
      <c r="GG39" s="116"/>
      <c r="GH39" s="116"/>
      <c r="GI39" s="116"/>
      <c r="GJ39" s="116"/>
      <c r="GK39" s="116"/>
      <c r="GL39" s="116"/>
      <c r="GM39" s="116"/>
      <c r="GN39" s="116"/>
      <c r="GO39" s="116"/>
      <c r="GP39" s="116"/>
      <c r="GQ39" s="116"/>
      <c r="GR39" s="116"/>
      <c r="GS39" s="116"/>
      <c r="GT39" s="116"/>
      <c r="GU39" s="116"/>
      <c r="GV39" s="116"/>
      <c r="GW39" s="116"/>
      <c r="GX39" s="116"/>
      <c r="GY39" s="116"/>
      <c r="GZ39" s="116"/>
      <c r="HA39" s="116"/>
      <c r="HB39" s="116"/>
      <c r="HC39" s="116"/>
      <c r="HD39" s="116"/>
      <c r="HE39" s="116"/>
      <c r="HF39" s="116"/>
      <c r="HG39" s="116"/>
      <c r="HH39" s="116"/>
      <c r="HI39" s="116"/>
      <c r="HJ39" s="116"/>
      <c r="HK39" s="116"/>
      <c r="HL39" s="116"/>
      <c r="HM39" s="116"/>
      <c r="HN39" s="116"/>
      <c r="HO39" s="116"/>
      <c r="HP39" s="116"/>
      <c r="HQ39" s="116"/>
      <c r="HR39" s="116"/>
      <c r="HS39" s="116"/>
      <c r="HT39" s="116"/>
      <c r="HU39" s="116"/>
      <c r="HV39" s="116"/>
      <c r="HW39" s="116"/>
      <c r="HX39" s="116"/>
      <c r="HY39" s="116"/>
      <c r="HZ39" s="116"/>
      <c r="IA39" s="116"/>
      <c r="IB39" s="116"/>
      <c r="IC39" s="116"/>
      <c r="ID39" s="116"/>
      <c r="IE39" s="116"/>
      <c r="IF39" s="116"/>
      <c r="IG39" s="116"/>
      <c r="IH39" s="116"/>
      <c r="II39" s="116"/>
      <c r="IJ39" s="116"/>
      <c r="IK39" s="116"/>
      <c r="IL39" s="116"/>
      <c r="IM39" s="116"/>
      <c r="IN39" s="116"/>
      <c r="IO39" s="116"/>
      <c r="IP39" s="116"/>
      <c r="IQ39" s="116"/>
      <c r="IR39" s="117"/>
    </row>
    <row r="40" spans="1:252" s="118" customFormat="1" ht="27" customHeight="1">
      <c r="A40" s="100"/>
      <c r="B40" s="101"/>
      <c r="C40" s="119" t="s">
        <v>63</v>
      </c>
      <c r="D40" s="120"/>
      <c r="E40" s="108">
        <v>1187132.21</v>
      </c>
      <c r="F40" s="108"/>
      <c r="G40" s="121">
        <v>1</v>
      </c>
      <c r="H40" s="107">
        <v>1</v>
      </c>
      <c r="I40" s="108">
        <v>1187132.21</v>
      </c>
      <c r="J40" s="109">
        <f t="shared" si="0"/>
        <v>0</v>
      </c>
      <c r="K40" s="111"/>
      <c r="L40" s="111"/>
      <c r="M40" s="112"/>
      <c r="N40" s="113"/>
      <c r="O40" s="140"/>
      <c r="P40" s="115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  <c r="DS40" s="116"/>
      <c r="DT40" s="116"/>
      <c r="DU40" s="116"/>
      <c r="DV40" s="116"/>
      <c r="DW40" s="116"/>
      <c r="DX40" s="116"/>
      <c r="DY40" s="116"/>
      <c r="DZ40" s="116"/>
      <c r="EA40" s="116"/>
      <c r="EB40" s="116"/>
      <c r="EC40" s="116"/>
      <c r="ED40" s="116"/>
      <c r="EE40" s="116"/>
      <c r="EF40" s="116"/>
      <c r="EG40" s="116"/>
      <c r="EH40" s="116"/>
      <c r="EI40" s="116"/>
      <c r="EJ40" s="116"/>
      <c r="EK40" s="116"/>
      <c r="EL40" s="116"/>
      <c r="EM40" s="116"/>
      <c r="EN40" s="116"/>
      <c r="EO40" s="116"/>
      <c r="EP40" s="116"/>
      <c r="EQ40" s="116"/>
      <c r="ER40" s="116"/>
      <c r="ES40" s="116"/>
      <c r="ET40" s="116"/>
      <c r="EU40" s="116"/>
      <c r="EV40" s="116"/>
      <c r="EW40" s="116"/>
      <c r="EX40" s="116"/>
      <c r="EY40" s="116"/>
      <c r="EZ40" s="116"/>
      <c r="FA40" s="116"/>
      <c r="FB40" s="116"/>
      <c r="FC40" s="116"/>
      <c r="FD40" s="116"/>
      <c r="FE40" s="116"/>
      <c r="FF40" s="116"/>
      <c r="FG40" s="116"/>
      <c r="FH40" s="116"/>
      <c r="FI40" s="116"/>
      <c r="FJ40" s="116"/>
      <c r="FK40" s="116"/>
      <c r="FL40" s="116"/>
      <c r="FM40" s="116"/>
      <c r="FN40" s="116"/>
      <c r="FO40" s="116"/>
      <c r="FP40" s="116"/>
      <c r="FQ40" s="116"/>
      <c r="FR40" s="116"/>
      <c r="FS40" s="116"/>
      <c r="FT40" s="116"/>
      <c r="FU40" s="116"/>
      <c r="FV40" s="116"/>
      <c r="FW40" s="116"/>
      <c r="FX40" s="116"/>
      <c r="FY40" s="116"/>
      <c r="FZ40" s="116"/>
      <c r="GA40" s="116"/>
      <c r="GB40" s="116"/>
      <c r="GC40" s="116"/>
      <c r="GD40" s="116"/>
      <c r="GE40" s="116"/>
      <c r="GF40" s="116"/>
      <c r="GG40" s="116"/>
      <c r="GH40" s="116"/>
      <c r="GI40" s="116"/>
      <c r="GJ40" s="116"/>
      <c r="GK40" s="116"/>
      <c r="GL40" s="116"/>
      <c r="GM40" s="116"/>
      <c r="GN40" s="116"/>
      <c r="GO40" s="116"/>
      <c r="GP40" s="116"/>
      <c r="GQ40" s="116"/>
      <c r="GR40" s="116"/>
      <c r="GS40" s="116"/>
      <c r="GT40" s="116"/>
      <c r="GU40" s="116"/>
      <c r="GV40" s="116"/>
      <c r="GW40" s="116"/>
      <c r="GX40" s="116"/>
      <c r="GY40" s="116"/>
      <c r="GZ40" s="116"/>
      <c r="HA40" s="116"/>
      <c r="HB40" s="116"/>
      <c r="HC40" s="116"/>
      <c r="HD40" s="116"/>
      <c r="HE40" s="116"/>
      <c r="HF40" s="116"/>
      <c r="HG40" s="116"/>
      <c r="HH40" s="116"/>
      <c r="HI40" s="116"/>
      <c r="HJ40" s="116"/>
      <c r="HK40" s="116"/>
      <c r="HL40" s="116"/>
      <c r="HM40" s="116"/>
      <c r="HN40" s="116"/>
      <c r="HO40" s="116"/>
      <c r="HP40" s="116"/>
      <c r="HQ40" s="116"/>
      <c r="HR40" s="116"/>
      <c r="HS40" s="116"/>
      <c r="HT40" s="116"/>
      <c r="HU40" s="116"/>
      <c r="HV40" s="116"/>
      <c r="HW40" s="116"/>
      <c r="HX40" s="116"/>
      <c r="HY40" s="116"/>
      <c r="HZ40" s="116"/>
      <c r="IA40" s="116"/>
      <c r="IB40" s="116"/>
      <c r="IC40" s="116"/>
      <c r="ID40" s="116"/>
      <c r="IE40" s="116"/>
      <c r="IF40" s="116"/>
      <c r="IG40" s="116"/>
      <c r="IH40" s="116"/>
      <c r="II40" s="116"/>
      <c r="IJ40" s="116"/>
      <c r="IK40" s="116"/>
      <c r="IL40" s="116"/>
      <c r="IM40" s="116"/>
      <c r="IN40" s="116"/>
      <c r="IO40" s="116"/>
      <c r="IP40" s="116"/>
      <c r="IQ40" s="116"/>
      <c r="IR40" s="117"/>
    </row>
    <row r="41" spans="1:252" s="118" customFormat="1" ht="27" customHeight="1">
      <c r="A41" s="100"/>
      <c r="B41" s="101"/>
      <c r="C41" s="119" t="s">
        <v>64</v>
      </c>
      <c r="D41" s="120"/>
      <c r="E41" s="108">
        <v>2519820</v>
      </c>
      <c r="F41" s="108"/>
      <c r="G41" s="121">
        <v>1</v>
      </c>
      <c r="H41" s="107">
        <v>1</v>
      </c>
      <c r="I41" s="108">
        <v>2519820</v>
      </c>
      <c r="J41" s="109">
        <f t="shared" si="0"/>
        <v>0</v>
      </c>
      <c r="K41" s="111"/>
      <c r="L41" s="111"/>
      <c r="M41" s="112"/>
      <c r="N41" s="113"/>
      <c r="O41" s="140"/>
      <c r="P41" s="115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  <c r="DP41" s="116"/>
      <c r="DQ41" s="116"/>
      <c r="DR41" s="116"/>
      <c r="DS41" s="116"/>
      <c r="DT41" s="116"/>
      <c r="DU41" s="116"/>
      <c r="DV41" s="116"/>
      <c r="DW41" s="116"/>
      <c r="DX41" s="116"/>
      <c r="DY41" s="116"/>
      <c r="DZ41" s="116"/>
      <c r="EA41" s="116"/>
      <c r="EB41" s="116"/>
      <c r="EC41" s="116"/>
      <c r="ED41" s="116"/>
      <c r="EE41" s="116"/>
      <c r="EF41" s="116"/>
      <c r="EG41" s="116"/>
      <c r="EH41" s="116"/>
      <c r="EI41" s="116"/>
      <c r="EJ41" s="116"/>
      <c r="EK41" s="116"/>
      <c r="EL41" s="116"/>
      <c r="EM41" s="116"/>
      <c r="EN41" s="116"/>
      <c r="EO41" s="116"/>
      <c r="EP41" s="116"/>
      <c r="EQ41" s="116"/>
      <c r="ER41" s="116"/>
      <c r="ES41" s="116"/>
      <c r="ET41" s="116"/>
      <c r="EU41" s="116"/>
      <c r="EV41" s="116"/>
      <c r="EW41" s="116"/>
      <c r="EX41" s="116"/>
      <c r="EY41" s="116"/>
      <c r="EZ41" s="116"/>
      <c r="FA41" s="116"/>
      <c r="FB41" s="116"/>
      <c r="FC41" s="116"/>
      <c r="FD41" s="116"/>
      <c r="FE41" s="116"/>
      <c r="FF41" s="116"/>
      <c r="FG41" s="116"/>
      <c r="FH41" s="116"/>
      <c r="FI41" s="116"/>
      <c r="FJ41" s="116"/>
      <c r="FK41" s="116"/>
      <c r="FL41" s="116"/>
      <c r="FM41" s="116"/>
      <c r="FN41" s="116"/>
      <c r="FO41" s="116"/>
      <c r="FP41" s="116"/>
      <c r="FQ41" s="116"/>
      <c r="FR41" s="116"/>
      <c r="FS41" s="116"/>
      <c r="FT41" s="116"/>
      <c r="FU41" s="116"/>
      <c r="FV41" s="116"/>
      <c r="FW41" s="116"/>
      <c r="FX41" s="116"/>
      <c r="FY41" s="116"/>
      <c r="FZ41" s="116"/>
      <c r="GA41" s="116"/>
      <c r="GB41" s="116"/>
      <c r="GC41" s="116"/>
      <c r="GD41" s="116"/>
      <c r="GE41" s="116"/>
      <c r="GF41" s="116"/>
      <c r="GG41" s="116"/>
      <c r="GH41" s="116"/>
      <c r="GI41" s="116"/>
      <c r="GJ41" s="116"/>
      <c r="GK41" s="116"/>
      <c r="GL41" s="116"/>
      <c r="GM41" s="116"/>
      <c r="GN41" s="116"/>
      <c r="GO41" s="116"/>
      <c r="GP41" s="116"/>
      <c r="GQ41" s="116"/>
      <c r="GR41" s="116"/>
      <c r="GS41" s="116"/>
      <c r="GT41" s="116"/>
      <c r="GU41" s="116"/>
      <c r="GV41" s="116"/>
      <c r="GW41" s="116"/>
      <c r="GX41" s="116"/>
      <c r="GY41" s="116"/>
      <c r="GZ41" s="116"/>
      <c r="HA41" s="116"/>
      <c r="HB41" s="116"/>
      <c r="HC41" s="116"/>
      <c r="HD41" s="116"/>
      <c r="HE41" s="116"/>
      <c r="HF41" s="116"/>
      <c r="HG41" s="116"/>
      <c r="HH41" s="116"/>
      <c r="HI41" s="116"/>
      <c r="HJ41" s="116"/>
      <c r="HK41" s="116"/>
      <c r="HL41" s="116"/>
      <c r="HM41" s="116"/>
      <c r="HN41" s="116"/>
      <c r="HO41" s="116"/>
      <c r="HP41" s="116"/>
      <c r="HQ41" s="116"/>
      <c r="HR41" s="116"/>
      <c r="HS41" s="116"/>
      <c r="HT41" s="116"/>
      <c r="HU41" s="116"/>
      <c r="HV41" s="116"/>
      <c r="HW41" s="116"/>
      <c r="HX41" s="116"/>
      <c r="HY41" s="116"/>
      <c r="HZ41" s="116"/>
      <c r="IA41" s="116"/>
      <c r="IB41" s="116"/>
      <c r="IC41" s="116"/>
      <c r="ID41" s="116"/>
      <c r="IE41" s="116"/>
      <c r="IF41" s="116"/>
      <c r="IG41" s="116"/>
      <c r="IH41" s="116"/>
      <c r="II41" s="116"/>
      <c r="IJ41" s="116"/>
      <c r="IK41" s="116"/>
      <c r="IL41" s="116"/>
      <c r="IM41" s="116"/>
      <c r="IN41" s="116"/>
      <c r="IO41" s="116"/>
      <c r="IP41" s="116"/>
      <c r="IQ41" s="116"/>
      <c r="IR41" s="117"/>
    </row>
    <row r="42" spans="1:252" s="118" customFormat="1" ht="27" customHeight="1">
      <c r="A42" s="100"/>
      <c r="B42" s="101"/>
      <c r="C42" s="119" t="s">
        <v>65</v>
      </c>
      <c r="D42" s="120"/>
      <c r="E42" s="108">
        <v>275349.5</v>
      </c>
      <c r="F42" s="108"/>
      <c r="G42" s="121">
        <v>1</v>
      </c>
      <c r="H42" s="107">
        <v>1</v>
      </c>
      <c r="I42" s="108">
        <v>259879.5</v>
      </c>
      <c r="J42" s="109">
        <f t="shared" si="0"/>
        <v>15470</v>
      </c>
      <c r="K42" s="111"/>
      <c r="L42" s="111"/>
      <c r="M42" s="112"/>
      <c r="N42" s="113"/>
      <c r="O42" s="140"/>
      <c r="P42" s="115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16"/>
      <c r="DJ42" s="116"/>
      <c r="DK42" s="116"/>
      <c r="DL42" s="116"/>
      <c r="DM42" s="116"/>
      <c r="DN42" s="116"/>
      <c r="DO42" s="116"/>
      <c r="DP42" s="116"/>
      <c r="DQ42" s="116"/>
      <c r="DR42" s="116"/>
      <c r="DS42" s="116"/>
      <c r="DT42" s="116"/>
      <c r="DU42" s="116"/>
      <c r="DV42" s="116"/>
      <c r="DW42" s="116"/>
      <c r="DX42" s="116"/>
      <c r="DY42" s="116"/>
      <c r="DZ42" s="116"/>
      <c r="EA42" s="116"/>
      <c r="EB42" s="116"/>
      <c r="EC42" s="116"/>
      <c r="ED42" s="116"/>
      <c r="EE42" s="116"/>
      <c r="EF42" s="116"/>
      <c r="EG42" s="116"/>
      <c r="EH42" s="116"/>
      <c r="EI42" s="116"/>
      <c r="EJ42" s="116"/>
      <c r="EK42" s="116"/>
      <c r="EL42" s="116"/>
      <c r="EM42" s="116"/>
      <c r="EN42" s="116"/>
      <c r="EO42" s="116"/>
      <c r="EP42" s="116"/>
      <c r="EQ42" s="116"/>
      <c r="ER42" s="116"/>
      <c r="ES42" s="116"/>
      <c r="ET42" s="116"/>
      <c r="EU42" s="116"/>
      <c r="EV42" s="116"/>
      <c r="EW42" s="116"/>
      <c r="EX42" s="116"/>
      <c r="EY42" s="116"/>
      <c r="EZ42" s="116"/>
      <c r="FA42" s="116"/>
      <c r="FB42" s="116"/>
      <c r="FC42" s="116"/>
      <c r="FD42" s="116"/>
      <c r="FE42" s="116"/>
      <c r="FF42" s="116"/>
      <c r="FG42" s="116"/>
      <c r="FH42" s="116"/>
      <c r="FI42" s="116"/>
      <c r="FJ42" s="116"/>
      <c r="FK42" s="116"/>
      <c r="FL42" s="116"/>
      <c r="FM42" s="116"/>
      <c r="FN42" s="116"/>
      <c r="FO42" s="116"/>
      <c r="FP42" s="116"/>
      <c r="FQ42" s="116"/>
      <c r="FR42" s="116"/>
      <c r="FS42" s="116"/>
      <c r="FT42" s="116"/>
      <c r="FU42" s="116"/>
      <c r="FV42" s="116"/>
      <c r="FW42" s="116"/>
      <c r="FX42" s="116"/>
      <c r="FY42" s="116"/>
      <c r="FZ42" s="116"/>
      <c r="GA42" s="116"/>
      <c r="GB42" s="116"/>
      <c r="GC42" s="116"/>
      <c r="GD42" s="116"/>
      <c r="GE42" s="116"/>
      <c r="GF42" s="116"/>
      <c r="GG42" s="116"/>
      <c r="GH42" s="116"/>
      <c r="GI42" s="116"/>
      <c r="GJ42" s="116"/>
      <c r="GK42" s="116"/>
      <c r="GL42" s="116"/>
      <c r="GM42" s="116"/>
      <c r="GN42" s="116"/>
      <c r="GO42" s="116"/>
      <c r="GP42" s="116"/>
      <c r="GQ42" s="116"/>
      <c r="GR42" s="116"/>
      <c r="GS42" s="116"/>
      <c r="GT42" s="116"/>
      <c r="GU42" s="116"/>
      <c r="GV42" s="116"/>
      <c r="GW42" s="116"/>
      <c r="GX42" s="116"/>
      <c r="GY42" s="116"/>
      <c r="GZ42" s="116"/>
      <c r="HA42" s="116"/>
      <c r="HB42" s="116"/>
      <c r="HC42" s="116"/>
      <c r="HD42" s="116"/>
      <c r="HE42" s="116"/>
      <c r="HF42" s="116"/>
      <c r="HG42" s="116"/>
      <c r="HH42" s="116"/>
      <c r="HI42" s="116"/>
      <c r="HJ42" s="116"/>
      <c r="HK42" s="116"/>
      <c r="HL42" s="116"/>
      <c r="HM42" s="116"/>
      <c r="HN42" s="116"/>
      <c r="HO42" s="116"/>
      <c r="HP42" s="116"/>
      <c r="HQ42" s="116"/>
      <c r="HR42" s="116"/>
      <c r="HS42" s="116"/>
      <c r="HT42" s="116"/>
      <c r="HU42" s="116"/>
      <c r="HV42" s="116"/>
      <c r="HW42" s="116"/>
      <c r="HX42" s="116"/>
      <c r="HY42" s="116"/>
      <c r="HZ42" s="116"/>
      <c r="IA42" s="116"/>
      <c r="IB42" s="116"/>
      <c r="IC42" s="116"/>
      <c r="ID42" s="116"/>
      <c r="IE42" s="116"/>
      <c r="IF42" s="116"/>
      <c r="IG42" s="116"/>
      <c r="IH42" s="116"/>
      <c r="II42" s="116"/>
      <c r="IJ42" s="116"/>
      <c r="IK42" s="116"/>
      <c r="IL42" s="116"/>
      <c r="IM42" s="116"/>
      <c r="IN42" s="116"/>
      <c r="IO42" s="116"/>
      <c r="IP42" s="116"/>
      <c r="IQ42" s="116"/>
      <c r="IR42" s="117"/>
    </row>
    <row r="43" spans="1:252" s="118" customFormat="1" ht="27" customHeight="1">
      <c r="A43" s="100"/>
      <c r="B43" s="101"/>
      <c r="C43" s="119" t="s">
        <v>66</v>
      </c>
      <c r="D43" s="120"/>
      <c r="E43" s="143">
        <v>244372</v>
      </c>
      <c r="F43" s="143"/>
      <c r="G43" s="121"/>
      <c r="H43" s="107">
        <f>(I43+K43)/E43</f>
        <v>0.40921218470201171</v>
      </c>
      <c r="I43" s="109">
        <v>100000</v>
      </c>
      <c r="J43" s="109">
        <f t="shared" si="0"/>
        <v>144372</v>
      </c>
      <c r="K43" s="145"/>
      <c r="L43" s="111"/>
      <c r="M43" s="112"/>
      <c r="N43" s="113"/>
      <c r="O43" s="140"/>
      <c r="P43" s="115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  <c r="DP43" s="116"/>
      <c r="DQ43" s="116"/>
      <c r="DR43" s="116"/>
      <c r="DS43" s="116"/>
      <c r="DT43" s="116"/>
      <c r="DU43" s="116"/>
      <c r="DV43" s="116"/>
      <c r="DW43" s="116"/>
      <c r="DX43" s="116"/>
      <c r="DY43" s="116"/>
      <c r="DZ43" s="116"/>
      <c r="EA43" s="116"/>
      <c r="EB43" s="116"/>
      <c r="EC43" s="116"/>
      <c r="ED43" s="116"/>
      <c r="EE43" s="116"/>
      <c r="EF43" s="116"/>
      <c r="EG43" s="116"/>
      <c r="EH43" s="116"/>
      <c r="EI43" s="116"/>
      <c r="EJ43" s="116"/>
      <c r="EK43" s="116"/>
      <c r="EL43" s="116"/>
      <c r="EM43" s="116"/>
      <c r="EN43" s="116"/>
      <c r="EO43" s="116"/>
      <c r="EP43" s="116"/>
      <c r="EQ43" s="116"/>
      <c r="ER43" s="116"/>
      <c r="ES43" s="116"/>
      <c r="ET43" s="116"/>
      <c r="EU43" s="116"/>
      <c r="EV43" s="116"/>
      <c r="EW43" s="116"/>
      <c r="EX43" s="116"/>
      <c r="EY43" s="116"/>
      <c r="EZ43" s="116"/>
      <c r="FA43" s="116"/>
      <c r="FB43" s="116"/>
      <c r="FC43" s="116"/>
      <c r="FD43" s="116"/>
      <c r="FE43" s="116"/>
      <c r="FF43" s="116"/>
      <c r="FG43" s="116"/>
      <c r="FH43" s="116"/>
      <c r="FI43" s="116"/>
      <c r="FJ43" s="116"/>
      <c r="FK43" s="116"/>
      <c r="FL43" s="116"/>
      <c r="FM43" s="116"/>
      <c r="FN43" s="116"/>
      <c r="FO43" s="116"/>
      <c r="FP43" s="116"/>
      <c r="FQ43" s="116"/>
      <c r="FR43" s="116"/>
      <c r="FS43" s="116"/>
      <c r="FT43" s="116"/>
      <c r="FU43" s="116"/>
      <c r="FV43" s="116"/>
      <c r="FW43" s="116"/>
      <c r="FX43" s="116"/>
      <c r="FY43" s="116"/>
      <c r="FZ43" s="116"/>
      <c r="GA43" s="116"/>
      <c r="GB43" s="116"/>
      <c r="GC43" s="116"/>
      <c r="GD43" s="116"/>
      <c r="GE43" s="116"/>
      <c r="GF43" s="116"/>
      <c r="GG43" s="116"/>
      <c r="GH43" s="116"/>
      <c r="GI43" s="116"/>
      <c r="GJ43" s="116"/>
      <c r="GK43" s="116"/>
      <c r="GL43" s="116"/>
      <c r="GM43" s="116"/>
      <c r="GN43" s="116"/>
      <c r="GO43" s="116"/>
      <c r="GP43" s="116"/>
      <c r="GQ43" s="116"/>
      <c r="GR43" s="116"/>
      <c r="GS43" s="116"/>
      <c r="GT43" s="116"/>
      <c r="GU43" s="116"/>
      <c r="GV43" s="116"/>
      <c r="GW43" s="116"/>
      <c r="GX43" s="116"/>
      <c r="GY43" s="116"/>
      <c r="GZ43" s="116"/>
      <c r="HA43" s="116"/>
      <c r="HB43" s="116"/>
      <c r="HC43" s="116"/>
      <c r="HD43" s="116"/>
      <c r="HE43" s="116"/>
      <c r="HF43" s="116"/>
      <c r="HG43" s="116"/>
      <c r="HH43" s="116"/>
      <c r="HI43" s="116"/>
      <c r="HJ43" s="116"/>
      <c r="HK43" s="116"/>
      <c r="HL43" s="116"/>
      <c r="HM43" s="116"/>
      <c r="HN43" s="116"/>
      <c r="HO43" s="116"/>
      <c r="HP43" s="116"/>
      <c r="HQ43" s="116"/>
      <c r="HR43" s="116"/>
      <c r="HS43" s="116"/>
      <c r="HT43" s="116"/>
      <c r="HU43" s="116"/>
      <c r="HV43" s="116"/>
      <c r="HW43" s="116"/>
      <c r="HX43" s="116"/>
      <c r="HY43" s="116"/>
      <c r="HZ43" s="116"/>
      <c r="IA43" s="116"/>
      <c r="IB43" s="116"/>
      <c r="IC43" s="116"/>
      <c r="ID43" s="116"/>
      <c r="IE43" s="116"/>
      <c r="IF43" s="116"/>
      <c r="IG43" s="116"/>
      <c r="IH43" s="116"/>
      <c r="II43" s="116"/>
      <c r="IJ43" s="116"/>
      <c r="IK43" s="116"/>
      <c r="IL43" s="116"/>
      <c r="IM43" s="116"/>
      <c r="IN43" s="116"/>
      <c r="IO43" s="116"/>
      <c r="IP43" s="116"/>
      <c r="IQ43" s="116"/>
      <c r="IR43" s="117"/>
    </row>
    <row r="44" spans="1:252" s="118" customFormat="1" ht="27" customHeight="1">
      <c r="A44" s="100"/>
      <c r="B44" s="101"/>
      <c r="C44" s="119" t="s">
        <v>67</v>
      </c>
      <c r="D44" s="120">
        <v>83820</v>
      </c>
      <c r="E44" s="108">
        <v>113512</v>
      </c>
      <c r="F44" s="108"/>
      <c r="G44" s="121">
        <v>1</v>
      </c>
      <c r="H44" s="107">
        <v>1</v>
      </c>
      <c r="I44" s="108">
        <v>79458.600000000006</v>
      </c>
      <c r="J44" s="109">
        <f t="shared" si="0"/>
        <v>34053.399999999994</v>
      </c>
      <c r="K44" s="111"/>
      <c r="L44" s="111"/>
      <c r="M44" s="112"/>
      <c r="N44" s="113"/>
      <c r="O44" s="140"/>
      <c r="P44" s="115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  <c r="DP44" s="116"/>
      <c r="DQ44" s="116"/>
      <c r="DR44" s="116"/>
      <c r="DS44" s="116"/>
      <c r="DT44" s="116"/>
      <c r="DU44" s="116"/>
      <c r="DV44" s="116"/>
      <c r="DW44" s="116"/>
      <c r="DX44" s="116"/>
      <c r="DY44" s="116"/>
      <c r="DZ44" s="116"/>
      <c r="EA44" s="116"/>
      <c r="EB44" s="116"/>
      <c r="EC44" s="116"/>
      <c r="ED44" s="116"/>
      <c r="EE44" s="116"/>
      <c r="EF44" s="116"/>
      <c r="EG44" s="116"/>
      <c r="EH44" s="116"/>
      <c r="EI44" s="116"/>
      <c r="EJ44" s="116"/>
      <c r="EK44" s="116"/>
      <c r="EL44" s="116"/>
      <c r="EM44" s="116"/>
      <c r="EN44" s="116"/>
      <c r="EO44" s="116"/>
      <c r="EP44" s="116"/>
      <c r="EQ44" s="116"/>
      <c r="ER44" s="116"/>
      <c r="ES44" s="116"/>
      <c r="ET44" s="116"/>
      <c r="EU44" s="116"/>
      <c r="EV44" s="116"/>
      <c r="EW44" s="116"/>
      <c r="EX44" s="116"/>
      <c r="EY44" s="116"/>
      <c r="EZ44" s="116"/>
      <c r="FA44" s="116"/>
      <c r="FB44" s="116"/>
      <c r="FC44" s="116"/>
      <c r="FD44" s="116"/>
      <c r="FE44" s="116"/>
      <c r="FF44" s="116"/>
      <c r="FG44" s="116"/>
      <c r="FH44" s="116"/>
      <c r="FI44" s="116"/>
      <c r="FJ44" s="116"/>
      <c r="FK44" s="116"/>
      <c r="FL44" s="116"/>
      <c r="FM44" s="116"/>
      <c r="FN44" s="116"/>
      <c r="FO44" s="116"/>
      <c r="FP44" s="116"/>
      <c r="FQ44" s="116"/>
      <c r="FR44" s="116"/>
      <c r="FS44" s="116"/>
      <c r="FT44" s="116"/>
      <c r="FU44" s="116"/>
      <c r="FV44" s="116"/>
      <c r="FW44" s="116"/>
      <c r="FX44" s="116"/>
      <c r="FY44" s="116"/>
      <c r="FZ44" s="116"/>
      <c r="GA44" s="116"/>
      <c r="GB44" s="116"/>
      <c r="GC44" s="116"/>
      <c r="GD44" s="116"/>
      <c r="GE44" s="116"/>
      <c r="GF44" s="116"/>
      <c r="GG44" s="116"/>
      <c r="GH44" s="116"/>
      <c r="GI44" s="116"/>
      <c r="GJ44" s="116"/>
      <c r="GK44" s="116"/>
      <c r="GL44" s="116"/>
      <c r="GM44" s="116"/>
      <c r="GN44" s="116"/>
      <c r="GO44" s="116"/>
      <c r="GP44" s="116"/>
      <c r="GQ44" s="116"/>
      <c r="GR44" s="116"/>
      <c r="GS44" s="116"/>
      <c r="GT44" s="116"/>
      <c r="GU44" s="116"/>
      <c r="GV44" s="116"/>
      <c r="GW44" s="116"/>
      <c r="GX44" s="116"/>
      <c r="GY44" s="116"/>
      <c r="GZ44" s="116"/>
      <c r="HA44" s="116"/>
      <c r="HB44" s="116"/>
      <c r="HC44" s="116"/>
      <c r="HD44" s="116"/>
      <c r="HE44" s="116"/>
      <c r="HF44" s="116"/>
      <c r="HG44" s="116"/>
      <c r="HH44" s="116"/>
      <c r="HI44" s="116"/>
      <c r="HJ44" s="116"/>
      <c r="HK44" s="116"/>
      <c r="HL44" s="116"/>
      <c r="HM44" s="116"/>
      <c r="HN44" s="116"/>
      <c r="HO44" s="116"/>
      <c r="HP44" s="116"/>
      <c r="HQ44" s="116"/>
      <c r="HR44" s="116"/>
      <c r="HS44" s="116"/>
      <c r="HT44" s="116"/>
      <c r="HU44" s="116"/>
      <c r="HV44" s="116"/>
      <c r="HW44" s="116"/>
      <c r="HX44" s="116"/>
      <c r="HY44" s="116"/>
      <c r="HZ44" s="116"/>
      <c r="IA44" s="116"/>
      <c r="IB44" s="116"/>
      <c r="IC44" s="116"/>
      <c r="ID44" s="116"/>
      <c r="IE44" s="116"/>
      <c r="IF44" s="116"/>
      <c r="IG44" s="116"/>
      <c r="IH44" s="116"/>
      <c r="II44" s="116"/>
      <c r="IJ44" s="116"/>
      <c r="IK44" s="116"/>
      <c r="IL44" s="116"/>
      <c r="IM44" s="116"/>
      <c r="IN44" s="116"/>
      <c r="IO44" s="116"/>
      <c r="IP44" s="116"/>
      <c r="IQ44" s="116"/>
      <c r="IR44" s="117"/>
    </row>
    <row r="45" spans="1:252" s="118" customFormat="1" ht="27" customHeight="1">
      <c r="A45" s="100"/>
      <c r="B45" s="101"/>
      <c r="C45" s="119" t="s">
        <v>68</v>
      </c>
      <c r="D45" s="120"/>
      <c r="E45" s="108">
        <v>17613.169999999998</v>
      </c>
      <c r="F45" s="108"/>
      <c r="G45" s="121">
        <v>1</v>
      </c>
      <c r="H45" s="107">
        <v>1</v>
      </c>
      <c r="I45" s="108">
        <v>17613.169999999998</v>
      </c>
      <c r="J45" s="109">
        <f t="shared" si="0"/>
        <v>0</v>
      </c>
      <c r="K45" s="111"/>
      <c r="L45" s="111"/>
      <c r="M45" s="112"/>
      <c r="N45" s="113"/>
      <c r="O45" s="140"/>
      <c r="P45" s="115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  <c r="DP45" s="116"/>
      <c r="DQ45" s="116"/>
      <c r="DR45" s="116"/>
      <c r="DS45" s="116"/>
      <c r="DT45" s="116"/>
      <c r="DU45" s="116"/>
      <c r="DV45" s="116"/>
      <c r="DW45" s="116"/>
      <c r="DX45" s="116"/>
      <c r="DY45" s="116"/>
      <c r="DZ45" s="116"/>
      <c r="EA45" s="116"/>
      <c r="EB45" s="116"/>
      <c r="EC45" s="116"/>
      <c r="ED45" s="116"/>
      <c r="EE45" s="116"/>
      <c r="EF45" s="116"/>
      <c r="EG45" s="116"/>
      <c r="EH45" s="116"/>
      <c r="EI45" s="116"/>
      <c r="EJ45" s="116"/>
      <c r="EK45" s="116"/>
      <c r="EL45" s="116"/>
      <c r="EM45" s="116"/>
      <c r="EN45" s="116"/>
      <c r="EO45" s="116"/>
      <c r="EP45" s="116"/>
      <c r="EQ45" s="116"/>
      <c r="ER45" s="116"/>
      <c r="ES45" s="116"/>
      <c r="ET45" s="116"/>
      <c r="EU45" s="116"/>
      <c r="EV45" s="116"/>
      <c r="EW45" s="116"/>
      <c r="EX45" s="116"/>
      <c r="EY45" s="116"/>
      <c r="EZ45" s="116"/>
      <c r="FA45" s="116"/>
      <c r="FB45" s="116"/>
      <c r="FC45" s="116"/>
      <c r="FD45" s="116"/>
      <c r="FE45" s="116"/>
      <c r="FF45" s="116"/>
      <c r="FG45" s="116"/>
      <c r="FH45" s="116"/>
      <c r="FI45" s="116"/>
      <c r="FJ45" s="116"/>
      <c r="FK45" s="116"/>
      <c r="FL45" s="116"/>
      <c r="FM45" s="116"/>
      <c r="FN45" s="116"/>
      <c r="FO45" s="116"/>
      <c r="FP45" s="116"/>
      <c r="FQ45" s="116"/>
      <c r="FR45" s="116"/>
      <c r="FS45" s="116"/>
      <c r="FT45" s="116"/>
      <c r="FU45" s="116"/>
      <c r="FV45" s="116"/>
      <c r="FW45" s="116"/>
      <c r="FX45" s="116"/>
      <c r="FY45" s="116"/>
      <c r="FZ45" s="116"/>
      <c r="GA45" s="116"/>
      <c r="GB45" s="116"/>
      <c r="GC45" s="116"/>
      <c r="GD45" s="116"/>
      <c r="GE45" s="116"/>
      <c r="GF45" s="116"/>
      <c r="GG45" s="116"/>
      <c r="GH45" s="116"/>
      <c r="GI45" s="116"/>
      <c r="GJ45" s="116"/>
      <c r="GK45" s="116"/>
      <c r="GL45" s="116"/>
      <c r="GM45" s="116"/>
      <c r="GN45" s="116"/>
      <c r="GO45" s="116"/>
      <c r="GP45" s="116"/>
      <c r="GQ45" s="116"/>
      <c r="GR45" s="116"/>
      <c r="GS45" s="116"/>
      <c r="GT45" s="116"/>
      <c r="GU45" s="116"/>
      <c r="GV45" s="116"/>
      <c r="GW45" s="116"/>
      <c r="GX45" s="116"/>
      <c r="GY45" s="116"/>
      <c r="GZ45" s="116"/>
      <c r="HA45" s="116"/>
      <c r="HB45" s="116"/>
      <c r="HC45" s="116"/>
      <c r="HD45" s="116"/>
      <c r="HE45" s="116"/>
      <c r="HF45" s="116"/>
      <c r="HG45" s="116"/>
      <c r="HH45" s="116"/>
      <c r="HI45" s="116"/>
      <c r="HJ45" s="116"/>
      <c r="HK45" s="116"/>
      <c r="HL45" s="116"/>
      <c r="HM45" s="116"/>
      <c r="HN45" s="116"/>
      <c r="HO45" s="116"/>
      <c r="HP45" s="116"/>
      <c r="HQ45" s="116"/>
      <c r="HR45" s="116"/>
      <c r="HS45" s="116"/>
      <c r="HT45" s="116"/>
      <c r="HU45" s="116"/>
      <c r="HV45" s="116"/>
      <c r="HW45" s="116"/>
      <c r="HX45" s="116"/>
      <c r="HY45" s="116"/>
      <c r="HZ45" s="116"/>
      <c r="IA45" s="116"/>
      <c r="IB45" s="116"/>
      <c r="IC45" s="116"/>
      <c r="ID45" s="116"/>
      <c r="IE45" s="116"/>
      <c r="IF45" s="116"/>
      <c r="IG45" s="116"/>
      <c r="IH45" s="116"/>
      <c r="II45" s="116"/>
      <c r="IJ45" s="116"/>
      <c r="IK45" s="116"/>
      <c r="IL45" s="116"/>
      <c r="IM45" s="116"/>
      <c r="IN45" s="116"/>
      <c r="IO45" s="116"/>
      <c r="IP45" s="116"/>
      <c r="IQ45" s="116"/>
      <c r="IR45" s="117"/>
    </row>
    <row r="46" spans="1:252" s="118" customFormat="1" ht="27" customHeight="1">
      <c r="A46" s="100"/>
      <c r="B46" s="101"/>
      <c r="C46" s="137" t="s">
        <v>69</v>
      </c>
      <c r="D46" s="138">
        <v>800000</v>
      </c>
      <c r="E46" s="138">
        <v>314920</v>
      </c>
      <c r="F46" s="108"/>
      <c r="G46" s="121">
        <v>1</v>
      </c>
      <c r="H46" s="107">
        <f>(I46+K46)/E46</f>
        <v>0.82784834243617422</v>
      </c>
      <c r="I46" s="139">
        <v>260706</v>
      </c>
      <c r="J46" s="109">
        <f t="shared" si="0"/>
        <v>54214</v>
      </c>
      <c r="K46" s="111"/>
      <c r="L46" s="111"/>
      <c r="M46" s="112"/>
      <c r="N46" s="113"/>
      <c r="O46" s="140"/>
      <c r="P46" s="115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  <c r="DP46" s="116"/>
      <c r="DQ46" s="116"/>
      <c r="DR46" s="116"/>
      <c r="DS46" s="116"/>
      <c r="DT46" s="116"/>
      <c r="DU46" s="116"/>
      <c r="DV46" s="116"/>
      <c r="DW46" s="116"/>
      <c r="DX46" s="116"/>
      <c r="DY46" s="116"/>
      <c r="DZ46" s="116"/>
      <c r="EA46" s="116"/>
      <c r="EB46" s="116"/>
      <c r="EC46" s="116"/>
      <c r="ED46" s="116"/>
      <c r="EE46" s="116"/>
      <c r="EF46" s="116"/>
      <c r="EG46" s="116"/>
      <c r="EH46" s="116"/>
      <c r="EI46" s="116"/>
      <c r="EJ46" s="116"/>
      <c r="EK46" s="116"/>
      <c r="EL46" s="116"/>
      <c r="EM46" s="116"/>
      <c r="EN46" s="116"/>
      <c r="EO46" s="116"/>
      <c r="EP46" s="116"/>
      <c r="EQ46" s="116"/>
      <c r="ER46" s="116"/>
      <c r="ES46" s="116"/>
      <c r="ET46" s="116"/>
      <c r="EU46" s="116"/>
      <c r="EV46" s="116"/>
      <c r="EW46" s="116"/>
      <c r="EX46" s="116"/>
      <c r="EY46" s="116"/>
      <c r="EZ46" s="116"/>
      <c r="FA46" s="116"/>
      <c r="FB46" s="116"/>
      <c r="FC46" s="116"/>
      <c r="FD46" s="116"/>
      <c r="FE46" s="116"/>
      <c r="FF46" s="116"/>
      <c r="FG46" s="116"/>
      <c r="FH46" s="116"/>
      <c r="FI46" s="116"/>
      <c r="FJ46" s="116"/>
      <c r="FK46" s="116"/>
      <c r="FL46" s="116"/>
      <c r="FM46" s="116"/>
      <c r="FN46" s="116"/>
      <c r="FO46" s="116"/>
      <c r="FP46" s="116"/>
      <c r="FQ46" s="116"/>
      <c r="FR46" s="116"/>
      <c r="FS46" s="116"/>
      <c r="FT46" s="116"/>
      <c r="FU46" s="116"/>
      <c r="FV46" s="116"/>
      <c r="FW46" s="116"/>
      <c r="FX46" s="116"/>
      <c r="FY46" s="116"/>
      <c r="FZ46" s="116"/>
      <c r="GA46" s="116"/>
      <c r="GB46" s="116"/>
      <c r="GC46" s="116"/>
      <c r="GD46" s="116"/>
      <c r="GE46" s="116"/>
      <c r="GF46" s="116"/>
      <c r="GG46" s="116"/>
      <c r="GH46" s="116"/>
      <c r="GI46" s="116"/>
      <c r="GJ46" s="116"/>
      <c r="GK46" s="116"/>
      <c r="GL46" s="116"/>
      <c r="GM46" s="116"/>
      <c r="GN46" s="116"/>
      <c r="GO46" s="116"/>
      <c r="GP46" s="116"/>
      <c r="GQ46" s="116"/>
      <c r="GR46" s="116"/>
      <c r="GS46" s="116"/>
      <c r="GT46" s="116"/>
      <c r="GU46" s="116"/>
      <c r="GV46" s="116"/>
      <c r="GW46" s="116"/>
      <c r="GX46" s="116"/>
      <c r="GY46" s="116"/>
      <c r="GZ46" s="116"/>
      <c r="HA46" s="116"/>
      <c r="HB46" s="116"/>
      <c r="HC46" s="116"/>
      <c r="HD46" s="116"/>
      <c r="HE46" s="116"/>
      <c r="HF46" s="116"/>
      <c r="HG46" s="116"/>
      <c r="HH46" s="116"/>
      <c r="HI46" s="116"/>
      <c r="HJ46" s="116"/>
      <c r="HK46" s="116"/>
      <c r="HL46" s="116"/>
      <c r="HM46" s="116"/>
      <c r="HN46" s="116"/>
      <c r="HO46" s="116"/>
      <c r="HP46" s="116"/>
      <c r="HQ46" s="116"/>
      <c r="HR46" s="116"/>
      <c r="HS46" s="116"/>
      <c r="HT46" s="116"/>
      <c r="HU46" s="116"/>
      <c r="HV46" s="116"/>
      <c r="HW46" s="116"/>
      <c r="HX46" s="116"/>
      <c r="HY46" s="116"/>
      <c r="HZ46" s="116"/>
      <c r="IA46" s="116"/>
      <c r="IB46" s="116"/>
      <c r="IC46" s="116"/>
      <c r="ID46" s="116"/>
      <c r="IE46" s="116"/>
      <c r="IF46" s="116"/>
      <c r="IG46" s="116"/>
      <c r="IH46" s="116"/>
      <c r="II46" s="116"/>
      <c r="IJ46" s="116"/>
      <c r="IK46" s="116"/>
      <c r="IL46" s="116"/>
      <c r="IM46" s="116"/>
      <c r="IN46" s="116"/>
      <c r="IO46" s="116"/>
      <c r="IP46" s="116"/>
      <c r="IQ46" s="116"/>
      <c r="IR46" s="117"/>
    </row>
    <row r="47" spans="1:252" s="118" customFormat="1" ht="27" customHeight="1">
      <c r="A47" s="100"/>
      <c r="B47" s="101"/>
      <c r="C47" s="119" t="s">
        <v>70</v>
      </c>
      <c r="D47" s="120"/>
      <c r="E47" s="108">
        <v>21000</v>
      </c>
      <c r="F47" s="108"/>
      <c r="G47" s="121">
        <v>1</v>
      </c>
      <c r="H47" s="107">
        <v>1</v>
      </c>
      <c r="I47" s="108">
        <v>21000</v>
      </c>
      <c r="J47" s="109">
        <f t="shared" si="0"/>
        <v>0</v>
      </c>
      <c r="K47" s="111"/>
      <c r="L47" s="111"/>
      <c r="M47" s="112"/>
      <c r="N47" s="113"/>
      <c r="O47" s="140"/>
      <c r="P47" s="115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  <c r="DP47" s="116"/>
      <c r="DQ47" s="116"/>
      <c r="DR47" s="116"/>
      <c r="DS47" s="116"/>
      <c r="DT47" s="116"/>
      <c r="DU47" s="116"/>
      <c r="DV47" s="116"/>
      <c r="DW47" s="116"/>
      <c r="DX47" s="116"/>
      <c r="DY47" s="116"/>
      <c r="DZ47" s="116"/>
      <c r="EA47" s="116"/>
      <c r="EB47" s="116"/>
      <c r="EC47" s="116"/>
      <c r="ED47" s="116"/>
      <c r="EE47" s="116"/>
      <c r="EF47" s="116"/>
      <c r="EG47" s="116"/>
      <c r="EH47" s="116"/>
      <c r="EI47" s="116"/>
      <c r="EJ47" s="116"/>
      <c r="EK47" s="116"/>
      <c r="EL47" s="116"/>
      <c r="EM47" s="116"/>
      <c r="EN47" s="116"/>
      <c r="EO47" s="116"/>
      <c r="EP47" s="116"/>
      <c r="EQ47" s="116"/>
      <c r="ER47" s="116"/>
      <c r="ES47" s="116"/>
      <c r="ET47" s="116"/>
      <c r="EU47" s="116"/>
      <c r="EV47" s="116"/>
      <c r="EW47" s="116"/>
      <c r="EX47" s="116"/>
      <c r="EY47" s="116"/>
      <c r="EZ47" s="116"/>
      <c r="FA47" s="116"/>
      <c r="FB47" s="116"/>
      <c r="FC47" s="116"/>
      <c r="FD47" s="116"/>
      <c r="FE47" s="116"/>
      <c r="FF47" s="116"/>
      <c r="FG47" s="116"/>
      <c r="FH47" s="116"/>
      <c r="FI47" s="116"/>
      <c r="FJ47" s="116"/>
      <c r="FK47" s="116"/>
      <c r="FL47" s="116"/>
      <c r="FM47" s="116"/>
      <c r="FN47" s="116"/>
      <c r="FO47" s="116"/>
      <c r="FP47" s="116"/>
      <c r="FQ47" s="116"/>
      <c r="FR47" s="116"/>
      <c r="FS47" s="116"/>
      <c r="FT47" s="116"/>
      <c r="FU47" s="116"/>
      <c r="FV47" s="116"/>
      <c r="FW47" s="116"/>
      <c r="FX47" s="116"/>
      <c r="FY47" s="116"/>
      <c r="FZ47" s="116"/>
      <c r="GA47" s="116"/>
      <c r="GB47" s="116"/>
      <c r="GC47" s="116"/>
      <c r="GD47" s="116"/>
      <c r="GE47" s="116"/>
      <c r="GF47" s="116"/>
      <c r="GG47" s="116"/>
      <c r="GH47" s="116"/>
      <c r="GI47" s="116"/>
      <c r="GJ47" s="116"/>
      <c r="GK47" s="116"/>
      <c r="GL47" s="116"/>
      <c r="GM47" s="116"/>
      <c r="GN47" s="116"/>
      <c r="GO47" s="116"/>
      <c r="GP47" s="116"/>
      <c r="GQ47" s="116"/>
      <c r="GR47" s="116"/>
      <c r="GS47" s="116"/>
      <c r="GT47" s="116"/>
      <c r="GU47" s="116"/>
      <c r="GV47" s="116"/>
      <c r="GW47" s="116"/>
      <c r="GX47" s="116"/>
      <c r="GY47" s="116"/>
      <c r="GZ47" s="116"/>
      <c r="HA47" s="116"/>
      <c r="HB47" s="116"/>
      <c r="HC47" s="116"/>
      <c r="HD47" s="116"/>
      <c r="HE47" s="116"/>
      <c r="HF47" s="116"/>
      <c r="HG47" s="116"/>
      <c r="HH47" s="116"/>
      <c r="HI47" s="116"/>
      <c r="HJ47" s="116"/>
      <c r="HK47" s="116"/>
      <c r="HL47" s="116"/>
      <c r="HM47" s="116"/>
      <c r="HN47" s="116"/>
      <c r="HO47" s="116"/>
      <c r="HP47" s="116"/>
      <c r="HQ47" s="116"/>
      <c r="HR47" s="116"/>
      <c r="HS47" s="116"/>
      <c r="HT47" s="116"/>
      <c r="HU47" s="116"/>
      <c r="HV47" s="116"/>
      <c r="HW47" s="116"/>
      <c r="HX47" s="116"/>
      <c r="HY47" s="116"/>
      <c r="HZ47" s="116"/>
      <c r="IA47" s="116"/>
      <c r="IB47" s="116"/>
      <c r="IC47" s="116"/>
      <c r="ID47" s="116"/>
      <c r="IE47" s="116"/>
      <c r="IF47" s="116"/>
      <c r="IG47" s="116"/>
      <c r="IH47" s="116"/>
      <c r="II47" s="116"/>
      <c r="IJ47" s="116"/>
      <c r="IK47" s="116"/>
      <c r="IL47" s="116"/>
      <c r="IM47" s="116"/>
      <c r="IN47" s="116"/>
      <c r="IO47" s="116"/>
      <c r="IP47" s="116"/>
      <c r="IQ47" s="116"/>
      <c r="IR47" s="117"/>
    </row>
    <row r="48" spans="1:252" s="118" customFormat="1" ht="64.5" customHeight="1">
      <c r="A48" s="147"/>
      <c r="B48" s="101"/>
      <c r="C48" s="119" t="s">
        <v>71</v>
      </c>
      <c r="D48" s="120">
        <v>15000</v>
      </c>
      <c r="E48" s="108">
        <v>15000</v>
      </c>
      <c r="F48" s="108"/>
      <c r="G48" s="121">
        <v>1</v>
      </c>
      <c r="H48" s="107">
        <v>1</v>
      </c>
      <c r="I48" s="108">
        <v>15000</v>
      </c>
      <c r="J48" s="109">
        <f t="shared" si="0"/>
        <v>0</v>
      </c>
      <c r="K48" s="111"/>
      <c r="L48" s="111"/>
      <c r="M48" s="112"/>
      <c r="N48" s="113"/>
      <c r="O48" s="140"/>
      <c r="P48" s="115"/>
    </row>
    <row r="49" spans="1:255" s="7" customFormat="1" ht="29.25" customHeight="1">
      <c r="A49" s="148"/>
      <c r="B49" s="92"/>
      <c r="C49" s="93" t="s">
        <v>36</v>
      </c>
      <c r="D49" s="94"/>
      <c r="E49" s="95">
        <f t="shared" ref="E49:J49" si="2">SUM(E19:E48)</f>
        <v>15911297.429999998</v>
      </c>
      <c r="F49" s="94">
        <f>SUM(F31:F48)</f>
        <v>0</v>
      </c>
      <c r="G49" s="96"/>
      <c r="H49" s="97"/>
      <c r="I49" s="95">
        <f t="shared" si="2"/>
        <v>12690148.859999999</v>
      </c>
      <c r="J49" s="94">
        <f t="shared" si="2"/>
        <v>3221148.5700000003</v>
      </c>
      <c r="K49" s="95"/>
      <c r="L49" s="98"/>
      <c r="M49" s="99"/>
      <c r="N49" s="4"/>
      <c r="O49" s="89"/>
      <c r="P49" s="48"/>
    </row>
    <row r="50" spans="1:255" s="157" customFormat="1" ht="30.75" customHeight="1">
      <c r="A50" s="149" t="s">
        <v>72</v>
      </c>
      <c r="B50" s="150"/>
      <c r="C50" s="151" t="s">
        <v>73</v>
      </c>
      <c r="D50" s="42"/>
      <c r="E50" s="152">
        <f>1526200+123160+15843+44090+118450</f>
        <v>1827743</v>
      </c>
      <c r="F50" s="152"/>
      <c r="G50" s="153">
        <v>0.7</v>
      </c>
      <c r="H50" s="154">
        <f t="shared" ref="H50:H55" si="3">(I50+K50)/E50</f>
        <v>0.7148360026546402</v>
      </c>
      <c r="I50" s="152">
        <v>1306536.5</v>
      </c>
      <c r="J50" s="85">
        <f t="shared" ref="J50:J55" si="4">E50-I50</f>
        <v>521206.5</v>
      </c>
      <c r="K50" s="82">
        <v>0</v>
      </c>
      <c r="L50" s="82"/>
      <c r="M50" s="155"/>
      <c r="N50" s="156"/>
      <c r="O50" s="89"/>
      <c r="P50" s="48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8"/>
      <c r="IT50" s="8"/>
      <c r="IU50" s="8"/>
    </row>
    <row r="51" spans="1:255" s="118" customFormat="1" ht="29.25" customHeight="1">
      <c r="A51" s="158"/>
      <c r="B51" s="101"/>
      <c r="C51" s="126" t="s">
        <v>74</v>
      </c>
      <c r="D51" s="120">
        <v>3000000</v>
      </c>
      <c r="E51" s="143">
        <f>2988717.43+53339.56+86492.75</f>
        <v>3128549.74</v>
      </c>
      <c r="F51" s="143"/>
      <c r="G51" s="121">
        <v>0.5</v>
      </c>
      <c r="H51" s="107">
        <f t="shared" si="3"/>
        <v>0.47940263848897602</v>
      </c>
      <c r="I51" s="108">
        <v>1499835</v>
      </c>
      <c r="J51" s="109">
        <f t="shared" si="4"/>
        <v>1628714.7400000002</v>
      </c>
      <c r="K51" s="111"/>
      <c r="L51" s="111"/>
      <c r="M51" s="112"/>
      <c r="N51" s="113"/>
      <c r="O51" s="114"/>
      <c r="P51" s="115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116"/>
      <c r="DJ51" s="116"/>
      <c r="DK51" s="116"/>
      <c r="DL51" s="116"/>
      <c r="DM51" s="116"/>
      <c r="DN51" s="116"/>
      <c r="DO51" s="116"/>
      <c r="DP51" s="116"/>
      <c r="DQ51" s="116"/>
      <c r="DR51" s="116"/>
      <c r="DS51" s="116"/>
      <c r="DT51" s="116"/>
      <c r="DU51" s="116"/>
      <c r="DV51" s="116"/>
      <c r="DW51" s="116"/>
      <c r="DX51" s="116"/>
      <c r="DY51" s="116"/>
      <c r="DZ51" s="116"/>
      <c r="EA51" s="116"/>
      <c r="EB51" s="116"/>
      <c r="EC51" s="116"/>
      <c r="ED51" s="116"/>
      <c r="EE51" s="116"/>
      <c r="EF51" s="116"/>
      <c r="EG51" s="116"/>
      <c r="EH51" s="116"/>
      <c r="EI51" s="116"/>
      <c r="EJ51" s="116"/>
      <c r="EK51" s="116"/>
      <c r="EL51" s="116"/>
      <c r="EM51" s="116"/>
      <c r="EN51" s="116"/>
      <c r="EO51" s="116"/>
      <c r="EP51" s="116"/>
      <c r="EQ51" s="116"/>
      <c r="ER51" s="116"/>
      <c r="ES51" s="116"/>
      <c r="ET51" s="116"/>
      <c r="EU51" s="116"/>
      <c r="EV51" s="116"/>
      <c r="EW51" s="116"/>
      <c r="EX51" s="116"/>
      <c r="EY51" s="116"/>
      <c r="EZ51" s="116"/>
      <c r="FA51" s="116"/>
      <c r="FB51" s="116"/>
      <c r="FC51" s="116"/>
      <c r="FD51" s="116"/>
      <c r="FE51" s="116"/>
      <c r="FF51" s="116"/>
      <c r="FG51" s="116"/>
      <c r="FH51" s="116"/>
      <c r="FI51" s="116"/>
      <c r="FJ51" s="116"/>
      <c r="FK51" s="116"/>
      <c r="FL51" s="116"/>
      <c r="FM51" s="116"/>
      <c r="FN51" s="116"/>
      <c r="FO51" s="116"/>
      <c r="FP51" s="116"/>
      <c r="FQ51" s="116"/>
      <c r="FR51" s="116"/>
      <c r="FS51" s="116"/>
      <c r="FT51" s="116"/>
      <c r="FU51" s="116"/>
      <c r="FV51" s="116"/>
      <c r="FW51" s="116"/>
      <c r="FX51" s="116"/>
      <c r="FY51" s="116"/>
      <c r="FZ51" s="116"/>
      <c r="GA51" s="116"/>
      <c r="GB51" s="116"/>
      <c r="GC51" s="116"/>
      <c r="GD51" s="116"/>
      <c r="GE51" s="116"/>
      <c r="GF51" s="116"/>
      <c r="GG51" s="116"/>
      <c r="GH51" s="116"/>
      <c r="GI51" s="116"/>
      <c r="GJ51" s="116"/>
      <c r="GK51" s="116"/>
      <c r="GL51" s="116"/>
      <c r="GM51" s="116"/>
      <c r="GN51" s="116"/>
      <c r="GO51" s="116"/>
      <c r="GP51" s="116"/>
      <c r="GQ51" s="116"/>
      <c r="GR51" s="116"/>
      <c r="GS51" s="116"/>
      <c r="GT51" s="116"/>
      <c r="GU51" s="116"/>
      <c r="GV51" s="116"/>
      <c r="GW51" s="116"/>
      <c r="GX51" s="116"/>
      <c r="GY51" s="116"/>
      <c r="GZ51" s="116"/>
      <c r="HA51" s="116"/>
      <c r="HB51" s="116"/>
      <c r="HC51" s="116"/>
      <c r="HD51" s="116"/>
      <c r="HE51" s="116"/>
      <c r="HF51" s="116"/>
      <c r="HG51" s="116"/>
      <c r="HH51" s="116"/>
      <c r="HI51" s="116"/>
      <c r="HJ51" s="116"/>
      <c r="HK51" s="116"/>
      <c r="HL51" s="116"/>
      <c r="HM51" s="116"/>
      <c r="HN51" s="116"/>
      <c r="HO51" s="116"/>
      <c r="HP51" s="116"/>
      <c r="HQ51" s="116"/>
      <c r="HR51" s="116"/>
      <c r="HS51" s="116"/>
      <c r="HT51" s="116"/>
      <c r="HU51" s="116"/>
      <c r="HV51" s="116"/>
      <c r="HW51" s="116"/>
      <c r="HX51" s="116"/>
      <c r="HY51" s="116"/>
      <c r="HZ51" s="116"/>
      <c r="IA51" s="116"/>
      <c r="IB51" s="116"/>
      <c r="IC51" s="116"/>
      <c r="ID51" s="116"/>
      <c r="IE51" s="116"/>
      <c r="IF51" s="116"/>
      <c r="IG51" s="116"/>
      <c r="IH51" s="116"/>
      <c r="II51" s="116"/>
      <c r="IJ51" s="116"/>
      <c r="IK51" s="116"/>
      <c r="IL51" s="116"/>
      <c r="IM51" s="116"/>
      <c r="IN51" s="116"/>
      <c r="IO51" s="116"/>
      <c r="IP51" s="116"/>
      <c r="IQ51" s="116"/>
      <c r="IR51" s="116"/>
      <c r="IS51" s="117"/>
      <c r="IT51" s="117"/>
      <c r="IU51" s="117"/>
    </row>
    <row r="52" spans="1:255" s="157" customFormat="1" ht="26.1" customHeight="1">
      <c r="A52" s="149"/>
      <c r="B52" s="150"/>
      <c r="C52" s="159" t="s">
        <v>75</v>
      </c>
      <c r="D52" s="42">
        <v>1000000</v>
      </c>
      <c r="E52" s="152">
        <f>442633+5806.45+9333.33+27333.33+28000</f>
        <v>513106.11000000004</v>
      </c>
      <c r="F52" s="152"/>
      <c r="G52" s="153">
        <v>0.7</v>
      </c>
      <c r="H52" s="154">
        <f t="shared" si="3"/>
        <v>0.48722865529704951</v>
      </c>
      <c r="I52" s="152">
        <v>250000</v>
      </c>
      <c r="J52" s="85">
        <f t="shared" si="4"/>
        <v>263106.11000000004</v>
      </c>
      <c r="K52" s="82">
        <v>0</v>
      </c>
      <c r="L52" s="82"/>
      <c r="M52" s="155"/>
      <c r="N52" s="156"/>
      <c r="O52" s="160"/>
      <c r="P52" s="48"/>
    </row>
    <row r="53" spans="1:255" s="118" customFormat="1" ht="32.25" customHeight="1">
      <c r="A53" s="158"/>
      <c r="B53" s="101"/>
      <c r="C53" s="131" t="s">
        <v>76</v>
      </c>
      <c r="D53" s="120">
        <v>1000000</v>
      </c>
      <c r="E53" s="109">
        <v>1098768.3700000001</v>
      </c>
      <c r="F53" s="109"/>
      <c r="G53" s="121">
        <v>0.5</v>
      </c>
      <c r="H53" s="107">
        <f t="shared" si="3"/>
        <v>0.58149406867254472</v>
      </c>
      <c r="I53" s="108">
        <v>638927.29</v>
      </c>
      <c r="J53" s="109">
        <f t="shared" si="4"/>
        <v>459841.08000000007</v>
      </c>
      <c r="K53" s="111"/>
      <c r="L53" s="111"/>
      <c r="M53" s="112"/>
      <c r="N53" s="113"/>
      <c r="O53" s="114"/>
      <c r="P53" s="115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116"/>
      <c r="DM53" s="116"/>
      <c r="DN53" s="116"/>
      <c r="DO53" s="116"/>
      <c r="DP53" s="116"/>
      <c r="DQ53" s="116"/>
      <c r="DR53" s="116"/>
      <c r="DS53" s="116"/>
      <c r="DT53" s="116"/>
      <c r="DU53" s="116"/>
      <c r="DV53" s="116"/>
      <c r="DW53" s="116"/>
      <c r="DX53" s="116"/>
      <c r="DY53" s="116"/>
      <c r="DZ53" s="116"/>
      <c r="EA53" s="116"/>
      <c r="EB53" s="116"/>
      <c r="EC53" s="116"/>
      <c r="ED53" s="116"/>
      <c r="EE53" s="116"/>
      <c r="EF53" s="116"/>
      <c r="EG53" s="116"/>
      <c r="EH53" s="116"/>
      <c r="EI53" s="116"/>
      <c r="EJ53" s="116"/>
      <c r="EK53" s="116"/>
      <c r="EL53" s="116"/>
      <c r="EM53" s="116"/>
      <c r="EN53" s="116"/>
      <c r="EO53" s="116"/>
      <c r="EP53" s="116"/>
      <c r="EQ53" s="116"/>
      <c r="ER53" s="116"/>
      <c r="ES53" s="116"/>
      <c r="ET53" s="116"/>
      <c r="EU53" s="116"/>
      <c r="EV53" s="116"/>
      <c r="EW53" s="116"/>
      <c r="EX53" s="116"/>
      <c r="EY53" s="116"/>
      <c r="EZ53" s="116"/>
      <c r="FA53" s="116"/>
      <c r="FB53" s="116"/>
      <c r="FC53" s="116"/>
      <c r="FD53" s="116"/>
      <c r="FE53" s="116"/>
      <c r="FF53" s="116"/>
      <c r="FG53" s="116"/>
      <c r="FH53" s="116"/>
      <c r="FI53" s="116"/>
      <c r="FJ53" s="116"/>
      <c r="FK53" s="116"/>
      <c r="FL53" s="116"/>
      <c r="FM53" s="116"/>
      <c r="FN53" s="116"/>
      <c r="FO53" s="116"/>
      <c r="FP53" s="116"/>
      <c r="FQ53" s="116"/>
      <c r="FR53" s="116"/>
      <c r="FS53" s="116"/>
      <c r="FT53" s="116"/>
      <c r="FU53" s="116"/>
      <c r="FV53" s="116"/>
      <c r="FW53" s="116"/>
      <c r="FX53" s="116"/>
      <c r="FY53" s="116"/>
      <c r="FZ53" s="116"/>
      <c r="GA53" s="116"/>
      <c r="GB53" s="116"/>
      <c r="GC53" s="116"/>
      <c r="GD53" s="116"/>
      <c r="GE53" s="116"/>
      <c r="GF53" s="116"/>
      <c r="GG53" s="116"/>
      <c r="GH53" s="116"/>
      <c r="GI53" s="116"/>
      <c r="GJ53" s="116"/>
      <c r="GK53" s="116"/>
      <c r="GL53" s="116"/>
      <c r="GM53" s="116"/>
      <c r="GN53" s="116"/>
      <c r="GO53" s="116"/>
      <c r="GP53" s="116"/>
      <c r="GQ53" s="116"/>
      <c r="GR53" s="116"/>
      <c r="GS53" s="116"/>
      <c r="GT53" s="116"/>
      <c r="GU53" s="116"/>
      <c r="GV53" s="116"/>
      <c r="GW53" s="116"/>
      <c r="GX53" s="116"/>
      <c r="GY53" s="116"/>
      <c r="GZ53" s="116"/>
      <c r="HA53" s="116"/>
      <c r="HB53" s="116"/>
      <c r="HC53" s="116"/>
      <c r="HD53" s="116"/>
      <c r="HE53" s="116"/>
      <c r="HF53" s="116"/>
      <c r="HG53" s="116"/>
      <c r="HH53" s="116"/>
      <c r="HI53" s="116"/>
      <c r="HJ53" s="116"/>
      <c r="HK53" s="116"/>
      <c r="HL53" s="116"/>
      <c r="HM53" s="116"/>
      <c r="HN53" s="116"/>
      <c r="HO53" s="116"/>
      <c r="HP53" s="116"/>
      <c r="HQ53" s="116"/>
      <c r="HR53" s="116"/>
      <c r="HS53" s="116"/>
      <c r="HT53" s="116"/>
      <c r="HU53" s="116"/>
      <c r="HV53" s="116"/>
      <c r="HW53" s="116"/>
      <c r="HX53" s="116"/>
      <c r="HY53" s="116"/>
      <c r="HZ53" s="116"/>
      <c r="IA53" s="116"/>
      <c r="IB53" s="116"/>
      <c r="IC53" s="116"/>
      <c r="ID53" s="116"/>
      <c r="IE53" s="116"/>
      <c r="IF53" s="116"/>
      <c r="IG53" s="116"/>
      <c r="IH53" s="116"/>
      <c r="II53" s="116"/>
      <c r="IJ53" s="116"/>
      <c r="IK53" s="116"/>
      <c r="IL53" s="116"/>
      <c r="IM53" s="116"/>
      <c r="IN53" s="116"/>
      <c r="IO53" s="116"/>
      <c r="IP53" s="116"/>
      <c r="IQ53" s="116"/>
      <c r="IR53" s="116"/>
      <c r="IS53" s="117"/>
      <c r="IT53" s="117"/>
      <c r="IU53" s="117"/>
    </row>
    <row r="54" spans="1:255" s="157" customFormat="1" ht="21.75" customHeight="1">
      <c r="A54" s="49"/>
      <c r="B54" s="150"/>
      <c r="C54" s="161" t="s">
        <v>77</v>
      </c>
      <c r="D54" s="42">
        <v>1000000</v>
      </c>
      <c r="E54" s="152">
        <f>96077.92+10000+10000</f>
        <v>116077.92</v>
      </c>
      <c r="F54" s="152"/>
      <c r="G54" s="153">
        <v>0.7</v>
      </c>
      <c r="H54" s="154">
        <f t="shared" si="3"/>
        <v>0.38111468572145329</v>
      </c>
      <c r="I54" s="152">
        <v>44239</v>
      </c>
      <c r="J54" s="85">
        <f t="shared" si="4"/>
        <v>71838.92</v>
      </c>
      <c r="K54" s="82"/>
      <c r="L54" s="82"/>
      <c r="M54" s="155"/>
      <c r="N54" s="156"/>
      <c r="O54" s="160"/>
      <c r="P54" s="48"/>
    </row>
    <row r="55" spans="1:255" s="157" customFormat="1" ht="25.5" customHeight="1">
      <c r="A55" s="49"/>
      <c r="B55" s="150"/>
      <c r="C55" s="162" t="s">
        <v>78</v>
      </c>
      <c r="D55" s="163"/>
      <c r="E55" s="164">
        <v>189032.63</v>
      </c>
      <c r="F55" s="165"/>
      <c r="G55" s="166">
        <v>0.5</v>
      </c>
      <c r="H55" s="167">
        <f t="shared" si="3"/>
        <v>0.99432902139699375</v>
      </c>
      <c r="I55" s="168">
        <v>187960.63</v>
      </c>
      <c r="J55" s="169">
        <f t="shared" si="4"/>
        <v>1072</v>
      </c>
      <c r="K55" s="170"/>
      <c r="L55" s="82"/>
      <c r="M55" s="155"/>
      <c r="N55" s="156"/>
      <c r="O55" s="171"/>
      <c r="P55" s="48"/>
    </row>
    <row r="56" spans="1:255" s="17" customFormat="1" ht="19.5" customHeight="1">
      <c r="A56" s="172"/>
      <c r="B56" s="173"/>
      <c r="C56" s="174" t="s">
        <v>79</v>
      </c>
      <c r="D56" s="175"/>
      <c r="E56" s="176">
        <f t="shared" ref="E56:J56" si="5">SUM(E50:E55)</f>
        <v>6873277.7700000005</v>
      </c>
      <c r="F56" s="176">
        <f>SUM(F19:F27)</f>
        <v>0.29736982666666667</v>
      </c>
      <c r="G56" s="177"/>
      <c r="H56" s="177"/>
      <c r="I56" s="95">
        <f t="shared" si="5"/>
        <v>3927498.42</v>
      </c>
      <c r="J56" s="176">
        <f t="shared" si="5"/>
        <v>2945779.35</v>
      </c>
      <c r="K56" s="176"/>
      <c r="L56" s="176" t="e">
        <f>SUM(#REF!)</f>
        <v>#REF!</v>
      </c>
      <c r="M56" s="178"/>
      <c r="N56" s="14"/>
      <c r="O56" s="179"/>
      <c r="P56" s="48"/>
    </row>
    <row r="57" spans="1:255" s="7" customFormat="1" ht="38.25" customHeight="1">
      <c r="A57" s="180" t="s">
        <v>80</v>
      </c>
      <c r="B57" s="181" t="s">
        <v>80</v>
      </c>
      <c r="C57" s="182" t="s">
        <v>391</v>
      </c>
      <c r="D57" s="183"/>
      <c r="E57" s="184">
        <f>5747643.68+113363.5+96856.9+158708.9</f>
        <v>6116572.9800000004</v>
      </c>
      <c r="F57" s="184"/>
      <c r="G57" s="153">
        <v>0.7</v>
      </c>
      <c r="H57" s="185">
        <f t="shared" ref="H57:H111" si="6">(I57+K57)/E57</f>
        <v>0.86952100749724071</v>
      </c>
      <c r="I57" s="186">
        <f>4768488.7+50000+50000+450000</f>
        <v>5318488.7</v>
      </c>
      <c r="J57" s="85">
        <f t="shared" ref="J57:J111" si="7">E57-I57</f>
        <v>798084.28000000026</v>
      </c>
      <c r="K57" s="187"/>
      <c r="L57" s="82"/>
      <c r="M57" s="155"/>
      <c r="N57" s="47"/>
      <c r="O57" s="89"/>
      <c r="P57" s="48"/>
    </row>
    <row r="58" spans="1:255" s="7" customFormat="1" ht="24" customHeight="1">
      <c r="A58" s="180"/>
      <c r="B58" s="188"/>
      <c r="C58" s="182" t="s">
        <v>81</v>
      </c>
      <c r="D58" s="183"/>
      <c r="E58" s="184">
        <v>75800.5</v>
      </c>
      <c r="F58" s="184"/>
      <c r="G58" s="153">
        <v>1</v>
      </c>
      <c r="H58" s="185">
        <f t="shared" si="6"/>
        <v>1</v>
      </c>
      <c r="I58" s="186">
        <v>75800.5</v>
      </c>
      <c r="J58" s="85">
        <f t="shared" si="7"/>
        <v>0</v>
      </c>
      <c r="K58" s="189">
        <v>0</v>
      </c>
      <c r="L58" s="82"/>
      <c r="M58" s="155"/>
      <c r="N58" s="47"/>
      <c r="O58" s="89"/>
      <c r="P58" s="48"/>
    </row>
    <row r="59" spans="1:255" s="7" customFormat="1" ht="18.95" customHeight="1">
      <c r="A59" s="180"/>
      <c r="B59" s="188"/>
      <c r="C59" s="182" t="s">
        <v>82</v>
      </c>
      <c r="D59" s="183"/>
      <c r="E59" s="190">
        <v>2146487.54</v>
      </c>
      <c r="F59" s="190"/>
      <c r="G59" s="153">
        <v>0.7</v>
      </c>
      <c r="H59" s="185">
        <v>0.9</v>
      </c>
      <c r="I59" s="186">
        <v>2102138.7200000002</v>
      </c>
      <c r="J59" s="85">
        <f t="shared" si="7"/>
        <v>44348.819999999832</v>
      </c>
      <c r="K59" s="189"/>
      <c r="L59" s="191"/>
      <c r="M59" s="192"/>
      <c r="N59" s="193"/>
      <c r="O59" s="89"/>
      <c r="P59" s="48"/>
    </row>
    <row r="60" spans="1:255" s="7" customFormat="1" ht="47.25" customHeight="1">
      <c r="A60" s="180"/>
      <c r="B60" s="188"/>
      <c r="C60" s="182" t="s">
        <v>83</v>
      </c>
      <c r="D60" s="183"/>
      <c r="E60" s="190">
        <f>2411457.74+41929+25157.4+72548.8</f>
        <v>2551092.94</v>
      </c>
      <c r="F60" s="190"/>
      <c r="G60" s="153">
        <v>0.7</v>
      </c>
      <c r="H60" s="185">
        <f t="shared" si="6"/>
        <v>0.79378969627033658</v>
      </c>
      <c r="I60" s="194">
        <f>1625031.29+50000+350000</f>
        <v>2025031.29</v>
      </c>
      <c r="J60" s="85">
        <f t="shared" si="7"/>
        <v>526061.64999999991</v>
      </c>
      <c r="K60" s="187"/>
      <c r="L60" s="82"/>
      <c r="M60" s="155"/>
      <c r="N60" s="195"/>
      <c r="O60" s="89"/>
      <c r="P60" s="48"/>
    </row>
    <row r="61" spans="1:255" s="7" customFormat="1" ht="24.95" customHeight="1">
      <c r="A61" s="180"/>
      <c r="B61" s="188"/>
      <c r="C61" s="182" t="s">
        <v>84</v>
      </c>
      <c r="D61" s="42"/>
      <c r="E61" s="190">
        <v>49272.712500000001</v>
      </c>
      <c r="F61" s="190"/>
      <c r="G61" s="153">
        <v>1</v>
      </c>
      <c r="H61" s="185">
        <f t="shared" si="6"/>
        <v>1</v>
      </c>
      <c r="I61" s="194">
        <v>49272.712500000001</v>
      </c>
      <c r="J61" s="85">
        <f t="shared" si="7"/>
        <v>0</v>
      </c>
      <c r="K61" s="68">
        <v>0</v>
      </c>
      <c r="L61" s="82"/>
      <c r="M61" s="155"/>
      <c r="N61" s="195"/>
      <c r="O61" s="89"/>
      <c r="P61" s="48"/>
    </row>
    <row r="62" spans="1:255" s="7" customFormat="1" ht="27" customHeight="1">
      <c r="A62" s="180"/>
      <c r="B62" s="188"/>
      <c r="C62" s="182" t="s">
        <v>85</v>
      </c>
      <c r="D62" s="42"/>
      <c r="E62" s="190">
        <f>3106826.88+45120+62059.2</f>
        <v>3214006.08</v>
      </c>
      <c r="F62" s="190"/>
      <c r="G62" s="153">
        <v>0.7</v>
      </c>
      <c r="H62" s="185">
        <f t="shared" si="6"/>
        <v>0.85227794590855288</v>
      </c>
      <c r="I62" s="196">
        <f>2239226.5+50000+450000</f>
        <v>2739226.5</v>
      </c>
      <c r="J62" s="85">
        <f t="shared" si="7"/>
        <v>474779.58000000007</v>
      </c>
      <c r="K62" s="68"/>
      <c r="L62" s="82"/>
      <c r="M62" s="155"/>
      <c r="N62" s="195"/>
      <c r="O62" s="89"/>
      <c r="P62" s="48"/>
    </row>
    <row r="63" spans="1:255" s="7" customFormat="1" ht="27" customHeight="1">
      <c r="A63" s="180"/>
      <c r="B63" s="188"/>
      <c r="C63" s="182" t="s">
        <v>86</v>
      </c>
      <c r="D63" s="42"/>
      <c r="E63" s="190">
        <v>316786.40000000002</v>
      </c>
      <c r="F63" s="190"/>
      <c r="G63" s="153">
        <v>1</v>
      </c>
      <c r="H63" s="185">
        <f t="shared" si="6"/>
        <v>1</v>
      </c>
      <c r="I63" s="196">
        <v>316786.40000000002</v>
      </c>
      <c r="J63" s="85">
        <f t="shared" si="7"/>
        <v>0</v>
      </c>
      <c r="K63" s="68">
        <v>0</v>
      </c>
      <c r="L63" s="82"/>
      <c r="M63" s="155"/>
      <c r="N63" s="195"/>
      <c r="O63" s="89"/>
      <c r="P63" s="48"/>
    </row>
    <row r="64" spans="1:255" s="7" customFormat="1" ht="17.100000000000001" customHeight="1">
      <c r="A64" s="180"/>
      <c r="B64" s="188"/>
      <c r="C64" s="182" t="s">
        <v>87</v>
      </c>
      <c r="D64" s="42"/>
      <c r="E64" s="190">
        <f>1938522.72+23700+38460</f>
        <v>2000682.72</v>
      </c>
      <c r="F64" s="190"/>
      <c r="G64" s="153">
        <v>0.7</v>
      </c>
      <c r="H64" s="185">
        <f t="shared" si="6"/>
        <v>0.79991681539589643</v>
      </c>
      <c r="I64" s="196">
        <v>1600379.75</v>
      </c>
      <c r="J64" s="85">
        <f t="shared" si="7"/>
        <v>400302.97</v>
      </c>
      <c r="K64" s="68"/>
      <c r="L64" s="82"/>
      <c r="M64" s="155"/>
      <c r="N64" s="195"/>
      <c r="O64" s="89"/>
      <c r="P64" s="48"/>
    </row>
    <row r="65" spans="1:16" s="7" customFormat="1" ht="21.95" customHeight="1">
      <c r="A65" s="180"/>
      <c r="B65" s="188"/>
      <c r="C65" s="182" t="s">
        <v>88</v>
      </c>
      <c r="D65" s="42"/>
      <c r="E65" s="190">
        <v>641177.14</v>
      </c>
      <c r="F65" s="190"/>
      <c r="G65" s="153">
        <v>0.7</v>
      </c>
      <c r="H65" s="185">
        <f t="shared" si="6"/>
        <v>0.87384787299185374</v>
      </c>
      <c r="I65" s="196">
        <f>630000-I66</f>
        <v>560291.28</v>
      </c>
      <c r="J65" s="85">
        <f t="shared" si="7"/>
        <v>80885.859999999986</v>
      </c>
      <c r="K65" s="189"/>
      <c r="L65" s="82"/>
      <c r="M65" s="155"/>
      <c r="N65" s="47"/>
      <c r="O65" s="89"/>
      <c r="P65" s="48"/>
    </row>
    <row r="66" spans="1:16" s="7" customFormat="1" ht="17.100000000000001" customHeight="1">
      <c r="A66" s="180"/>
      <c r="B66" s="188"/>
      <c r="C66" s="182" t="s">
        <v>89</v>
      </c>
      <c r="D66" s="42"/>
      <c r="E66" s="190">
        <v>69708.72</v>
      </c>
      <c r="F66" s="190"/>
      <c r="G66" s="153">
        <v>1</v>
      </c>
      <c r="H66" s="185">
        <f t="shared" si="6"/>
        <v>1</v>
      </c>
      <c r="I66" s="196">
        <v>69708.72</v>
      </c>
      <c r="J66" s="85">
        <f t="shared" si="7"/>
        <v>0</v>
      </c>
      <c r="K66" s="189">
        <v>0</v>
      </c>
      <c r="L66" s="82"/>
      <c r="M66" s="155"/>
      <c r="N66" s="47"/>
      <c r="O66" s="89"/>
      <c r="P66" s="48"/>
    </row>
    <row r="67" spans="1:16" s="7" customFormat="1" ht="21" customHeight="1">
      <c r="A67" s="180"/>
      <c r="B67" s="188"/>
      <c r="C67" s="182" t="s">
        <v>90</v>
      </c>
      <c r="D67" s="42"/>
      <c r="E67" s="190">
        <f>1148096.8+9000</f>
        <v>1157096.8</v>
      </c>
      <c r="F67" s="190"/>
      <c r="G67" s="153">
        <v>0.85</v>
      </c>
      <c r="H67" s="185">
        <f t="shared" si="6"/>
        <v>0.81504071223773156</v>
      </c>
      <c r="I67" s="196">
        <v>943081</v>
      </c>
      <c r="J67" s="85">
        <f t="shared" si="7"/>
        <v>214015.80000000005</v>
      </c>
      <c r="K67" s="189"/>
      <c r="L67" s="82"/>
      <c r="M67" s="155"/>
      <c r="N67" s="47"/>
      <c r="O67" s="89"/>
      <c r="P67" s="48"/>
    </row>
    <row r="68" spans="1:16" s="7" customFormat="1" ht="24" customHeight="1">
      <c r="A68" s="180"/>
      <c r="B68" s="188"/>
      <c r="C68" s="182" t="s">
        <v>91</v>
      </c>
      <c r="D68" s="163"/>
      <c r="E68" s="197">
        <f>775260.29+22600</f>
        <v>797860.29</v>
      </c>
      <c r="F68" s="190"/>
      <c r="G68" s="153">
        <v>0.7</v>
      </c>
      <c r="H68" s="185">
        <f t="shared" si="6"/>
        <v>0.86551869876867782</v>
      </c>
      <c r="I68" s="196">
        <f>610563+80000</f>
        <v>690563</v>
      </c>
      <c r="J68" s="85">
        <f t="shared" si="7"/>
        <v>107297.29000000004</v>
      </c>
      <c r="K68" s="189"/>
      <c r="L68" s="82"/>
      <c r="M68" s="155"/>
      <c r="N68" s="47"/>
      <c r="O68" s="89"/>
      <c r="P68" s="48"/>
    </row>
    <row r="69" spans="1:16" s="7" customFormat="1" ht="30" customHeight="1">
      <c r="A69" s="180"/>
      <c r="B69" s="188"/>
      <c r="C69" s="182" t="s">
        <v>92</v>
      </c>
      <c r="D69" s="163"/>
      <c r="E69" s="197">
        <v>129635.4</v>
      </c>
      <c r="F69" s="190"/>
      <c r="G69" s="153">
        <v>1</v>
      </c>
      <c r="H69" s="185">
        <f t="shared" si="6"/>
        <v>1</v>
      </c>
      <c r="I69" s="196">
        <v>129635.4</v>
      </c>
      <c r="J69" s="85">
        <f t="shared" si="7"/>
        <v>0</v>
      </c>
      <c r="K69" s="189"/>
      <c r="L69" s="82"/>
      <c r="M69" s="155"/>
      <c r="N69" s="47"/>
      <c r="O69" s="89"/>
      <c r="P69" s="48"/>
    </row>
    <row r="70" spans="1:16" s="7" customFormat="1" ht="21" customHeight="1">
      <c r="A70" s="180"/>
      <c r="B70" s="188"/>
      <c r="C70" s="182" t="s">
        <v>93</v>
      </c>
      <c r="D70" s="163"/>
      <c r="E70" s="197">
        <v>11219669.2990098</v>
      </c>
      <c r="F70" s="190"/>
      <c r="G70" s="153">
        <v>0.64800000000000002</v>
      </c>
      <c r="H70" s="185">
        <f t="shared" si="6"/>
        <v>0.63097750845693767</v>
      </c>
      <c r="I70" s="196">
        <f>4629358.98+500000+1950000</f>
        <v>7079358.9800000004</v>
      </c>
      <c r="J70" s="85">
        <f t="shared" si="7"/>
        <v>4140310.3190097995</v>
      </c>
      <c r="K70" s="189"/>
      <c r="L70" s="82"/>
      <c r="M70" s="155"/>
      <c r="N70" s="47"/>
      <c r="O70" s="89"/>
      <c r="P70" s="48"/>
    </row>
    <row r="71" spans="1:16" s="7" customFormat="1" ht="21" customHeight="1">
      <c r="A71" s="180"/>
      <c r="B71" s="188"/>
      <c r="C71" s="182" t="s">
        <v>94</v>
      </c>
      <c r="D71" s="163"/>
      <c r="E71" s="197">
        <v>90000</v>
      </c>
      <c r="F71" s="190"/>
      <c r="G71" s="153">
        <v>0.7</v>
      </c>
      <c r="H71" s="185">
        <f t="shared" si="6"/>
        <v>1</v>
      </c>
      <c r="I71" s="196">
        <v>90000</v>
      </c>
      <c r="J71" s="85">
        <f t="shared" si="7"/>
        <v>0</v>
      </c>
      <c r="K71" s="189"/>
      <c r="L71" s="82"/>
      <c r="M71" s="155"/>
      <c r="N71" s="47"/>
      <c r="O71" s="89"/>
      <c r="P71" s="48"/>
    </row>
    <row r="72" spans="1:16" s="7" customFormat="1" ht="41.25" customHeight="1">
      <c r="A72" s="198"/>
      <c r="B72" s="199"/>
      <c r="C72" s="200" t="s">
        <v>95</v>
      </c>
      <c r="D72" s="201"/>
      <c r="E72" s="197">
        <f>662151.65+72192+63149.8</f>
        <v>797493.45000000007</v>
      </c>
      <c r="F72" s="202"/>
      <c r="G72" s="203">
        <v>0.7</v>
      </c>
      <c r="H72" s="204">
        <f t="shared" si="6"/>
        <v>0.72325070506848665</v>
      </c>
      <c r="I72" s="205">
        <f>516787.7+60000</f>
        <v>576787.69999999995</v>
      </c>
      <c r="J72" s="206">
        <f t="shared" si="7"/>
        <v>220705.75000000012</v>
      </c>
      <c r="K72" s="207"/>
      <c r="L72" s="208"/>
      <c r="M72" s="209"/>
      <c r="N72" s="210"/>
      <c r="O72" s="89"/>
      <c r="P72" s="48"/>
    </row>
    <row r="73" spans="1:16" s="213" customFormat="1" ht="21.75" customHeight="1">
      <c r="A73" s="198"/>
      <c r="B73" s="199"/>
      <c r="C73" s="200" t="s">
        <v>96</v>
      </c>
      <c r="D73" s="201"/>
      <c r="E73" s="197">
        <f>79464.4+1804</f>
        <v>81268.399999999994</v>
      </c>
      <c r="F73" s="202"/>
      <c r="G73" s="203">
        <v>0.7</v>
      </c>
      <c r="H73" s="204">
        <f t="shared" si="6"/>
        <v>0.81827623036752295</v>
      </c>
      <c r="I73" s="196">
        <v>66500</v>
      </c>
      <c r="J73" s="206">
        <f t="shared" si="7"/>
        <v>14768.399999999994</v>
      </c>
      <c r="K73" s="211"/>
      <c r="L73" s="208"/>
      <c r="M73" s="209"/>
      <c r="N73" s="210"/>
      <c r="O73" s="212"/>
      <c r="P73" s="48"/>
    </row>
    <row r="74" spans="1:16" s="213" customFormat="1" ht="21" customHeight="1">
      <c r="A74" s="198"/>
      <c r="B74" s="199"/>
      <c r="C74" s="182" t="s">
        <v>97</v>
      </c>
      <c r="D74" s="201"/>
      <c r="E74" s="197">
        <v>869542.06</v>
      </c>
      <c r="F74" s="202"/>
      <c r="G74" s="203">
        <v>0.7</v>
      </c>
      <c r="H74" s="204">
        <f t="shared" si="6"/>
        <v>0.92194735237994119</v>
      </c>
      <c r="I74" s="196">
        <f>751672+50000</f>
        <v>801672</v>
      </c>
      <c r="J74" s="206">
        <f t="shared" si="7"/>
        <v>67870.060000000056</v>
      </c>
      <c r="K74" s="211"/>
      <c r="L74" s="208"/>
      <c r="M74" s="209"/>
      <c r="N74" s="210"/>
      <c r="O74" s="212"/>
      <c r="P74" s="48"/>
    </row>
    <row r="75" spans="1:16" s="213" customFormat="1" ht="18" customHeight="1">
      <c r="A75" s="198"/>
      <c r="B75" s="199"/>
      <c r="C75" s="200" t="s">
        <v>98</v>
      </c>
      <c r="D75" s="214"/>
      <c r="E75" s="190">
        <v>1244237</v>
      </c>
      <c r="F75" s="202"/>
      <c r="G75" s="203"/>
      <c r="H75" s="204">
        <f t="shared" si="6"/>
        <v>1</v>
      </c>
      <c r="I75" s="186">
        <v>1244237</v>
      </c>
      <c r="J75" s="206">
        <f t="shared" si="7"/>
        <v>0</v>
      </c>
      <c r="K75" s="215"/>
      <c r="L75" s="208"/>
      <c r="M75" s="209"/>
      <c r="N75" s="4"/>
      <c r="O75" s="212"/>
      <c r="P75" s="48"/>
    </row>
    <row r="76" spans="1:16" s="213" customFormat="1" ht="18" customHeight="1">
      <c r="A76" s="198"/>
      <c r="B76" s="199"/>
      <c r="C76" s="200" t="s">
        <v>99</v>
      </c>
      <c r="D76" s="216"/>
      <c r="E76" s="197">
        <f>562289.66+12535.2</f>
        <v>574824.86</v>
      </c>
      <c r="F76" s="202"/>
      <c r="G76" s="203">
        <v>0.7</v>
      </c>
      <c r="H76" s="204">
        <f t="shared" si="6"/>
        <v>0.8474476904147813</v>
      </c>
      <c r="I76" s="186">
        <v>487134</v>
      </c>
      <c r="J76" s="206">
        <f t="shared" si="7"/>
        <v>87690.859999999986</v>
      </c>
      <c r="K76" s="211"/>
      <c r="L76" s="208"/>
      <c r="M76" s="209"/>
      <c r="N76" s="210"/>
      <c r="O76" s="212"/>
      <c r="P76" s="48"/>
    </row>
    <row r="77" spans="1:16" s="213" customFormat="1" ht="23.1" customHeight="1">
      <c r="A77" s="198"/>
      <c r="B77" s="199"/>
      <c r="C77" s="200" t="s">
        <v>100</v>
      </c>
      <c r="D77" s="217"/>
      <c r="E77" s="190">
        <v>110167.13</v>
      </c>
      <c r="F77" s="202"/>
      <c r="G77" s="203">
        <v>0.7</v>
      </c>
      <c r="H77" s="204">
        <f t="shared" si="6"/>
        <v>1</v>
      </c>
      <c r="I77" s="218">
        <v>110167.13</v>
      </c>
      <c r="J77" s="206">
        <f t="shared" si="7"/>
        <v>0</v>
      </c>
      <c r="K77" s="215"/>
      <c r="L77" s="208"/>
      <c r="M77" s="209"/>
      <c r="N77" s="4"/>
      <c r="O77" s="212"/>
      <c r="P77" s="48"/>
    </row>
    <row r="78" spans="1:16" s="213" customFormat="1" ht="18" customHeight="1">
      <c r="A78" s="198"/>
      <c r="B78" s="199"/>
      <c r="C78" s="200" t="s">
        <v>101</v>
      </c>
      <c r="D78" s="219"/>
      <c r="E78" s="190">
        <v>349373.5</v>
      </c>
      <c r="F78" s="202"/>
      <c r="G78" s="203">
        <v>0.7</v>
      </c>
      <c r="H78" s="204">
        <f t="shared" si="6"/>
        <v>1</v>
      </c>
      <c r="I78" s="186">
        <v>349373.5</v>
      </c>
      <c r="J78" s="206">
        <f t="shared" si="7"/>
        <v>0</v>
      </c>
      <c r="K78" s="215"/>
      <c r="L78" s="208"/>
      <c r="M78" s="209"/>
      <c r="N78" s="4"/>
      <c r="O78" s="212"/>
      <c r="P78" s="48"/>
    </row>
    <row r="79" spans="1:16" s="213" customFormat="1" ht="15.95" customHeight="1">
      <c r="A79" s="198"/>
      <c r="B79" s="199"/>
      <c r="C79" s="200" t="s">
        <v>102</v>
      </c>
      <c r="D79" s="219"/>
      <c r="E79" s="190">
        <v>64966.8</v>
      </c>
      <c r="F79" s="202"/>
      <c r="G79" s="203">
        <v>0.7</v>
      </c>
      <c r="H79" s="204">
        <f t="shared" si="6"/>
        <v>0.82349754028211331</v>
      </c>
      <c r="I79" s="196">
        <v>53500</v>
      </c>
      <c r="J79" s="206">
        <f t="shared" si="7"/>
        <v>11466.800000000003</v>
      </c>
      <c r="K79" s="215"/>
      <c r="L79" s="208"/>
      <c r="M79" s="209"/>
      <c r="N79" s="4"/>
      <c r="O79" s="212"/>
      <c r="P79" s="48"/>
    </row>
    <row r="80" spans="1:16" s="213" customFormat="1" ht="21.95" customHeight="1">
      <c r="A80" s="198"/>
      <c r="B80" s="199"/>
      <c r="C80" s="200" t="s">
        <v>103</v>
      </c>
      <c r="D80" s="219"/>
      <c r="E80" s="190">
        <v>369275</v>
      </c>
      <c r="F80" s="202"/>
      <c r="G80" s="203">
        <v>0.7</v>
      </c>
      <c r="H80" s="204">
        <f t="shared" si="6"/>
        <v>0.91461783223884641</v>
      </c>
      <c r="I80" s="196">
        <f>277745.5+30000+30000</f>
        <v>337745.5</v>
      </c>
      <c r="J80" s="206">
        <f t="shared" si="7"/>
        <v>31529.5</v>
      </c>
      <c r="K80" s="215"/>
      <c r="L80" s="208"/>
      <c r="M80" s="209"/>
      <c r="N80" s="4"/>
      <c r="O80" s="212"/>
      <c r="P80" s="48"/>
    </row>
    <row r="81" spans="1:16" s="213" customFormat="1" ht="21.95" customHeight="1">
      <c r="A81" s="198"/>
      <c r="B81" s="199"/>
      <c r="C81" s="200" t="s">
        <v>104</v>
      </c>
      <c r="D81" s="219"/>
      <c r="E81" s="190">
        <v>76840</v>
      </c>
      <c r="F81" s="202"/>
      <c r="G81" s="203">
        <v>0.7</v>
      </c>
      <c r="H81" s="204">
        <f t="shared" si="6"/>
        <v>0.88105153565851124</v>
      </c>
      <c r="I81" s="196">
        <v>67700</v>
      </c>
      <c r="J81" s="206">
        <f t="shared" si="7"/>
        <v>9140</v>
      </c>
      <c r="K81" s="211"/>
      <c r="L81" s="208"/>
      <c r="M81" s="209"/>
      <c r="N81" s="210"/>
      <c r="O81" s="212"/>
      <c r="P81" s="48"/>
    </row>
    <row r="82" spans="1:16" s="213" customFormat="1" ht="24" customHeight="1">
      <c r="A82" s="198"/>
      <c r="B82" s="199"/>
      <c r="C82" s="200" t="s">
        <v>105</v>
      </c>
      <c r="D82" s="219"/>
      <c r="E82" s="190">
        <v>140012.26</v>
      </c>
      <c r="F82" s="202"/>
      <c r="G82" s="203">
        <v>0.7</v>
      </c>
      <c r="H82" s="204">
        <f t="shared" si="6"/>
        <v>0.99991243623951209</v>
      </c>
      <c r="I82" s="196">
        <v>140000</v>
      </c>
      <c r="J82" s="206">
        <f t="shared" si="7"/>
        <v>12.260000000009313</v>
      </c>
      <c r="K82" s="215"/>
      <c r="L82" s="208"/>
      <c r="M82" s="209"/>
      <c r="N82" s="4"/>
      <c r="O82" s="212"/>
      <c r="P82" s="48"/>
    </row>
    <row r="83" spans="1:16" s="213" customFormat="1" ht="18.95" customHeight="1">
      <c r="A83" s="198"/>
      <c r="B83" s="199"/>
      <c r="C83" s="200" t="s">
        <v>106</v>
      </c>
      <c r="D83" s="219"/>
      <c r="E83" s="190">
        <v>55105.36</v>
      </c>
      <c r="F83" s="202"/>
      <c r="G83" s="203">
        <v>0.7</v>
      </c>
      <c r="H83" s="204">
        <f t="shared" si="6"/>
        <v>0.90735275116612979</v>
      </c>
      <c r="I83" s="196">
        <v>50000</v>
      </c>
      <c r="J83" s="206">
        <f t="shared" si="7"/>
        <v>5105.3600000000006</v>
      </c>
      <c r="K83" s="215"/>
      <c r="L83" s="208"/>
      <c r="M83" s="209"/>
      <c r="N83" s="4"/>
      <c r="O83" s="212"/>
      <c r="P83" s="48"/>
    </row>
    <row r="84" spans="1:16" s="213" customFormat="1" ht="17.100000000000001" customHeight="1">
      <c r="A84" s="198"/>
      <c r="B84" s="199"/>
      <c r="C84" s="200" t="s">
        <v>107</v>
      </c>
      <c r="D84" s="219"/>
      <c r="E84" s="190">
        <v>41141</v>
      </c>
      <c r="F84" s="202"/>
      <c r="G84" s="203">
        <v>0.7</v>
      </c>
      <c r="H84" s="204">
        <f t="shared" si="6"/>
        <v>1</v>
      </c>
      <c r="I84" s="196">
        <v>41141</v>
      </c>
      <c r="J84" s="206">
        <f t="shared" si="7"/>
        <v>0</v>
      </c>
      <c r="K84" s="215"/>
      <c r="L84" s="208"/>
      <c r="M84" s="209"/>
      <c r="N84" s="4"/>
      <c r="O84" s="212"/>
      <c r="P84" s="48"/>
    </row>
    <row r="85" spans="1:16" s="213" customFormat="1" ht="21" customHeight="1">
      <c r="A85" s="198"/>
      <c r="B85" s="199"/>
      <c r="C85" s="200" t="s">
        <v>108</v>
      </c>
      <c r="D85" s="219"/>
      <c r="E85" s="190">
        <v>353506.3</v>
      </c>
      <c r="F85" s="202"/>
      <c r="G85" s="203">
        <v>0.7</v>
      </c>
      <c r="H85" s="204">
        <f t="shared" si="6"/>
        <v>0.99999748236452923</v>
      </c>
      <c r="I85" s="196">
        <v>353505.41</v>
      </c>
      <c r="J85" s="206">
        <f t="shared" si="7"/>
        <v>0.89000000001396984</v>
      </c>
      <c r="K85" s="215"/>
      <c r="L85" s="208"/>
      <c r="M85" s="209"/>
      <c r="N85" s="4"/>
      <c r="O85" s="212"/>
      <c r="P85" s="48"/>
    </row>
    <row r="86" spans="1:16" s="213" customFormat="1" ht="21" customHeight="1">
      <c r="A86" s="198"/>
      <c r="B86" s="199"/>
      <c r="C86" s="200" t="s">
        <v>109</v>
      </c>
      <c r="D86" s="219"/>
      <c r="E86" s="190">
        <v>938327.99</v>
      </c>
      <c r="F86" s="202"/>
      <c r="G86" s="203">
        <v>0.7</v>
      </c>
      <c r="H86" s="204">
        <f t="shared" si="6"/>
        <v>0.95382425925501813</v>
      </c>
      <c r="I86" s="196">
        <v>895000</v>
      </c>
      <c r="J86" s="206">
        <f t="shared" si="7"/>
        <v>43327.989999999991</v>
      </c>
      <c r="K86" s="215"/>
      <c r="L86" s="208"/>
      <c r="M86" s="209"/>
      <c r="N86" s="4"/>
      <c r="O86" s="212"/>
      <c r="P86" s="48"/>
    </row>
    <row r="87" spans="1:16" s="213" customFormat="1" ht="21" customHeight="1">
      <c r="A87" s="198"/>
      <c r="B87" s="199"/>
      <c r="C87" s="200" t="s">
        <v>110</v>
      </c>
      <c r="D87" s="219"/>
      <c r="E87" s="190">
        <v>434749.74</v>
      </c>
      <c r="F87" s="202"/>
      <c r="G87" s="203">
        <v>0.7</v>
      </c>
      <c r="H87" s="204">
        <f t="shared" si="6"/>
        <v>0.99999829787132255</v>
      </c>
      <c r="I87" s="196">
        <v>434749</v>
      </c>
      <c r="J87" s="206">
        <f t="shared" si="7"/>
        <v>0.73999999999068677</v>
      </c>
      <c r="K87" s="215"/>
      <c r="L87" s="208"/>
      <c r="M87" s="209"/>
      <c r="N87" s="4"/>
      <c r="O87" s="212"/>
      <c r="P87" s="48"/>
    </row>
    <row r="88" spans="1:16" s="213" customFormat="1" ht="40.5" customHeight="1">
      <c r="A88" s="198"/>
      <c r="B88" s="199"/>
      <c r="C88" s="200" t="s">
        <v>111</v>
      </c>
      <c r="D88" s="219"/>
      <c r="E88" s="190">
        <f>1550429.39+350761.3+230550.3+488497.2</f>
        <v>2620238.19</v>
      </c>
      <c r="F88" s="202"/>
      <c r="G88" s="203">
        <v>0.7</v>
      </c>
      <c r="H88" s="204">
        <f t="shared" si="6"/>
        <v>0.47133119603908985</v>
      </c>
      <c r="I88" s="205">
        <v>1235000</v>
      </c>
      <c r="J88" s="206">
        <f t="shared" si="7"/>
        <v>1385238.19</v>
      </c>
      <c r="K88" s="207"/>
      <c r="L88" s="208"/>
      <c r="M88" s="209"/>
      <c r="N88" s="4"/>
      <c r="O88" s="212"/>
      <c r="P88" s="48"/>
    </row>
    <row r="89" spans="1:16" s="213" customFormat="1" ht="21" customHeight="1">
      <c r="A89" s="198"/>
      <c r="B89" s="199"/>
      <c r="C89" s="200" t="s">
        <v>112</v>
      </c>
      <c r="D89" s="219"/>
      <c r="E89" s="190">
        <v>1050222.8</v>
      </c>
      <c r="F89" s="202"/>
      <c r="G89" s="203">
        <v>1</v>
      </c>
      <c r="H89" s="204">
        <f t="shared" si="6"/>
        <v>1</v>
      </c>
      <c r="I89" s="196">
        <v>1050222.8</v>
      </c>
      <c r="J89" s="206">
        <f t="shared" si="7"/>
        <v>0</v>
      </c>
      <c r="K89" s="215"/>
      <c r="L89" s="208"/>
      <c r="M89" s="209"/>
      <c r="N89" s="4"/>
      <c r="O89" s="212"/>
      <c r="P89" s="48"/>
    </row>
    <row r="90" spans="1:16" s="213" customFormat="1" ht="21" customHeight="1">
      <c r="A90" s="198"/>
      <c r="B90" s="199"/>
      <c r="C90" s="200" t="s">
        <v>113</v>
      </c>
      <c r="D90" s="219"/>
      <c r="E90" s="190">
        <v>5879995.5700000003</v>
      </c>
      <c r="F90" s="202"/>
      <c r="G90" s="203">
        <v>0.7</v>
      </c>
      <c r="H90" s="204">
        <f t="shared" si="6"/>
        <v>1</v>
      </c>
      <c r="I90" s="196">
        <v>5879995.5700000003</v>
      </c>
      <c r="J90" s="206">
        <f t="shared" si="7"/>
        <v>0</v>
      </c>
      <c r="K90" s="215"/>
      <c r="L90" s="208"/>
      <c r="M90" s="209"/>
      <c r="N90" s="4"/>
      <c r="O90" s="212"/>
      <c r="P90" s="48"/>
    </row>
    <row r="91" spans="1:16" s="213" customFormat="1" ht="21" customHeight="1">
      <c r="A91" s="198"/>
      <c r="B91" s="199"/>
      <c r="C91" s="200" t="s">
        <v>114</v>
      </c>
      <c r="D91" s="219"/>
      <c r="E91" s="190">
        <v>2594616.52</v>
      </c>
      <c r="F91" s="202"/>
      <c r="G91" s="203">
        <v>0.7</v>
      </c>
      <c r="H91" s="204">
        <f t="shared" si="6"/>
        <v>0.99847087615090024</v>
      </c>
      <c r="I91" s="196">
        <v>2590649.0299999998</v>
      </c>
      <c r="J91" s="206">
        <f t="shared" si="7"/>
        <v>3967.4900000002235</v>
      </c>
      <c r="K91" s="215"/>
      <c r="L91" s="208"/>
      <c r="M91" s="209"/>
      <c r="N91" s="4"/>
      <c r="O91" s="212"/>
      <c r="P91" s="48"/>
    </row>
    <row r="92" spans="1:16" s="213" customFormat="1" ht="21" customHeight="1">
      <c r="A92" s="198"/>
      <c r="B92" s="199"/>
      <c r="C92" s="200" t="s">
        <v>115</v>
      </c>
      <c r="D92" s="219"/>
      <c r="E92" s="190">
        <v>1684353.14</v>
      </c>
      <c r="F92" s="202"/>
      <c r="G92" s="203">
        <v>0.7</v>
      </c>
      <c r="H92" s="204">
        <f t="shared" si="6"/>
        <v>1</v>
      </c>
      <c r="I92" s="196">
        <v>1684353.14</v>
      </c>
      <c r="J92" s="206">
        <f t="shared" si="7"/>
        <v>0</v>
      </c>
      <c r="K92" s="215"/>
      <c r="L92" s="208"/>
      <c r="M92" s="209"/>
      <c r="N92" s="4"/>
      <c r="O92" s="212"/>
      <c r="P92" s="48"/>
    </row>
    <row r="93" spans="1:16" s="213" customFormat="1" ht="21" customHeight="1">
      <c r="A93" s="198"/>
      <c r="B93" s="199"/>
      <c r="C93" s="200" t="s">
        <v>116</v>
      </c>
      <c r="D93" s="219"/>
      <c r="E93" s="190">
        <v>426040</v>
      </c>
      <c r="F93" s="202"/>
      <c r="G93" s="203">
        <v>0.7</v>
      </c>
      <c r="H93" s="204">
        <f t="shared" si="6"/>
        <v>1</v>
      </c>
      <c r="I93" s="196">
        <v>426040</v>
      </c>
      <c r="J93" s="206">
        <f t="shared" si="7"/>
        <v>0</v>
      </c>
      <c r="K93" s="215"/>
      <c r="L93" s="208"/>
      <c r="M93" s="209"/>
      <c r="N93" s="4"/>
      <c r="O93" s="212"/>
      <c r="P93" s="48"/>
    </row>
    <row r="94" spans="1:16" s="213" customFormat="1" ht="21" customHeight="1">
      <c r="A94" s="198"/>
      <c r="B94" s="199"/>
      <c r="C94" s="200" t="s">
        <v>117</v>
      </c>
      <c r="D94" s="219"/>
      <c r="E94" s="190">
        <v>153580.07999999999</v>
      </c>
      <c r="F94" s="202"/>
      <c r="G94" s="203">
        <v>0.7</v>
      </c>
      <c r="H94" s="204">
        <f t="shared" si="6"/>
        <v>1</v>
      </c>
      <c r="I94" s="196">
        <v>153580.07999999999</v>
      </c>
      <c r="J94" s="206">
        <f t="shared" si="7"/>
        <v>0</v>
      </c>
      <c r="K94" s="215"/>
      <c r="L94" s="208"/>
      <c r="M94" s="209"/>
      <c r="N94" s="4"/>
      <c r="O94" s="212"/>
      <c r="P94" s="48"/>
    </row>
    <row r="95" spans="1:16" s="213" customFormat="1" ht="21" customHeight="1">
      <c r="A95" s="198"/>
      <c r="B95" s="199"/>
      <c r="C95" s="200" t="s">
        <v>118</v>
      </c>
      <c r="D95" s="219"/>
      <c r="E95" s="190">
        <v>158133.25</v>
      </c>
      <c r="F95" s="202"/>
      <c r="G95" s="203">
        <v>0.7</v>
      </c>
      <c r="H95" s="204">
        <f t="shared" si="6"/>
        <v>0.3794268441330334</v>
      </c>
      <c r="I95" s="220">
        <v>60000</v>
      </c>
      <c r="J95" s="206">
        <f t="shared" si="7"/>
        <v>98133.25</v>
      </c>
      <c r="K95" s="215"/>
      <c r="L95" s="208"/>
      <c r="M95" s="209"/>
      <c r="N95" s="4"/>
      <c r="O95" s="212"/>
      <c r="P95" s="48"/>
    </row>
    <row r="96" spans="1:16" s="213" customFormat="1" ht="21" customHeight="1">
      <c r="A96" s="198"/>
      <c r="B96" s="199"/>
      <c r="C96" s="200" t="s">
        <v>119</v>
      </c>
      <c r="D96" s="219"/>
      <c r="E96" s="190">
        <v>384283.8</v>
      </c>
      <c r="F96" s="202"/>
      <c r="G96" s="203">
        <v>0.7</v>
      </c>
      <c r="H96" s="204">
        <f t="shared" si="6"/>
        <v>1</v>
      </c>
      <c r="I96" s="196">
        <v>384283.8</v>
      </c>
      <c r="J96" s="206">
        <f t="shared" si="7"/>
        <v>0</v>
      </c>
      <c r="K96" s="215"/>
      <c r="L96" s="208"/>
      <c r="M96" s="209"/>
      <c r="N96" s="4"/>
      <c r="O96" s="212"/>
      <c r="P96" s="48"/>
    </row>
    <row r="97" spans="1:252" s="213" customFormat="1" ht="21" customHeight="1">
      <c r="A97" s="198"/>
      <c r="B97" s="199"/>
      <c r="C97" s="200" t="s">
        <v>120</v>
      </c>
      <c r="D97" s="219"/>
      <c r="E97" s="190">
        <v>125000</v>
      </c>
      <c r="F97" s="202"/>
      <c r="G97" s="203">
        <v>0.7</v>
      </c>
      <c r="H97" s="204">
        <f t="shared" si="6"/>
        <v>0.72799999999999998</v>
      </c>
      <c r="I97" s="196">
        <v>91000</v>
      </c>
      <c r="J97" s="206">
        <f t="shared" si="7"/>
        <v>34000</v>
      </c>
      <c r="K97" s="215"/>
      <c r="L97" s="208"/>
      <c r="M97" s="209"/>
      <c r="N97" s="4"/>
      <c r="O97" s="212"/>
      <c r="P97" s="48"/>
    </row>
    <row r="98" spans="1:252" s="213" customFormat="1" ht="21" customHeight="1">
      <c r="A98" s="198"/>
      <c r="B98" s="199"/>
      <c r="C98" s="200" t="s">
        <v>121</v>
      </c>
      <c r="D98" s="219"/>
      <c r="E98" s="190">
        <v>137458.71100000001</v>
      </c>
      <c r="F98" s="202"/>
      <c r="G98" s="203">
        <v>0.7</v>
      </c>
      <c r="H98" s="204">
        <f t="shared" si="6"/>
        <v>0.99998755262589356</v>
      </c>
      <c r="I98" s="196">
        <v>137457</v>
      </c>
      <c r="J98" s="206">
        <f t="shared" si="7"/>
        <v>1.7110000000102445</v>
      </c>
      <c r="K98" s="215"/>
      <c r="L98" s="208"/>
      <c r="M98" s="209"/>
      <c r="N98" s="4"/>
      <c r="O98" s="212"/>
      <c r="P98" s="48"/>
    </row>
    <row r="99" spans="1:252" s="213" customFormat="1" ht="21" customHeight="1">
      <c r="A99" s="198"/>
      <c r="B99" s="199"/>
      <c r="C99" s="200" t="s">
        <v>122</v>
      </c>
      <c r="D99" s="219"/>
      <c r="E99" s="190">
        <v>51040</v>
      </c>
      <c r="F99" s="202"/>
      <c r="G99" s="203">
        <v>0.7</v>
      </c>
      <c r="H99" s="204">
        <f t="shared" si="6"/>
        <v>1</v>
      </c>
      <c r="I99" s="196">
        <v>51040</v>
      </c>
      <c r="J99" s="206">
        <f t="shared" si="7"/>
        <v>0</v>
      </c>
      <c r="K99" s="215"/>
      <c r="L99" s="208"/>
      <c r="M99" s="209"/>
      <c r="N99" s="4"/>
      <c r="O99" s="212"/>
      <c r="P99" s="48"/>
    </row>
    <row r="100" spans="1:252" s="213" customFormat="1" ht="21" customHeight="1">
      <c r="A100" s="198"/>
      <c r="B100" s="199"/>
      <c r="C100" s="200" t="s">
        <v>123</v>
      </c>
      <c r="D100" s="219"/>
      <c r="E100" s="190">
        <v>12807.84</v>
      </c>
      <c r="F100" s="202"/>
      <c r="G100" s="203">
        <v>0.7</v>
      </c>
      <c r="H100" s="204">
        <f t="shared" si="6"/>
        <v>0.99993441517070791</v>
      </c>
      <c r="I100" s="196">
        <v>12807</v>
      </c>
      <c r="J100" s="206">
        <f t="shared" si="7"/>
        <v>0.84000000000014552</v>
      </c>
      <c r="K100" s="215"/>
      <c r="L100" s="208"/>
      <c r="M100" s="209"/>
      <c r="N100" s="4"/>
      <c r="O100" s="212"/>
      <c r="P100" s="48"/>
    </row>
    <row r="101" spans="1:252" s="213" customFormat="1" ht="21" customHeight="1">
      <c r="A101" s="198"/>
      <c r="B101" s="199"/>
      <c r="C101" s="200" t="s">
        <v>124</v>
      </c>
      <c r="D101" s="219"/>
      <c r="E101" s="190">
        <v>38640</v>
      </c>
      <c r="F101" s="202"/>
      <c r="G101" s="203">
        <v>0.7</v>
      </c>
      <c r="H101" s="204">
        <f t="shared" si="6"/>
        <v>1</v>
      </c>
      <c r="I101" s="196">
        <v>38640</v>
      </c>
      <c r="J101" s="206">
        <f t="shared" si="7"/>
        <v>0</v>
      </c>
      <c r="K101" s="215"/>
      <c r="L101" s="208"/>
      <c r="M101" s="209"/>
      <c r="N101" s="4"/>
      <c r="O101" s="212"/>
      <c r="P101" s="48"/>
    </row>
    <row r="102" spans="1:252" s="7" customFormat="1" ht="40.15" customHeight="1">
      <c r="A102" s="198"/>
      <c r="B102" s="199"/>
      <c r="C102" s="200" t="s">
        <v>125</v>
      </c>
      <c r="D102" s="219"/>
      <c r="E102" s="190">
        <f>740522.06+140000-146824</f>
        <v>733698.06</v>
      </c>
      <c r="F102" s="202"/>
      <c r="G102" s="203">
        <v>0.7</v>
      </c>
      <c r="H102" s="204">
        <f t="shared" si="6"/>
        <v>0.85209438880075539</v>
      </c>
      <c r="I102" s="196">
        <v>625180</v>
      </c>
      <c r="J102" s="206">
        <f t="shared" si="7"/>
        <v>108518.06000000006</v>
      </c>
      <c r="K102" s="211"/>
      <c r="L102" s="208"/>
      <c r="M102" s="209"/>
      <c r="N102" s="210"/>
      <c r="O102" s="89"/>
      <c r="P102" s="48"/>
      <c r="IR102" s="8"/>
    </row>
    <row r="103" spans="1:252" s="213" customFormat="1" ht="21" customHeight="1">
      <c r="A103" s="198"/>
      <c r="B103" s="199"/>
      <c r="C103" s="200" t="s">
        <v>126</v>
      </c>
      <c r="D103" s="219"/>
      <c r="E103" s="190">
        <v>104160</v>
      </c>
      <c r="F103" s="202"/>
      <c r="G103" s="203">
        <v>0.7</v>
      </c>
      <c r="H103" s="204">
        <f t="shared" si="6"/>
        <v>0.967741935483871</v>
      </c>
      <c r="I103" s="196">
        <v>100800</v>
      </c>
      <c r="J103" s="206">
        <f t="shared" si="7"/>
        <v>3360</v>
      </c>
      <c r="K103" s="215"/>
      <c r="L103" s="208"/>
      <c r="M103" s="209"/>
      <c r="N103" s="4"/>
      <c r="O103" s="212"/>
      <c r="P103" s="48"/>
    </row>
    <row r="104" spans="1:252" s="213" customFormat="1" ht="29.25" customHeight="1">
      <c r="A104" s="198"/>
      <c r="B104" s="199"/>
      <c r="C104" s="200" t="s">
        <v>127</v>
      </c>
      <c r="D104" s="221"/>
      <c r="E104" s="197">
        <f>968910.06+22471.8</f>
        <v>991381.8600000001</v>
      </c>
      <c r="F104" s="222"/>
      <c r="G104" s="223">
        <v>0.7</v>
      </c>
      <c r="H104" s="224">
        <f t="shared" si="6"/>
        <v>0.82185284285915816</v>
      </c>
      <c r="I104" s="196">
        <v>814770</v>
      </c>
      <c r="J104" s="225">
        <f t="shared" si="7"/>
        <v>176611.8600000001</v>
      </c>
      <c r="K104" s="215"/>
      <c r="L104" s="208"/>
      <c r="M104" s="209"/>
      <c r="N104" s="210"/>
      <c r="O104" s="212"/>
      <c r="P104" s="48"/>
      <c r="IR104" s="226"/>
    </row>
    <row r="105" spans="1:252" s="213" customFormat="1" ht="21" customHeight="1">
      <c r="A105" s="198"/>
      <c r="B105" s="199"/>
      <c r="C105" s="200" t="s">
        <v>128</v>
      </c>
      <c r="D105" s="219"/>
      <c r="E105" s="190">
        <v>160024.98000000001</v>
      </c>
      <c r="F105" s="202"/>
      <c r="G105" s="203">
        <v>0.7</v>
      </c>
      <c r="H105" s="204">
        <f t="shared" si="6"/>
        <v>1</v>
      </c>
      <c r="I105" s="196">
        <v>160024.98000000001</v>
      </c>
      <c r="J105" s="206">
        <f t="shared" si="7"/>
        <v>0</v>
      </c>
      <c r="K105" s="215"/>
      <c r="L105" s="208"/>
      <c r="M105" s="209"/>
      <c r="N105" s="4"/>
      <c r="O105" s="212"/>
      <c r="P105" s="48"/>
    </row>
    <row r="106" spans="1:252" s="213" customFormat="1" ht="21" customHeight="1">
      <c r="A106" s="198"/>
      <c r="B106" s="199"/>
      <c r="C106" s="200" t="s">
        <v>129</v>
      </c>
      <c r="D106" s="219"/>
      <c r="E106" s="190">
        <v>81611.100000000006</v>
      </c>
      <c r="F106" s="202"/>
      <c r="G106" s="203">
        <v>0.7</v>
      </c>
      <c r="H106" s="204">
        <f t="shared" si="6"/>
        <v>1</v>
      </c>
      <c r="I106" s="196">
        <v>81611.100000000006</v>
      </c>
      <c r="J106" s="206">
        <f t="shared" si="7"/>
        <v>0</v>
      </c>
      <c r="K106" s="215"/>
      <c r="L106" s="208"/>
      <c r="M106" s="209"/>
      <c r="N106" s="4"/>
      <c r="O106" s="212"/>
      <c r="P106" s="48"/>
    </row>
    <row r="107" spans="1:252" s="213" customFormat="1" ht="21" customHeight="1">
      <c r="A107" s="198"/>
      <c r="B107" s="199"/>
      <c r="C107" s="200" t="s">
        <v>130</v>
      </c>
      <c r="D107" s="219"/>
      <c r="E107" s="190">
        <v>11075.28</v>
      </c>
      <c r="F107" s="202"/>
      <c r="G107" s="203">
        <v>0.7</v>
      </c>
      <c r="H107" s="204">
        <f t="shared" si="6"/>
        <v>1</v>
      </c>
      <c r="I107" s="196">
        <v>11075.28</v>
      </c>
      <c r="J107" s="206">
        <f t="shared" si="7"/>
        <v>0</v>
      </c>
      <c r="K107" s="215"/>
      <c r="L107" s="208"/>
      <c r="M107" s="209"/>
      <c r="N107" s="4"/>
      <c r="O107" s="212"/>
      <c r="P107" s="48"/>
    </row>
    <row r="108" spans="1:252" s="213" customFormat="1" ht="21" customHeight="1">
      <c r="A108" s="198"/>
      <c r="B108" s="199"/>
      <c r="C108" s="200" t="s">
        <v>131</v>
      </c>
      <c r="D108" s="219"/>
      <c r="E108" s="190">
        <v>43314.84</v>
      </c>
      <c r="F108" s="202"/>
      <c r="G108" s="203">
        <v>0.7</v>
      </c>
      <c r="H108" s="204">
        <f t="shared" si="6"/>
        <v>1</v>
      </c>
      <c r="I108" s="196">
        <v>43314.84</v>
      </c>
      <c r="J108" s="206">
        <f t="shared" si="7"/>
        <v>0</v>
      </c>
      <c r="K108" s="215"/>
      <c r="L108" s="208"/>
      <c r="M108" s="209"/>
      <c r="N108" s="4"/>
      <c r="O108" s="212"/>
      <c r="P108" s="48"/>
    </row>
    <row r="109" spans="1:252" s="213" customFormat="1" ht="21" customHeight="1">
      <c r="A109" s="198"/>
      <c r="B109" s="199"/>
      <c r="C109" s="200" t="s">
        <v>132</v>
      </c>
      <c r="D109" s="219"/>
      <c r="E109" s="190">
        <v>8921.7999999999993</v>
      </c>
      <c r="F109" s="202"/>
      <c r="G109" s="203">
        <v>0.7</v>
      </c>
      <c r="H109" s="204">
        <f t="shared" si="6"/>
        <v>1</v>
      </c>
      <c r="I109" s="196">
        <v>8921.7999999999993</v>
      </c>
      <c r="J109" s="206">
        <f t="shared" si="7"/>
        <v>0</v>
      </c>
      <c r="K109" s="215"/>
      <c r="L109" s="208"/>
      <c r="M109" s="209"/>
      <c r="N109" s="4"/>
      <c r="O109" s="212"/>
      <c r="P109" s="48"/>
    </row>
    <row r="110" spans="1:252" s="213" customFormat="1" ht="29.1" customHeight="1">
      <c r="A110" s="198"/>
      <c r="B110" s="199"/>
      <c r="C110" s="200" t="s">
        <v>133</v>
      </c>
      <c r="D110" s="219"/>
      <c r="E110" s="190">
        <v>15000</v>
      </c>
      <c r="F110" s="202"/>
      <c r="G110" s="203">
        <v>1</v>
      </c>
      <c r="H110" s="204">
        <f t="shared" si="6"/>
        <v>1</v>
      </c>
      <c r="I110" s="196">
        <v>15000</v>
      </c>
      <c r="J110" s="206">
        <f t="shared" si="7"/>
        <v>0</v>
      </c>
      <c r="K110" s="215"/>
      <c r="L110" s="208"/>
      <c r="M110" s="209"/>
      <c r="N110" s="4"/>
      <c r="O110" s="212"/>
      <c r="P110" s="48"/>
    </row>
    <row r="111" spans="1:252" s="213" customFormat="1" ht="21" customHeight="1">
      <c r="A111" s="198"/>
      <c r="B111" s="199"/>
      <c r="C111" s="227" t="s">
        <v>134</v>
      </c>
      <c r="D111" s="219"/>
      <c r="E111" s="190">
        <v>16840</v>
      </c>
      <c r="F111" s="202"/>
      <c r="G111" s="203">
        <v>1</v>
      </c>
      <c r="H111" s="204">
        <f t="shared" si="6"/>
        <v>1</v>
      </c>
      <c r="I111" s="220">
        <v>16840</v>
      </c>
      <c r="J111" s="206">
        <f t="shared" si="7"/>
        <v>0</v>
      </c>
      <c r="K111" s="215"/>
      <c r="L111" s="208"/>
      <c r="M111" s="209"/>
      <c r="N111" s="4"/>
      <c r="O111" s="212"/>
      <c r="P111" s="48"/>
    </row>
    <row r="112" spans="1:252" s="213" customFormat="1" ht="21" customHeight="1">
      <c r="A112" s="198"/>
      <c r="B112" s="199"/>
      <c r="C112" s="200" t="s">
        <v>135</v>
      </c>
      <c r="D112" s="219"/>
      <c r="E112" s="190">
        <v>17000</v>
      </c>
      <c r="F112" s="202"/>
      <c r="G112" s="203">
        <v>1</v>
      </c>
      <c r="H112" s="204">
        <v>1</v>
      </c>
      <c r="I112" s="220">
        <v>0</v>
      </c>
      <c r="J112" s="206">
        <v>17000</v>
      </c>
      <c r="K112" s="215"/>
      <c r="L112" s="208"/>
      <c r="M112" s="228"/>
      <c r="N112" s="4"/>
      <c r="O112" s="212"/>
      <c r="P112" s="48"/>
    </row>
    <row r="113" spans="1:16" s="7" customFormat="1" ht="21" customHeight="1">
      <c r="A113" s="198"/>
      <c r="B113" s="199"/>
      <c r="C113" s="200" t="s">
        <v>136</v>
      </c>
      <c r="D113" s="216"/>
      <c r="E113" s="190">
        <f>114567.8+11400+73711.6</f>
        <v>199679.40000000002</v>
      </c>
      <c r="F113" s="202"/>
      <c r="G113" s="203">
        <v>1</v>
      </c>
      <c r="H113" s="204">
        <f>(I113+K113)/E113</f>
        <v>0.50080278686734825</v>
      </c>
      <c r="I113" s="229">
        <v>100000</v>
      </c>
      <c r="J113" s="206">
        <f>E113-I113</f>
        <v>99679.400000000023</v>
      </c>
      <c r="K113" s="215"/>
      <c r="L113" s="208"/>
      <c r="M113" s="209"/>
      <c r="N113" s="4"/>
      <c r="O113" s="89"/>
      <c r="P113" s="48"/>
    </row>
    <row r="114" spans="1:16" s="7" customFormat="1" ht="33.75" hidden="1" customHeight="1">
      <c r="A114" s="198"/>
      <c r="B114" s="199"/>
      <c r="C114" s="200"/>
      <c r="D114" s="217"/>
      <c r="E114" s="120"/>
      <c r="F114" s="214"/>
      <c r="G114" s="203">
        <v>1</v>
      </c>
      <c r="H114" s="204"/>
      <c r="I114" s="45"/>
      <c r="J114" s="206"/>
      <c r="K114" s="215"/>
      <c r="L114" s="208"/>
      <c r="M114" s="209" t="s">
        <v>137</v>
      </c>
      <c r="N114" s="4"/>
      <c r="O114" s="89"/>
      <c r="P114" s="48"/>
    </row>
    <row r="115" spans="1:16" s="7" customFormat="1" ht="21" hidden="1" customHeight="1">
      <c r="A115" s="198"/>
      <c r="B115" s="199"/>
      <c r="C115" s="200"/>
      <c r="D115" s="217"/>
      <c r="E115" s="120"/>
      <c r="F115" s="214"/>
      <c r="G115" s="203">
        <v>1</v>
      </c>
      <c r="H115" s="204"/>
      <c r="I115" s="45"/>
      <c r="J115" s="206"/>
      <c r="K115" s="215"/>
      <c r="L115" s="208"/>
      <c r="M115" s="209" t="s">
        <v>137</v>
      </c>
      <c r="N115" s="4"/>
      <c r="O115" s="89"/>
      <c r="P115" s="48"/>
    </row>
    <row r="116" spans="1:16" s="7" customFormat="1" ht="21" hidden="1" customHeight="1">
      <c r="A116" s="198"/>
      <c r="B116" s="199"/>
      <c r="C116" s="200"/>
      <c r="D116" s="217"/>
      <c r="E116" s="120"/>
      <c r="F116" s="214"/>
      <c r="G116" s="203">
        <v>1</v>
      </c>
      <c r="H116" s="204"/>
      <c r="I116" s="45"/>
      <c r="J116" s="206"/>
      <c r="K116" s="215"/>
      <c r="L116" s="208"/>
      <c r="M116" s="209" t="s">
        <v>137</v>
      </c>
      <c r="N116" s="4"/>
      <c r="O116" s="89"/>
      <c r="P116" s="48"/>
    </row>
    <row r="117" spans="1:16" s="7" customFormat="1" ht="21" hidden="1" customHeight="1">
      <c r="A117" s="198"/>
      <c r="B117" s="199"/>
      <c r="C117" s="200"/>
      <c r="D117" s="217"/>
      <c r="E117" s="120"/>
      <c r="F117" s="214"/>
      <c r="G117" s="203">
        <v>1</v>
      </c>
      <c r="H117" s="204"/>
      <c r="I117" s="45"/>
      <c r="J117" s="206"/>
      <c r="K117" s="215"/>
      <c r="L117" s="208"/>
      <c r="M117" s="209" t="s">
        <v>137</v>
      </c>
      <c r="N117" s="4"/>
      <c r="O117" s="89"/>
      <c r="P117" s="48"/>
    </row>
    <row r="118" spans="1:16" s="7" customFormat="1" ht="19.5" hidden="1" customHeight="1">
      <c r="A118" s="198"/>
      <c r="B118" s="199"/>
      <c r="C118" s="200"/>
      <c r="D118" s="217"/>
      <c r="E118" s="120"/>
      <c r="F118" s="214"/>
      <c r="G118" s="203">
        <v>1</v>
      </c>
      <c r="H118" s="204"/>
      <c r="I118" s="45"/>
      <c r="J118" s="206"/>
      <c r="K118" s="215"/>
      <c r="L118" s="208"/>
      <c r="M118" s="209" t="s">
        <v>137</v>
      </c>
      <c r="N118" s="4"/>
      <c r="O118" s="89"/>
      <c r="P118" s="48"/>
    </row>
    <row r="119" spans="1:16" s="7" customFormat="1" ht="19.5" hidden="1" customHeight="1">
      <c r="A119" s="198"/>
      <c r="B119" s="199"/>
      <c r="C119" s="200"/>
      <c r="D119" s="216"/>
      <c r="E119" s="120"/>
      <c r="F119" s="214"/>
      <c r="G119" s="203">
        <v>1</v>
      </c>
      <c r="H119" s="204"/>
      <c r="I119" s="230"/>
      <c r="J119" s="206"/>
      <c r="K119" s="215"/>
      <c r="L119" s="208"/>
      <c r="M119" s="209" t="s">
        <v>137</v>
      </c>
      <c r="N119" s="4"/>
      <c r="O119" s="89"/>
      <c r="P119" s="48"/>
    </row>
    <row r="120" spans="1:16" s="7" customFormat="1" ht="30" hidden="1" customHeight="1">
      <c r="A120" s="198"/>
      <c r="B120" s="199"/>
      <c r="C120" s="200"/>
      <c r="D120" s="219"/>
      <c r="E120" s="120"/>
      <c r="F120" s="214"/>
      <c r="G120" s="203">
        <v>1</v>
      </c>
      <c r="H120" s="204"/>
      <c r="I120" s="231"/>
      <c r="J120" s="206"/>
      <c r="K120" s="215"/>
      <c r="L120" s="208"/>
      <c r="M120" s="209" t="s">
        <v>137</v>
      </c>
      <c r="N120" s="4"/>
      <c r="O120" s="89"/>
      <c r="P120" s="48"/>
    </row>
    <row r="121" spans="1:16" s="7" customFormat="1" ht="19.5" hidden="1" customHeight="1">
      <c r="A121" s="198"/>
      <c r="B121" s="199"/>
      <c r="C121" s="200"/>
      <c r="D121" s="216"/>
      <c r="E121" s="120"/>
      <c r="F121" s="214"/>
      <c r="G121" s="203">
        <v>1</v>
      </c>
      <c r="H121" s="204"/>
      <c r="I121" s="230"/>
      <c r="J121" s="206"/>
      <c r="K121" s="215"/>
      <c r="L121" s="208"/>
      <c r="M121" s="209" t="s">
        <v>137</v>
      </c>
      <c r="N121" s="4"/>
      <c r="O121" s="89"/>
      <c r="P121" s="48"/>
    </row>
    <row r="122" spans="1:16" s="7" customFormat="1" ht="21" hidden="1" customHeight="1">
      <c r="A122" s="198"/>
      <c r="B122" s="199"/>
      <c r="C122" s="200"/>
      <c r="D122" s="216"/>
      <c r="E122" s="120"/>
      <c r="F122" s="214"/>
      <c r="G122" s="203">
        <v>1</v>
      </c>
      <c r="H122" s="204"/>
      <c r="I122" s="45"/>
      <c r="J122" s="206"/>
      <c r="K122" s="215"/>
      <c r="L122" s="208"/>
      <c r="M122" s="209" t="s">
        <v>137</v>
      </c>
      <c r="N122" s="4"/>
      <c r="O122" s="89"/>
      <c r="P122" s="48"/>
    </row>
    <row r="123" spans="1:16" s="7" customFormat="1" ht="21" hidden="1" customHeight="1">
      <c r="A123" s="198"/>
      <c r="B123" s="199"/>
      <c r="C123" s="200"/>
      <c r="D123" s="232"/>
      <c r="E123" s="120"/>
      <c r="F123" s="214"/>
      <c r="G123" s="203">
        <v>1</v>
      </c>
      <c r="H123" s="233"/>
      <c r="I123" s="234"/>
      <c r="J123" s="235"/>
      <c r="K123" s="215"/>
      <c r="L123" s="208"/>
      <c r="M123" s="209" t="s">
        <v>137</v>
      </c>
      <c r="N123" s="4"/>
      <c r="O123" s="89"/>
      <c r="P123" s="48"/>
    </row>
    <row r="124" spans="1:16" s="7" customFormat="1" ht="21" hidden="1" customHeight="1">
      <c r="A124" s="198"/>
      <c r="B124" s="199"/>
      <c r="C124" s="200"/>
      <c r="D124" s="216"/>
      <c r="E124" s="120"/>
      <c r="F124" s="214"/>
      <c r="G124" s="203">
        <v>1</v>
      </c>
      <c r="H124" s="233"/>
      <c r="I124" s="236"/>
      <c r="J124" s="206"/>
      <c r="K124" s="215"/>
      <c r="L124" s="237"/>
      <c r="M124" s="209" t="s">
        <v>137</v>
      </c>
      <c r="N124" s="4"/>
      <c r="O124" s="89"/>
      <c r="P124" s="48"/>
    </row>
    <row r="125" spans="1:16" s="7" customFormat="1" ht="21" hidden="1" customHeight="1">
      <c r="A125" s="198"/>
      <c r="B125" s="199"/>
      <c r="C125" s="200"/>
      <c r="D125" s="216"/>
      <c r="E125" s="120"/>
      <c r="F125" s="214"/>
      <c r="G125" s="203">
        <v>1</v>
      </c>
      <c r="H125" s="238"/>
      <c r="I125" s="45"/>
      <c r="J125" s="239"/>
      <c r="K125" s="215"/>
      <c r="L125" s="237"/>
      <c r="M125" s="209" t="s">
        <v>137</v>
      </c>
      <c r="N125" s="4"/>
      <c r="O125" s="89"/>
      <c r="P125" s="48"/>
    </row>
    <row r="126" spans="1:16" s="7" customFormat="1" ht="21" hidden="1" customHeight="1">
      <c r="A126" s="198"/>
      <c r="B126" s="199"/>
      <c r="C126" s="200"/>
      <c r="D126" s="217"/>
      <c r="E126" s="120"/>
      <c r="F126" s="214"/>
      <c r="G126" s="203">
        <v>1</v>
      </c>
      <c r="H126" s="240"/>
      <c r="I126" s="45"/>
      <c r="J126" s="241"/>
      <c r="K126" s="215"/>
      <c r="L126" s="237"/>
      <c r="M126" s="209" t="s">
        <v>137</v>
      </c>
      <c r="N126" s="4"/>
      <c r="O126" s="89"/>
      <c r="P126" s="48"/>
    </row>
    <row r="127" spans="1:16" s="7" customFormat="1" ht="21" hidden="1" customHeight="1">
      <c r="A127" s="198"/>
      <c r="B127" s="199"/>
      <c r="C127" s="200"/>
      <c r="D127" s="232"/>
      <c r="E127" s="120"/>
      <c r="F127" s="216"/>
      <c r="G127" s="203">
        <v>1</v>
      </c>
      <c r="H127" s="238"/>
      <c r="I127" s="230"/>
      <c r="J127" s="241"/>
      <c r="K127" s="215"/>
      <c r="L127" s="237"/>
      <c r="M127" s="209" t="s">
        <v>137</v>
      </c>
      <c r="N127" s="4"/>
      <c r="O127" s="89"/>
      <c r="P127" s="48"/>
    </row>
    <row r="128" spans="1:16" s="7" customFormat="1" ht="21" customHeight="1">
      <c r="A128" s="198"/>
      <c r="B128" s="199"/>
      <c r="C128" s="242" t="s">
        <v>138</v>
      </c>
      <c r="D128" s="214"/>
      <c r="E128" s="243">
        <v>100000</v>
      </c>
      <c r="F128" s="216"/>
      <c r="G128" s="203"/>
      <c r="H128" s="204"/>
      <c r="I128" s="244"/>
      <c r="J128" s="245"/>
      <c r="K128" s="215"/>
      <c r="L128" s="237"/>
      <c r="M128" s="246" t="s">
        <v>139</v>
      </c>
      <c r="N128" s="247"/>
      <c r="O128" s="89"/>
      <c r="P128" s="48"/>
    </row>
    <row r="129" spans="1:252" s="7" customFormat="1" ht="21" customHeight="1">
      <c r="A129" s="248"/>
      <c r="B129" s="249"/>
      <c r="C129" s="250" t="s">
        <v>140</v>
      </c>
      <c r="D129" s="251"/>
      <c r="E129" s="190">
        <v>56526.5</v>
      </c>
      <c r="F129" s="190"/>
      <c r="G129" s="153">
        <v>1</v>
      </c>
      <c r="H129" s="185">
        <f t="shared" ref="H129:H135" si="8">(I129+K129)/E129</f>
        <v>0</v>
      </c>
      <c r="I129" s="244">
        <v>0</v>
      </c>
      <c r="J129" s="252">
        <f t="shared" ref="J129:J134" si="9">E129-I129</f>
        <v>56526.5</v>
      </c>
      <c r="K129" s="189"/>
      <c r="L129" s="82"/>
      <c r="M129" s="253"/>
      <c r="N129" s="254"/>
      <c r="O129" s="89"/>
      <c r="P129" s="48"/>
      <c r="IR129" s="8"/>
    </row>
    <row r="130" spans="1:252" s="7" customFormat="1" ht="21" customHeight="1">
      <c r="A130" s="198"/>
      <c r="B130" s="199"/>
      <c r="C130" s="242" t="s">
        <v>141</v>
      </c>
      <c r="D130" s="214"/>
      <c r="E130" s="255">
        <v>2400</v>
      </c>
      <c r="F130" s="216"/>
      <c r="G130" s="203"/>
      <c r="H130" s="204"/>
      <c r="I130" s="244"/>
      <c r="J130" s="245"/>
      <c r="K130" s="215"/>
      <c r="L130" s="237"/>
      <c r="M130" s="209"/>
      <c r="N130" s="247"/>
      <c r="O130" s="89"/>
      <c r="P130" s="48"/>
    </row>
    <row r="131" spans="1:252" s="7" customFormat="1" ht="21" customHeight="1">
      <c r="A131" s="198"/>
      <c r="B131" s="199"/>
      <c r="C131" s="242" t="s">
        <v>142</v>
      </c>
      <c r="D131" s="219"/>
      <c r="E131" s="255">
        <v>245385</v>
      </c>
      <c r="F131" s="216"/>
      <c r="G131" s="203"/>
      <c r="H131" s="204"/>
      <c r="I131" s="244"/>
      <c r="J131" s="256"/>
      <c r="K131" s="215"/>
      <c r="L131" s="237"/>
      <c r="M131" s="209"/>
      <c r="N131" s="247"/>
      <c r="O131" s="89"/>
      <c r="P131" s="48"/>
    </row>
    <row r="132" spans="1:252" s="213" customFormat="1" ht="43.5" customHeight="1">
      <c r="A132" s="198"/>
      <c r="B132" s="199"/>
      <c r="C132" s="200" t="s">
        <v>143</v>
      </c>
      <c r="D132" s="219"/>
      <c r="E132" s="190">
        <f>645245.39+8524.14+65783+69900</f>
        <v>789452.53</v>
      </c>
      <c r="F132" s="202"/>
      <c r="G132" s="203">
        <v>1</v>
      </c>
      <c r="H132" s="204">
        <v>1</v>
      </c>
      <c r="I132" s="244">
        <f>645748</f>
        <v>645748</v>
      </c>
      <c r="J132" s="257">
        <f t="shared" si="9"/>
        <v>143704.53000000003</v>
      </c>
      <c r="K132" s="208"/>
      <c r="L132" s="208"/>
      <c r="M132" s="246"/>
      <c r="N132" s="247"/>
      <c r="O132" s="212"/>
      <c r="P132" s="48"/>
    </row>
    <row r="133" spans="1:252" s="213" customFormat="1" ht="21" customHeight="1">
      <c r="A133" s="198"/>
      <c r="B133" s="199"/>
      <c r="C133" s="200" t="s">
        <v>144</v>
      </c>
      <c r="D133" s="219"/>
      <c r="E133" s="190">
        <f>227500+3750.83+18000+24000</f>
        <v>273250.82999999996</v>
      </c>
      <c r="F133" s="202"/>
      <c r="G133" s="203">
        <v>1</v>
      </c>
      <c r="H133" s="233">
        <f t="shared" si="8"/>
        <v>0.86820962263865786</v>
      </c>
      <c r="I133" s="244">
        <v>213239</v>
      </c>
      <c r="J133" s="257">
        <f t="shared" si="9"/>
        <v>60011.829999999958</v>
      </c>
      <c r="K133" s="208">
        <f>24000</f>
        <v>24000</v>
      </c>
      <c r="L133" s="208"/>
      <c r="M133" s="246"/>
      <c r="N133" s="247"/>
      <c r="O133" s="212"/>
      <c r="P133" s="48"/>
    </row>
    <row r="134" spans="1:252" s="213" customFormat="1" ht="18" customHeight="1">
      <c r="A134" s="198"/>
      <c r="B134" s="199"/>
      <c r="C134" s="200" t="s">
        <v>145</v>
      </c>
      <c r="D134" s="258"/>
      <c r="E134" s="259">
        <f>803743.49+6620+19200+28800</f>
        <v>858363.49</v>
      </c>
      <c r="F134" s="260"/>
      <c r="G134" s="261">
        <v>1</v>
      </c>
      <c r="H134" s="233">
        <f t="shared" si="8"/>
        <v>0.95873543037111231</v>
      </c>
      <c r="I134" s="262">
        <v>803743.49</v>
      </c>
      <c r="J134" s="257">
        <f t="shared" si="9"/>
        <v>54620</v>
      </c>
      <c r="K134" s="215">
        <v>19200</v>
      </c>
      <c r="L134" s="208"/>
      <c r="M134" s="246"/>
      <c r="N134" s="247"/>
      <c r="O134" s="212"/>
      <c r="P134" s="48"/>
    </row>
    <row r="135" spans="1:252" s="17" customFormat="1" ht="19.5" customHeight="1">
      <c r="A135" s="198"/>
      <c r="B135" s="199"/>
      <c r="C135" s="263" t="s">
        <v>79</v>
      </c>
      <c r="D135" s="176"/>
      <c r="E135" s="176">
        <f t="shared" ref="E135:J135" si="10">SUM(E57:E134)</f>
        <v>57101175.942509793</v>
      </c>
      <c r="F135" s="176">
        <f t="shared" si="10"/>
        <v>0</v>
      </c>
      <c r="G135" s="177"/>
      <c r="H135" s="233">
        <f t="shared" si="8"/>
        <v>0.82720384165215999</v>
      </c>
      <c r="I135" s="95">
        <f t="shared" si="10"/>
        <v>47234312.102499999</v>
      </c>
      <c r="J135" s="176">
        <f t="shared" si="10"/>
        <v>9519078.8400097992</v>
      </c>
      <c r="K135" s="264"/>
      <c r="L135" s="265"/>
      <c r="M135" s="266"/>
      <c r="N135" s="14"/>
      <c r="O135" s="179"/>
      <c r="P135" s="48"/>
    </row>
    <row r="136" spans="1:252" s="17" customFormat="1" ht="19.5" hidden="1" customHeight="1">
      <c r="A136" s="267" t="s">
        <v>146</v>
      </c>
      <c r="B136" s="268"/>
      <c r="C136" s="269" t="s">
        <v>147</v>
      </c>
      <c r="D136" s="176"/>
      <c r="E136" s="95"/>
      <c r="F136" s="176"/>
      <c r="G136" s="270"/>
      <c r="H136" s="233"/>
      <c r="I136" s="271"/>
      <c r="J136" s="176"/>
      <c r="K136" s="272"/>
      <c r="L136" s="176"/>
      <c r="M136" s="273"/>
      <c r="N136" s="14"/>
      <c r="O136" s="179"/>
      <c r="P136" s="48"/>
    </row>
    <row r="137" spans="1:252" s="7" customFormat="1" ht="27" hidden="1" customHeight="1">
      <c r="A137" s="267"/>
      <c r="B137" s="274" t="s">
        <v>72</v>
      </c>
      <c r="C137" s="275" t="s">
        <v>148</v>
      </c>
      <c r="D137" s="276"/>
      <c r="E137" s="277"/>
      <c r="F137" s="278"/>
      <c r="G137" s="279"/>
      <c r="H137" s="238"/>
      <c r="I137" s="85"/>
      <c r="J137" s="241"/>
      <c r="K137" s="237"/>
      <c r="L137" s="208"/>
      <c r="M137" s="209"/>
      <c r="N137" s="4"/>
      <c r="O137" s="280"/>
      <c r="P137" s="48"/>
    </row>
    <row r="138" spans="1:252" s="213" customFormat="1" ht="28.5" hidden="1" customHeight="1">
      <c r="A138" s="267"/>
      <c r="B138" s="281"/>
      <c r="C138" s="282" t="s">
        <v>149</v>
      </c>
      <c r="D138" s="283"/>
      <c r="E138" s="284"/>
      <c r="F138" s="285"/>
      <c r="G138" s="279"/>
      <c r="H138" s="238"/>
      <c r="I138" s="85"/>
      <c r="J138" s="286"/>
      <c r="K138" s="208"/>
      <c r="L138" s="208"/>
      <c r="M138" s="209"/>
      <c r="N138" s="4"/>
      <c r="O138" s="287"/>
      <c r="P138" s="48"/>
    </row>
    <row r="139" spans="1:252" s="213" customFormat="1" ht="27" hidden="1" customHeight="1">
      <c r="A139" s="267"/>
      <c r="B139" s="281"/>
      <c r="C139" s="282" t="s">
        <v>150</v>
      </c>
      <c r="D139" s="288"/>
      <c r="E139" s="289"/>
      <c r="F139" s="290"/>
      <c r="G139" s="279"/>
      <c r="H139" s="238"/>
      <c r="I139" s="85"/>
      <c r="J139" s="239"/>
      <c r="K139" s="208"/>
      <c r="L139" s="208"/>
      <c r="M139" s="209"/>
      <c r="N139" s="4"/>
      <c r="O139" s="287"/>
      <c r="P139" s="48"/>
    </row>
    <row r="140" spans="1:252" s="17" customFormat="1" ht="19.5" customHeight="1">
      <c r="A140" s="100"/>
      <c r="B140" s="291" t="s">
        <v>146</v>
      </c>
      <c r="C140" s="39" t="s">
        <v>151</v>
      </c>
      <c r="D140" s="292"/>
      <c r="E140" s="293">
        <f>2337880.26+70448+71355.2</f>
        <v>2479683.46</v>
      </c>
      <c r="F140" s="294"/>
      <c r="G140" s="295">
        <v>1</v>
      </c>
      <c r="H140" s="296">
        <f>(I140+K140)/E140</f>
        <v>0.97158992220724816</v>
      </c>
      <c r="I140" s="297">
        <v>2337880.2599999998</v>
      </c>
      <c r="J140" s="85">
        <f t="shared" ref="J140:J145" si="11">E140-I140</f>
        <v>141803.20000000019</v>
      </c>
      <c r="K140" s="298">
        <v>71355.199999999997</v>
      </c>
      <c r="L140" s="95"/>
      <c r="M140" s="299" t="s">
        <v>152</v>
      </c>
      <c r="N140" s="300"/>
      <c r="O140" s="179"/>
      <c r="P140" s="48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8"/>
    </row>
    <row r="141" spans="1:252" s="17" customFormat="1" ht="19.5" customHeight="1">
      <c r="A141" s="100"/>
      <c r="B141" s="291"/>
      <c r="C141" s="39" t="s">
        <v>153</v>
      </c>
      <c r="D141" s="301"/>
      <c r="E141" s="302">
        <f>499010.31+7753+4279.5</f>
        <v>511042.81</v>
      </c>
      <c r="F141" s="294"/>
      <c r="G141" s="303">
        <v>1</v>
      </c>
      <c r="H141" s="83">
        <f>(I141+K141)/E141</f>
        <v>0.98482905962418299</v>
      </c>
      <c r="I141" s="82">
        <v>499010.31</v>
      </c>
      <c r="J141" s="85">
        <f t="shared" si="11"/>
        <v>12032.5</v>
      </c>
      <c r="K141" s="298">
        <v>4279.5</v>
      </c>
      <c r="L141" s="95"/>
      <c r="M141" s="299" t="s">
        <v>152</v>
      </c>
      <c r="N141" s="300"/>
      <c r="O141" s="179"/>
      <c r="P141" s="48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8"/>
    </row>
    <row r="142" spans="1:252" s="17" customFormat="1" ht="19.5" customHeight="1">
      <c r="A142" s="267"/>
      <c r="B142" s="304"/>
      <c r="C142" s="263" t="s">
        <v>79</v>
      </c>
      <c r="D142" s="176"/>
      <c r="E142" s="176">
        <f t="shared" ref="E142:J142" si="12">SUM(E136:E141)</f>
        <v>2990726.27</v>
      </c>
      <c r="F142" s="305">
        <f>SUM(F140:F141)</f>
        <v>0</v>
      </c>
      <c r="G142" s="177"/>
      <c r="H142" s="177"/>
      <c r="I142" s="95">
        <f t="shared" si="12"/>
        <v>2836890.57</v>
      </c>
      <c r="J142" s="176">
        <f t="shared" si="12"/>
        <v>153835.70000000019</v>
      </c>
      <c r="K142" s="264"/>
      <c r="L142" s="176"/>
      <c r="M142" s="273"/>
      <c r="N142" s="306"/>
      <c r="O142" s="179"/>
      <c r="P142" s="48"/>
    </row>
    <row r="143" spans="1:252" s="17" customFormat="1" ht="19.5" customHeight="1">
      <c r="A143" s="307"/>
      <c r="B143" s="308"/>
      <c r="C143" s="309" t="s">
        <v>154</v>
      </c>
      <c r="D143" s="310"/>
      <c r="E143" s="311">
        <f>E142+E135+E56+E49+E18</f>
        <v>93342508.112509802</v>
      </c>
      <c r="F143" s="310" t="e">
        <f>F135+#REF!+F56+F142</f>
        <v>#REF!</v>
      </c>
      <c r="G143" s="32"/>
      <c r="H143" s="32"/>
      <c r="I143" s="35">
        <f>I142+I135+I56+I49</f>
        <v>66688849.952500001</v>
      </c>
      <c r="J143" s="312">
        <f>J142+J135+J56+J49</f>
        <v>15839842.4600098</v>
      </c>
      <c r="K143" s="313"/>
      <c r="L143" s="312"/>
      <c r="M143" s="178" t="s">
        <v>155</v>
      </c>
      <c r="N143" s="14"/>
      <c r="O143" s="179"/>
      <c r="P143" s="48"/>
    </row>
    <row r="144" spans="1:252" ht="24" customHeight="1">
      <c r="A144" s="314" t="s">
        <v>156</v>
      </c>
      <c r="B144" s="315"/>
      <c r="C144" s="316" t="s">
        <v>157</v>
      </c>
      <c r="D144" s="317" t="s">
        <v>158</v>
      </c>
      <c r="E144" s="318" t="s">
        <v>159</v>
      </c>
      <c r="F144" s="246"/>
      <c r="G144" s="319" t="s">
        <v>16</v>
      </c>
      <c r="H144" s="319" t="s">
        <v>17</v>
      </c>
      <c r="I144" s="320" t="s">
        <v>160</v>
      </c>
      <c r="J144" s="321" t="s">
        <v>161</v>
      </c>
      <c r="K144" s="317"/>
      <c r="L144" s="317"/>
      <c r="M144" s="322"/>
    </row>
    <row r="145" spans="1:252" s="8" customFormat="1" ht="25.5" customHeight="1">
      <c r="A145" s="323"/>
      <c r="B145" s="323"/>
      <c r="C145" s="39" t="s">
        <v>162</v>
      </c>
      <c r="D145" s="324"/>
      <c r="E145" s="325">
        <f>106585555.2</f>
        <v>106585555.2</v>
      </c>
      <c r="F145" s="42"/>
      <c r="G145" s="153">
        <v>0.8</v>
      </c>
      <c r="H145" s="43">
        <f>I145/E145</f>
        <v>0.88025886081794291</v>
      </c>
      <c r="I145" s="326">
        <v>93822879.399999976</v>
      </c>
      <c r="J145" s="327">
        <f t="shared" si="11"/>
        <v>12762675.800000027</v>
      </c>
      <c r="K145" s="327"/>
      <c r="L145" s="327"/>
      <c r="M145" s="71"/>
      <c r="N145" s="47"/>
      <c r="O145" s="89"/>
      <c r="P145" s="6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</row>
    <row r="146" spans="1:252" s="8" customFormat="1" ht="30.75" customHeight="1">
      <c r="A146" s="315"/>
      <c r="B146" s="315"/>
      <c r="C146" s="39" t="s">
        <v>163</v>
      </c>
      <c r="D146" s="324"/>
      <c r="E146" s="42"/>
      <c r="F146" s="42"/>
      <c r="G146" s="153"/>
      <c r="H146" s="43"/>
      <c r="I146" s="328">
        <v>593264</v>
      </c>
      <c r="J146" s="327"/>
      <c r="K146" s="327"/>
      <c r="L146" s="327"/>
      <c r="M146" s="71"/>
      <c r="N146" s="47"/>
      <c r="O146" s="5"/>
      <c r="P146" s="6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</row>
    <row r="147" spans="1:252" s="8" customFormat="1" ht="27.75" customHeight="1">
      <c r="A147" s="315"/>
      <c r="B147" s="315"/>
      <c r="C147" s="39" t="s">
        <v>164</v>
      </c>
      <c r="D147" s="68"/>
      <c r="E147" s="68">
        <v>1737920.94</v>
      </c>
      <c r="F147" s="68"/>
      <c r="G147" s="43"/>
      <c r="H147" s="43"/>
      <c r="I147" s="327"/>
      <c r="J147" s="327"/>
      <c r="K147" s="327"/>
      <c r="L147" s="327"/>
      <c r="M147" s="329"/>
      <c r="N147" s="47"/>
      <c r="O147" s="5"/>
      <c r="P147" s="6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</row>
    <row r="148" spans="1:252" s="8" customFormat="1" ht="19.5" customHeight="1">
      <c r="A148" s="315"/>
      <c r="B148" s="315"/>
      <c r="C148" s="39" t="s">
        <v>165</v>
      </c>
      <c r="D148" s="330"/>
      <c r="E148" s="327"/>
      <c r="F148" s="327"/>
      <c r="G148" s="43"/>
      <c r="H148" s="43"/>
      <c r="I148" s="327"/>
      <c r="J148" s="327"/>
      <c r="K148" s="327"/>
      <c r="L148" s="327"/>
      <c r="M148" s="71"/>
      <c r="N148" s="47"/>
      <c r="O148" s="5"/>
      <c r="P148" s="6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</row>
    <row r="149" spans="1:252" s="8" customFormat="1" ht="19.5" customHeight="1">
      <c r="A149" s="315"/>
      <c r="B149" s="315"/>
      <c r="C149" s="39" t="s">
        <v>166</v>
      </c>
      <c r="D149" s="330"/>
      <c r="E149" s="327"/>
      <c r="F149" s="327"/>
      <c r="G149" s="43"/>
      <c r="H149" s="43"/>
      <c r="I149" s="327">
        <v>122900</v>
      </c>
      <c r="J149" s="327"/>
      <c r="K149" s="327"/>
      <c r="L149" s="327"/>
      <c r="M149" s="71"/>
      <c r="N149" s="47"/>
      <c r="O149" s="5"/>
      <c r="P149" s="6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</row>
    <row r="150" spans="1:252" s="18" customFormat="1" ht="19.5" customHeight="1">
      <c r="A150" s="315"/>
      <c r="B150" s="315"/>
      <c r="C150" s="29" t="s">
        <v>167</v>
      </c>
      <c r="D150" s="30"/>
      <c r="E150" s="331"/>
      <c r="F150" s="331"/>
      <c r="G150" s="32"/>
      <c r="H150" s="32"/>
      <c r="I150" s="332">
        <f>SUM(I145:I149)</f>
        <v>94539043.399999976</v>
      </c>
      <c r="J150" s="333"/>
      <c r="K150" s="312"/>
      <c r="L150" s="312">
        <f>SUM(L145:L148)</f>
        <v>0</v>
      </c>
      <c r="M150" s="334"/>
      <c r="N150" s="14"/>
      <c r="O150" s="15"/>
      <c r="P150" s="16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</row>
    <row r="151" spans="1:252" ht="24" customHeight="1">
      <c r="A151" s="335" t="s">
        <v>168</v>
      </c>
      <c r="B151" s="336"/>
      <c r="C151" s="337" t="s">
        <v>169</v>
      </c>
      <c r="D151" s="338" t="s">
        <v>170</v>
      </c>
      <c r="E151" s="339" t="s">
        <v>171</v>
      </c>
      <c r="F151" s="339"/>
      <c r="G151" s="340" t="s">
        <v>172</v>
      </c>
      <c r="H151" s="340" t="s">
        <v>172</v>
      </c>
      <c r="I151" s="341" t="s">
        <v>173</v>
      </c>
      <c r="J151" s="341"/>
      <c r="K151" s="312"/>
      <c r="L151" s="312">
        <f>L14</f>
        <v>0</v>
      </c>
      <c r="M151" s="209"/>
    </row>
    <row r="152" spans="1:252" ht="19.5" customHeight="1">
      <c r="A152" s="342"/>
      <c r="B152" s="343"/>
      <c r="C152" s="344"/>
      <c r="D152" s="345"/>
      <c r="E152" s="345"/>
      <c r="F152" s="346"/>
      <c r="G152" s="347"/>
      <c r="H152" s="348"/>
      <c r="I152" s="341" t="s">
        <v>174</v>
      </c>
      <c r="J152" s="341"/>
      <c r="K152" s="312"/>
      <c r="L152" s="312">
        <f>L143</f>
        <v>0</v>
      </c>
      <c r="M152" s="349"/>
    </row>
    <row r="153" spans="1:252" ht="19.5" customHeight="1">
      <c r="A153" s="350"/>
      <c r="B153" s="351"/>
      <c r="C153" s="352"/>
      <c r="D153" s="345"/>
      <c r="E153" s="345"/>
      <c r="F153" s="346"/>
      <c r="G153" s="347"/>
      <c r="H153" s="348"/>
      <c r="I153" s="341" t="s">
        <v>175</v>
      </c>
      <c r="J153" s="341"/>
      <c r="K153" s="312"/>
      <c r="L153" s="312">
        <f>L152+L151</f>
        <v>0</v>
      </c>
      <c r="M153" s="349"/>
    </row>
    <row r="154" spans="1:252" ht="19.5" customHeight="1">
      <c r="A154" s="350"/>
      <c r="B154" s="351"/>
      <c r="C154" s="352"/>
      <c r="D154" s="345"/>
      <c r="E154" s="345"/>
      <c r="F154" s="346"/>
      <c r="G154" s="347"/>
      <c r="H154" s="348"/>
      <c r="I154" s="341" t="s">
        <v>176</v>
      </c>
      <c r="J154" s="341"/>
      <c r="K154" s="312"/>
      <c r="L154" s="312">
        <f>L153+L152</f>
        <v>0</v>
      </c>
      <c r="M154" s="349"/>
    </row>
    <row r="155" spans="1:252" ht="19.5" customHeight="1">
      <c r="A155" s="350"/>
      <c r="B155" s="351"/>
      <c r="C155" s="352"/>
      <c r="D155" s="345"/>
      <c r="E155" s="345"/>
      <c r="F155" s="346"/>
      <c r="G155" s="347"/>
      <c r="H155" s="348"/>
      <c r="I155" s="341" t="s">
        <v>177</v>
      </c>
      <c r="J155" s="341"/>
      <c r="K155" s="312"/>
      <c r="L155" s="312">
        <f>L154+L153</f>
        <v>0</v>
      </c>
      <c r="M155" s="349"/>
    </row>
    <row r="156" spans="1:252" ht="19.5" customHeight="1">
      <c r="A156" s="353"/>
      <c r="B156" s="354"/>
      <c r="C156" s="355"/>
      <c r="D156" s="345"/>
      <c r="E156" s="345"/>
      <c r="F156" s="346"/>
      <c r="G156" s="347"/>
      <c r="H156" s="348"/>
      <c r="I156" s="341" t="s">
        <v>178</v>
      </c>
      <c r="J156" s="341"/>
      <c r="K156" s="312"/>
      <c r="L156" s="312">
        <f>L155+L154</f>
        <v>0</v>
      </c>
      <c r="M156" s="349"/>
    </row>
    <row r="157" spans="1:252" ht="78.75" customHeight="1">
      <c r="A157" s="356" t="s">
        <v>179</v>
      </c>
      <c r="B157" s="356"/>
      <c r="C157" s="356"/>
      <c r="D157" s="356"/>
      <c r="E157" s="356"/>
      <c r="F157" s="356"/>
      <c r="G157" s="357"/>
      <c r="H157" s="356"/>
      <c r="I157" s="356"/>
      <c r="J157" s="356"/>
      <c r="K157" s="356"/>
      <c r="L157" s="356"/>
      <c r="M157" s="356"/>
    </row>
    <row r="158" spans="1:252" ht="30" customHeight="1"/>
  </sheetData>
  <mergeCells count="41">
    <mergeCell ref="M152:M156"/>
    <mergeCell ref="I153:J153"/>
    <mergeCell ref="I154:J154"/>
    <mergeCell ref="I155:J155"/>
    <mergeCell ref="I156:J156"/>
    <mergeCell ref="A157:M157"/>
    <mergeCell ref="A151:B151"/>
    <mergeCell ref="I151:J151"/>
    <mergeCell ref="A152:B156"/>
    <mergeCell ref="C152:C156"/>
    <mergeCell ref="D152:D156"/>
    <mergeCell ref="E152:E156"/>
    <mergeCell ref="G152:G156"/>
    <mergeCell ref="H152:H156"/>
    <mergeCell ref="I152:J152"/>
    <mergeCell ref="A57:A135"/>
    <mergeCell ref="B57:B135"/>
    <mergeCell ref="A136:A142"/>
    <mergeCell ref="B137:B139"/>
    <mergeCell ref="B140:B142"/>
    <mergeCell ref="A144:B150"/>
    <mergeCell ref="A5:B5"/>
    <mergeCell ref="A6:A14"/>
    <mergeCell ref="B6:B10"/>
    <mergeCell ref="B11:B14"/>
    <mergeCell ref="A15:B18"/>
    <mergeCell ref="A19:A48"/>
    <mergeCell ref="B19:B56"/>
    <mergeCell ref="A50:A56"/>
    <mergeCell ref="A3:H3"/>
    <mergeCell ref="I3:M3"/>
    <mergeCell ref="A4:B4"/>
    <mergeCell ref="C4:D4"/>
    <mergeCell ref="I4:J4"/>
    <mergeCell ref="K4:L4"/>
    <mergeCell ref="A1:M1"/>
    <mergeCell ref="A2:B2"/>
    <mergeCell ref="C2:D2"/>
    <mergeCell ref="E2:H2"/>
    <mergeCell ref="I2:J2"/>
    <mergeCell ref="K2:M2"/>
  </mergeCells>
  <phoneticPr fontId="3" type="noConversion"/>
  <pageMargins left="0.16" right="0.16" top="0.2" bottom="0.22" header="0.85" footer="0.9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Q124"/>
  <sheetViews>
    <sheetView zoomScale="110" zoomScaleNormal="110" zoomScaleSheetLayoutView="115" workbookViewId="0">
      <pane ySplit="4" topLeftCell="A68" activePane="bottomLeft" state="frozen"/>
      <selection pane="bottomLeft" activeCell="B59" sqref="B59"/>
    </sheetView>
  </sheetViews>
  <sheetFormatPr defaultRowHeight="18.75"/>
  <cols>
    <col min="1" max="1" width="6.25" style="394" customWidth="1"/>
    <col min="2" max="2" width="19.875" style="591" customWidth="1"/>
    <col min="3" max="3" width="4.75" style="591" hidden="1" customWidth="1"/>
    <col min="4" max="4" width="27" style="592" customWidth="1"/>
    <col min="5" max="5" width="13.375" style="394" hidden="1" customWidth="1"/>
    <col min="6" max="6" width="13.75" style="8" hidden="1" customWidth="1"/>
    <col min="7" max="7" width="5.875" style="394" hidden="1" customWidth="1"/>
    <col min="8" max="8" width="16" style="394" hidden="1" customWidth="1"/>
    <col min="9" max="9" width="15.875" style="8" customWidth="1"/>
    <col min="10" max="10" width="16.125" style="593" customWidth="1"/>
    <col min="11" max="11" width="6.875" style="593" customWidth="1"/>
    <col min="12" max="13" width="12.625" style="8" customWidth="1"/>
    <col min="14" max="15" width="9" style="8" customWidth="1"/>
    <col min="16" max="16" width="9" style="367" customWidth="1"/>
    <col min="17" max="17" width="9" style="368" customWidth="1"/>
    <col min="18" max="256" width="9" style="8"/>
    <col min="257" max="257" width="6.25" style="8" customWidth="1"/>
    <col min="258" max="258" width="19.875" style="8" customWidth="1"/>
    <col min="259" max="259" width="0" style="8" hidden="1" customWidth="1"/>
    <col min="260" max="260" width="27" style="8" customWidth="1"/>
    <col min="261" max="264" width="0" style="8" hidden="1" customWidth="1"/>
    <col min="265" max="265" width="15.875" style="8" customWidth="1"/>
    <col min="266" max="266" width="16.125" style="8" customWidth="1"/>
    <col min="267" max="267" width="6.875" style="8" customWidth="1"/>
    <col min="268" max="269" width="12.625" style="8" customWidth="1"/>
    <col min="270" max="273" width="9" style="8" customWidth="1"/>
    <col min="274" max="512" width="9" style="8"/>
    <col min="513" max="513" width="6.25" style="8" customWidth="1"/>
    <col min="514" max="514" width="19.875" style="8" customWidth="1"/>
    <col min="515" max="515" width="0" style="8" hidden="1" customWidth="1"/>
    <col min="516" max="516" width="27" style="8" customWidth="1"/>
    <col min="517" max="520" width="0" style="8" hidden="1" customWidth="1"/>
    <col min="521" max="521" width="15.875" style="8" customWidth="1"/>
    <col min="522" max="522" width="16.125" style="8" customWidth="1"/>
    <col min="523" max="523" width="6.875" style="8" customWidth="1"/>
    <col min="524" max="525" width="12.625" style="8" customWidth="1"/>
    <col min="526" max="529" width="9" style="8" customWidth="1"/>
    <col min="530" max="768" width="9" style="8"/>
    <col min="769" max="769" width="6.25" style="8" customWidth="1"/>
    <col min="770" max="770" width="19.875" style="8" customWidth="1"/>
    <col min="771" max="771" width="0" style="8" hidden="1" customWidth="1"/>
    <col min="772" max="772" width="27" style="8" customWidth="1"/>
    <col min="773" max="776" width="0" style="8" hidden="1" customWidth="1"/>
    <col min="777" max="777" width="15.875" style="8" customWidth="1"/>
    <col min="778" max="778" width="16.125" style="8" customWidth="1"/>
    <col min="779" max="779" width="6.875" style="8" customWidth="1"/>
    <col min="780" max="781" width="12.625" style="8" customWidth="1"/>
    <col min="782" max="785" width="9" style="8" customWidth="1"/>
    <col min="786" max="1024" width="9" style="8"/>
    <col min="1025" max="1025" width="6.25" style="8" customWidth="1"/>
    <col min="1026" max="1026" width="19.875" style="8" customWidth="1"/>
    <col min="1027" max="1027" width="0" style="8" hidden="1" customWidth="1"/>
    <col min="1028" max="1028" width="27" style="8" customWidth="1"/>
    <col min="1029" max="1032" width="0" style="8" hidden="1" customWidth="1"/>
    <col min="1033" max="1033" width="15.875" style="8" customWidth="1"/>
    <col min="1034" max="1034" width="16.125" style="8" customWidth="1"/>
    <col min="1035" max="1035" width="6.875" style="8" customWidth="1"/>
    <col min="1036" max="1037" width="12.625" style="8" customWidth="1"/>
    <col min="1038" max="1041" width="9" style="8" customWidth="1"/>
    <col min="1042" max="1280" width="9" style="8"/>
    <col min="1281" max="1281" width="6.25" style="8" customWidth="1"/>
    <col min="1282" max="1282" width="19.875" style="8" customWidth="1"/>
    <col min="1283" max="1283" width="0" style="8" hidden="1" customWidth="1"/>
    <col min="1284" max="1284" width="27" style="8" customWidth="1"/>
    <col min="1285" max="1288" width="0" style="8" hidden="1" customWidth="1"/>
    <col min="1289" max="1289" width="15.875" style="8" customWidth="1"/>
    <col min="1290" max="1290" width="16.125" style="8" customWidth="1"/>
    <col min="1291" max="1291" width="6.875" style="8" customWidth="1"/>
    <col min="1292" max="1293" width="12.625" style="8" customWidth="1"/>
    <col min="1294" max="1297" width="9" style="8" customWidth="1"/>
    <col min="1298" max="1536" width="9" style="8"/>
    <col min="1537" max="1537" width="6.25" style="8" customWidth="1"/>
    <col min="1538" max="1538" width="19.875" style="8" customWidth="1"/>
    <col min="1539" max="1539" width="0" style="8" hidden="1" customWidth="1"/>
    <col min="1540" max="1540" width="27" style="8" customWidth="1"/>
    <col min="1541" max="1544" width="0" style="8" hidden="1" customWidth="1"/>
    <col min="1545" max="1545" width="15.875" style="8" customWidth="1"/>
    <col min="1546" max="1546" width="16.125" style="8" customWidth="1"/>
    <col min="1547" max="1547" width="6.875" style="8" customWidth="1"/>
    <col min="1548" max="1549" width="12.625" style="8" customWidth="1"/>
    <col min="1550" max="1553" width="9" style="8" customWidth="1"/>
    <col min="1554" max="1792" width="9" style="8"/>
    <col min="1793" max="1793" width="6.25" style="8" customWidth="1"/>
    <col min="1794" max="1794" width="19.875" style="8" customWidth="1"/>
    <col min="1795" max="1795" width="0" style="8" hidden="1" customWidth="1"/>
    <col min="1796" max="1796" width="27" style="8" customWidth="1"/>
    <col min="1797" max="1800" width="0" style="8" hidden="1" customWidth="1"/>
    <col min="1801" max="1801" width="15.875" style="8" customWidth="1"/>
    <col min="1802" max="1802" width="16.125" style="8" customWidth="1"/>
    <col min="1803" max="1803" width="6.875" style="8" customWidth="1"/>
    <col min="1804" max="1805" width="12.625" style="8" customWidth="1"/>
    <col min="1806" max="1809" width="9" style="8" customWidth="1"/>
    <col min="1810" max="2048" width="9" style="8"/>
    <col min="2049" max="2049" width="6.25" style="8" customWidth="1"/>
    <col min="2050" max="2050" width="19.875" style="8" customWidth="1"/>
    <col min="2051" max="2051" width="0" style="8" hidden="1" customWidth="1"/>
    <col min="2052" max="2052" width="27" style="8" customWidth="1"/>
    <col min="2053" max="2056" width="0" style="8" hidden="1" customWidth="1"/>
    <col min="2057" max="2057" width="15.875" style="8" customWidth="1"/>
    <col min="2058" max="2058" width="16.125" style="8" customWidth="1"/>
    <col min="2059" max="2059" width="6.875" style="8" customWidth="1"/>
    <col min="2060" max="2061" width="12.625" style="8" customWidth="1"/>
    <col min="2062" max="2065" width="9" style="8" customWidth="1"/>
    <col min="2066" max="2304" width="9" style="8"/>
    <col min="2305" max="2305" width="6.25" style="8" customWidth="1"/>
    <col min="2306" max="2306" width="19.875" style="8" customWidth="1"/>
    <col min="2307" max="2307" width="0" style="8" hidden="1" customWidth="1"/>
    <col min="2308" max="2308" width="27" style="8" customWidth="1"/>
    <col min="2309" max="2312" width="0" style="8" hidden="1" customWidth="1"/>
    <col min="2313" max="2313" width="15.875" style="8" customWidth="1"/>
    <col min="2314" max="2314" width="16.125" style="8" customWidth="1"/>
    <col min="2315" max="2315" width="6.875" style="8" customWidth="1"/>
    <col min="2316" max="2317" width="12.625" style="8" customWidth="1"/>
    <col min="2318" max="2321" width="9" style="8" customWidth="1"/>
    <col min="2322" max="2560" width="9" style="8"/>
    <col min="2561" max="2561" width="6.25" style="8" customWidth="1"/>
    <col min="2562" max="2562" width="19.875" style="8" customWidth="1"/>
    <col min="2563" max="2563" width="0" style="8" hidden="1" customWidth="1"/>
    <col min="2564" max="2564" width="27" style="8" customWidth="1"/>
    <col min="2565" max="2568" width="0" style="8" hidden="1" customWidth="1"/>
    <col min="2569" max="2569" width="15.875" style="8" customWidth="1"/>
    <col min="2570" max="2570" width="16.125" style="8" customWidth="1"/>
    <col min="2571" max="2571" width="6.875" style="8" customWidth="1"/>
    <col min="2572" max="2573" width="12.625" style="8" customWidth="1"/>
    <col min="2574" max="2577" width="9" style="8" customWidth="1"/>
    <col min="2578" max="2816" width="9" style="8"/>
    <col min="2817" max="2817" width="6.25" style="8" customWidth="1"/>
    <col min="2818" max="2818" width="19.875" style="8" customWidth="1"/>
    <col min="2819" max="2819" width="0" style="8" hidden="1" customWidth="1"/>
    <col min="2820" max="2820" width="27" style="8" customWidth="1"/>
    <col min="2821" max="2824" width="0" style="8" hidden="1" customWidth="1"/>
    <col min="2825" max="2825" width="15.875" style="8" customWidth="1"/>
    <col min="2826" max="2826" width="16.125" style="8" customWidth="1"/>
    <col min="2827" max="2827" width="6.875" style="8" customWidth="1"/>
    <col min="2828" max="2829" width="12.625" style="8" customWidth="1"/>
    <col min="2830" max="2833" width="9" style="8" customWidth="1"/>
    <col min="2834" max="3072" width="9" style="8"/>
    <col min="3073" max="3073" width="6.25" style="8" customWidth="1"/>
    <col min="3074" max="3074" width="19.875" style="8" customWidth="1"/>
    <col min="3075" max="3075" width="0" style="8" hidden="1" customWidth="1"/>
    <col min="3076" max="3076" width="27" style="8" customWidth="1"/>
    <col min="3077" max="3080" width="0" style="8" hidden="1" customWidth="1"/>
    <col min="3081" max="3081" width="15.875" style="8" customWidth="1"/>
    <col min="3082" max="3082" width="16.125" style="8" customWidth="1"/>
    <col min="3083" max="3083" width="6.875" style="8" customWidth="1"/>
    <col min="3084" max="3085" width="12.625" style="8" customWidth="1"/>
    <col min="3086" max="3089" width="9" style="8" customWidth="1"/>
    <col min="3090" max="3328" width="9" style="8"/>
    <col min="3329" max="3329" width="6.25" style="8" customWidth="1"/>
    <col min="3330" max="3330" width="19.875" style="8" customWidth="1"/>
    <col min="3331" max="3331" width="0" style="8" hidden="1" customWidth="1"/>
    <col min="3332" max="3332" width="27" style="8" customWidth="1"/>
    <col min="3333" max="3336" width="0" style="8" hidden="1" customWidth="1"/>
    <col min="3337" max="3337" width="15.875" style="8" customWidth="1"/>
    <col min="3338" max="3338" width="16.125" style="8" customWidth="1"/>
    <col min="3339" max="3339" width="6.875" style="8" customWidth="1"/>
    <col min="3340" max="3341" width="12.625" style="8" customWidth="1"/>
    <col min="3342" max="3345" width="9" style="8" customWidth="1"/>
    <col min="3346" max="3584" width="9" style="8"/>
    <col min="3585" max="3585" width="6.25" style="8" customWidth="1"/>
    <col min="3586" max="3586" width="19.875" style="8" customWidth="1"/>
    <col min="3587" max="3587" width="0" style="8" hidden="1" customWidth="1"/>
    <col min="3588" max="3588" width="27" style="8" customWidth="1"/>
    <col min="3589" max="3592" width="0" style="8" hidden="1" customWidth="1"/>
    <col min="3593" max="3593" width="15.875" style="8" customWidth="1"/>
    <col min="3594" max="3594" width="16.125" style="8" customWidth="1"/>
    <col min="3595" max="3595" width="6.875" style="8" customWidth="1"/>
    <col min="3596" max="3597" width="12.625" style="8" customWidth="1"/>
    <col min="3598" max="3601" width="9" style="8" customWidth="1"/>
    <col min="3602" max="3840" width="9" style="8"/>
    <col min="3841" max="3841" width="6.25" style="8" customWidth="1"/>
    <col min="3842" max="3842" width="19.875" style="8" customWidth="1"/>
    <col min="3843" max="3843" width="0" style="8" hidden="1" customWidth="1"/>
    <col min="3844" max="3844" width="27" style="8" customWidth="1"/>
    <col min="3845" max="3848" width="0" style="8" hidden="1" customWidth="1"/>
    <col min="3849" max="3849" width="15.875" style="8" customWidth="1"/>
    <col min="3850" max="3850" width="16.125" style="8" customWidth="1"/>
    <col min="3851" max="3851" width="6.875" style="8" customWidth="1"/>
    <col min="3852" max="3853" width="12.625" style="8" customWidth="1"/>
    <col min="3854" max="3857" width="9" style="8" customWidth="1"/>
    <col min="3858" max="4096" width="9" style="8"/>
    <col min="4097" max="4097" width="6.25" style="8" customWidth="1"/>
    <col min="4098" max="4098" width="19.875" style="8" customWidth="1"/>
    <col min="4099" max="4099" width="0" style="8" hidden="1" customWidth="1"/>
    <col min="4100" max="4100" width="27" style="8" customWidth="1"/>
    <col min="4101" max="4104" width="0" style="8" hidden="1" customWidth="1"/>
    <col min="4105" max="4105" width="15.875" style="8" customWidth="1"/>
    <col min="4106" max="4106" width="16.125" style="8" customWidth="1"/>
    <col min="4107" max="4107" width="6.875" style="8" customWidth="1"/>
    <col min="4108" max="4109" width="12.625" style="8" customWidth="1"/>
    <col min="4110" max="4113" width="9" style="8" customWidth="1"/>
    <col min="4114" max="4352" width="9" style="8"/>
    <col min="4353" max="4353" width="6.25" style="8" customWidth="1"/>
    <col min="4354" max="4354" width="19.875" style="8" customWidth="1"/>
    <col min="4355" max="4355" width="0" style="8" hidden="1" customWidth="1"/>
    <col min="4356" max="4356" width="27" style="8" customWidth="1"/>
    <col min="4357" max="4360" width="0" style="8" hidden="1" customWidth="1"/>
    <col min="4361" max="4361" width="15.875" style="8" customWidth="1"/>
    <col min="4362" max="4362" width="16.125" style="8" customWidth="1"/>
    <col min="4363" max="4363" width="6.875" style="8" customWidth="1"/>
    <col min="4364" max="4365" width="12.625" style="8" customWidth="1"/>
    <col min="4366" max="4369" width="9" style="8" customWidth="1"/>
    <col min="4370" max="4608" width="9" style="8"/>
    <col min="4609" max="4609" width="6.25" style="8" customWidth="1"/>
    <col min="4610" max="4610" width="19.875" style="8" customWidth="1"/>
    <col min="4611" max="4611" width="0" style="8" hidden="1" customWidth="1"/>
    <col min="4612" max="4612" width="27" style="8" customWidth="1"/>
    <col min="4613" max="4616" width="0" style="8" hidden="1" customWidth="1"/>
    <col min="4617" max="4617" width="15.875" style="8" customWidth="1"/>
    <col min="4618" max="4618" width="16.125" style="8" customWidth="1"/>
    <col min="4619" max="4619" width="6.875" style="8" customWidth="1"/>
    <col min="4620" max="4621" width="12.625" style="8" customWidth="1"/>
    <col min="4622" max="4625" width="9" style="8" customWidth="1"/>
    <col min="4626" max="4864" width="9" style="8"/>
    <col min="4865" max="4865" width="6.25" style="8" customWidth="1"/>
    <col min="4866" max="4866" width="19.875" style="8" customWidth="1"/>
    <col min="4867" max="4867" width="0" style="8" hidden="1" customWidth="1"/>
    <col min="4868" max="4868" width="27" style="8" customWidth="1"/>
    <col min="4869" max="4872" width="0" style="8" hidden="1" customWidth="1"/>
    <col min="4873" max="4873" width="15.875" style="8" customWidth="1"/>
    <col min="4874" max="4874" width="16.125" style="8" customWidth="1"/>
    <col min="4875" max="4875" width="6.875" style="8" customWidth="1"/>
    <col min="4876" max="4877" width="12.625" style="8" customWidth="1"/>
    <col min="4878" max="4881" width="9" style="8" customWidth="1"/>
    <col min="4882" max="5120" width="9" style="8"/>
    <col min="5121" max="5121" width="6.25" style="8" customWidth="1"/>
    <col min="5122" max="5122" width="19.875" style="8" customWidth="1"/>
    <col min="5123" max="5123" width="0" style="8" hidden="1" customWidth="1"/>
    <col min="5124" max="5124" width="27" style="8" customWidth="1"/>
    <col min="5125" max="5128" width="0" style="8" hidden="1" customWidth="1"/>
    <col min="5129" max="5129" width="15.875" style="8" customWidth="1"/>
    <col min="5130" max="5130" width="16.125" style="8" customWidth="1"/>
    <col min="5131" max="5131" width="6.875" style="8" customWidth="1"/>
    <col min="5132" max="5133" width="12.625" style="8" customWidth="1"/>
    <col min="5134" max="5137" width="9" style="8" customWidth="1"/>
    <col min="5138" max="5376" width="9" style="8"/>
    <col min="5377" max="5377" width="6.25" style="8" customWidth="1"/>
    <col min="5378" max="5378" width="19.875" style="8" customWidth="1"/>
    <col min="5379" max="5379" width="0" style="8" hidden="1" customWidth="1"/>
    <col min="5380" max="5380" width="27" style="8" customWidth="1"/>
    <col min="5381" max="5384" width="0" style="8" hidden="1" customWidth="1"/>
    <col min="5385" max="5385" width="15.875" style="8" customWidth="1"/>
    <col min="5386" max="5386" width="16.125" style="8" customWidth="1"/>
    <col min="5387" max="5387" width="6.875" style="8" customWidth="1"/>
    <col min="5388" max="5389" width="12.625" style="8" customWidth="1"/>
    <col min="5390" max="5393" width="9" style="8" customWidth="1"/>
    <col min="5394" max="5632" width="9" style="8"/>
    <col min="5633" max="5633" width="6.25" style="8" customWidth="1"/>
    <col min="5634" max="5634" width="19.875" style="8" customWidth="1"/>
    <col min="5635" max="5635" width="0" style="8" hidden="1" customWidth="1"/>
    <col min="5636" max="5636" width="27" style="8" customWidth="1"/>
    <col min="5637" max="5640" width="0" style="8" hidden="1" customWidth="1"/>
    <col min="5641" max="5641" width="15.875" style="8" customWidth="1"/>
    <col min="5642" max="5642" width="16.125" style="8" customWidth="1"/>
    <col min="5643" max="5643" width="6.875" style="8" customWidth="1"/>
    <col min="5644" max="5645" width="12.625" style="8" customWidth="1"/>
    <col min="5646" max="5649" width="9" style="8" customWidth="1"/>
    <col min="5650" max="5888" width="9" style="8"/>
    <col min="5889" max="5889" width="6.25" style="8" customWidth="1"/>
    <col min="5890" max="5890" width="19.875" style="8" customWidth="1"/>
    <col min="5891" max="5891" width="0" style="8" hidden="1" customWidth="1"/>
    <col min="5892" max="5892" width="27" style="8" customWidth="1"/>
    <col min="5893" max="5896" width="0" style="8" hidden="1" customWidth="1"/>
    <col min="5897" max="5897" width="15.875" style="8" customWidth="1"/>
    <col min="5898" max="5898" width="16.125" style="8" customWidth="1"/>
    <col min="5899" max="5899" width="6.875" style="8" customWidth="1"/>
    <col min="5900" max="5901" width="12.625" style="8" customWidth="1"/>
    <col min="5902" max="5905" width="9" style="8" customWidth="1"/>
    <col min="5906" max="6144" width="9" style="8"/>
    <col min="6145" max="6145" width="6.25" style="8" customWidth="1"/>
    <col min="6146" max="6146" width="19.875" style="8" customWidth="1"/>
    <col min="6147" max="6147" width="0" style="8" hidden="1" customWidth="1"/>
    <col min="6148" max="6148" width="27" style="8" customWidth="1"/>
    <col min="6149" max="6152" width="0" style="8" hidden="1" customWidth="1"/>
    <col min="6153" max="6153" width="15.875" style="8" customWidth="1"/>
    <col min="6154" max="6154" width="16.125" style="8" customWidth="1"/>
    <col min="6155" max="6155" width="6.875" style="8" customWidth="1"/>
    <col min="6156" max="6157" width="12.625" style="8" customWidth="1"/>
    <col min="6158" max="6161" width="9" style="8" customWidth="1"/>
    <col min="6162" max="6400" width="9" style="8"/>
    <col min="6401" max="6401" width="6.25" style="8" customWidth="1"/>
    <col min="6402" max="6402" width="19.875" style="8" customWidth="1"/>
    <col min="6403" max="6403" width="0" style="8" hidden="1" customWidth="1"/>
    <col min="6404" max="6404" width="27" style="8" customWidth="1"/>
    <col min="6405" max="6408" width="0" style="8" hidden="1" customWidth="1"/>
    <col min="6409" max="6409" width="15.875" style="8" customWidth="1"/>
    <col min="6410" max="6410" width="16.125" style="8" customWidth="1"/>
    <col min="6411" max="6411" width="6.875" style="8" customWidth="1"/>
    <col min="6412" max="6413" width="12.625" style="8" customWidth="1"/>
    <col min="6414" max="6417" width="9" style="8" customWidth="1"/>
    <col min="6418" max="6656" width="9" style="8"/>
    <col min="6657" max="6657" width="6.25" style="8" customWidth="1"/>
    <col min="6658" max="6658" width="19.875" style="8" customWidth="1"/>
    <col min="6659" max="6659" width="0" style="8" hidden="1" customWidth="1"/>
    <col min="6660" max="6660" width="27" style="8" customWidth="1"/>
    <col min="6661" max="6664" width="0" style="8" hidden="1" customWidth="1"/>
    <col min="6665" max="6665" width="15.875" style="8" customWidth="1"/>
    <col min="6666" max="6666" width="16.125" style="8" customWidth="1"/>
    <col min="6667" max="6667" width="6.875" style="8" customWidth="1"/>
    <col min="6668" max="6669" width="12.625" style="8" customWidth="1"/>
    <col min="6670" max="6673" width="9" style="8" customWidth="1"/>
    <col min="6674" max="6912" width="9" style="8"/>
    <col min="6913" max="6913" width="6.25" style="8" customWidth="1"/>
    <col min="6914" max="6914" width="19.875" style="8" customWidth="1"/>
    <col min="6915" max="6915" width="0" style="8" hidden="1" customWidth="1"/>
    <col min="6916" max="6916" width="27" style="8" customWidth="1"/>
    <col min="6917" max="6920" width="0" style="8" hidden="1" customWidth="1"/>
    <col min="6921" max="6921" width="15.875" style="8" customWidth="1"/>
    <col min="6922" max="6922" width="16.125" style="8" customWidth="1"/>
    <col min="6923" max="6923" width="6.875" style="8" customWidth="1"/>
    <col min="6924" max="6925" width="12.625" style="8" customWidth="1"/>
    <col min="6926" max="6929" width="9" style="8" customWidth="1"/>
    <col min="6930" max="7168" width="9" style="8"/>
    <col min="7169" max="7169" width="6.25" style="8" customWidth="1"/>
    <col min="7170" max="7170" width="19.875" style="8" customWidth="1"/>
    <col min="7171" max="7171" width="0" style="8" hidden="1" customWidth="1"/>
    <col min="7172" max="7172" width="27" style="8" customWidth="1"/>
    <col min="7173" max="7176" width="0" style="8" hidden="1" customWidth="1"/>
    <col min="7177" max="7177" width="15.875" style="8" customWidth="1"/>
    <col min="7178" max="7178" width="16.125" style="8" customWidth="1"/>
    <col min="7179" max="7179" width="6.875" style="8" customWidth="1"/>
    <col min="7180" max="7181" width="12.625" style="8" customWidth="1"/>
    <col min="7182" max="7185" width="9" style="8" customWidth="1"/>
    <col min="7186" max="7424" width="9" style="8"/>
    <col min="7425" max="7425" width="6.25" style="8" customWidth="1"/>
    <col min="7426" max="7426" width="19.875" style="8" customWidth="1"/>
    <col min="7427" max="7427" width="0" style="8" hidden="1" customWidth="1"/>
    <col min="7428" max="7428" width="27" style="8" customWidth="1"/>
    <col min="7429" max="7432" width="0" style="8" hidden="1" customWidth="1"/>
    <col min="7433" max="7433" width="15.875" style="8" customWidth="1"/>
    <col min="7434" max="7434" width="16.125" style="8" customWidth="1"/>
    <col min="7435" max="7435" width="6.875" style="8" customWidth="1"/>
    <col min="7436" max="7437" width="12.625" style="8" customWidth="1"/>
    <col min="7438" max="7441" width="9" style="8" customWidth="1"/>
    <col min="7442" max="7680" width="9" style="8"/>
    <col min="7681" max="7681" width="6.25" style="8" customWidth="1"/>
    <col min="7682" max="7682" width="19.875" style="8" customWidth="1"/>
    <col min="7683" max="7683" width="0" style="8" hidden="1" customWidth="1"/>
    <col min="7684" max="7684" width="27" style="8" customWidth="1"/>
    <col min="7685" max="7688" width="0" style="8" hidden="1" customWidth="1"/>
    <col min="7689" max="7689" width="15.875" style="8" customWidth="1"/>
    <col min="7690" max="7690" width="16.125" style="8" customWidth="1"/>
    <col min="7691" max="7691" width="6.875" style="8" customWidth="1"/>
    <col min="7692" max="7693" width="12.625" style="8" customWidth="1"/>
    <col min="7694" max="7697" width="9" style="8" customWidth="1"/>
    <col min="7698" max="7936" width="9" style="8"/>
    <col min="7937" max="7937" width="6.25" style="8" customWidth="1"/>
    <col min="7938" max="7938" width="19.875" style="8" customWidth="1"/>
    <col min="7939" max="7939" width="0" style="8" hidden="1" customWidth="1"/>
    <col min="7940" max="7940" width="27" style="8" customWidth="1"/>
    <col min="7941" max="7944" width="0" style="8" hidden="1" customWidth="1"/>
    <col min="7945" max="7945" width="15.875" style="8" customWidth="1"/>
    <col min="7946" max="7946" width="16.125" style="8" customWidth="1"/>
    <col min="7947" max="7947" width="6.875" style="8" customWidth="1"/>
    <col min="7948" max="7949" width="12.625" style="8" customWidth="1"/>
    <col min="7950" max="7953" width="9" style="8" customWidth="1"/>
    <col min="7954" max="8192" width="9" style="8"/>
    <col min="8193" max="8193" width="6.25" style="8" customWidth="1"/>
    <col min="8194" max="8194" width="19.875" style="8" customWidth="1"/>
    <col min="8195" max="8195" width="0" style="8" hidden="1" customWidth="1"/>
    <col min="8196" max="8196" width="27" style="8" customWidth="1"/>
    <col min="8197" max="8200" width="0" style="8" hidden="1" customWidth="1"/>
    <col min="8201" max="8201" width="15.875" style="8" customWidth="1"/>
    <col min="8202" max="8202" width="16.125" style="8" customWidth="1"/>
    <col min="8203" max="8203" width="6.875" style="8" customWidth="1"/>
    <col min="8204" max="8205" width="12.625" style="8" customWidth="1"/>
    <col min="8206" max="8209" width="9" style="8" customWidth="1"/>
    <col min="8210" max="8448" width="9" style="8"/>
    <col min="8449" max="8449" width="6.25" style="8" customWidth="1"/>
    <col min="8450" max="8450" width="19.875" style="8" customWidth="1"/>
    <col min="8451" max="8451" width="0" style="8" hidden="1" customWidth="1"/>
    <col min="8452" max="8452" width="27" style="8" customWidth="1"/>
    <col min="8453" max="8456" width="0" style="8" hidden="1" customWidth="1"/>
    <col min="8457" max="8457" width="15.875" style="8" customWidth="1"/>
    <col min="8458" max="8458" width="16.125" style="8" customWidth="1"/>
    <col min="8459" max="8459" width="6.875" style="8" customWidth="1"/>
    <col min="8460" max="8461" width="12.625" style="8" customWidth="1"/>
    <col min="8462" max="8465" width="9" style="8" customWidth="1"/>
    <col min="8466" max="8704" width="9" style="8"/>
    <col min="8705" max="8705" width="6.25" style="8" customWidth="1"/>
    <col min="8706" max="8706" width="19.875" style="8" customWidth="1"/>
    <col min="8707" max="8707" width="0" style="8" hidden="1" customWidth="1"/>
    <col min="8708" max="8708" width="27" style="8" customWidth="1"/>
    <col min="8709" max="8712" width="0" style="8" hidden="1" customWidth="1"/>
    <col min="8713" max="8713" width="15.875" style="8" customWidth="1"/>
    <col min="8714" max="8714" width="16.125" style="8" customWidth="1"/>
    <col min="8715" max="8715" width="6.875" style="8" customWidth="1"/>
    <col min="8716" max="8717" width="12.625" style="8" customWidth="1"/>
    <col min="8718" max="8721" width="9" style="8" customWidth="1"/>
    <col min="8722" max="8960" width="9" style="8"/>
    <col min="8961" max="8961" width="6.25" style="8" customWidth="1"/>
    <col min="8962" max="8962" width="19.875" style="8" customWidth="1"/>
    <col min="8963" max="8963" width="0" style="8" hidden="1" customWidth="1"/>
    <col min="8964" max="8964" width="27" style="8" customWidth="1"/>
    <col min="8965" max="8968" width="0" style="8" hidden="1" customWidth="1"/>
    <col min="8969" max="8969" width="15.875" style="8" customWidth="1"/>
    <col min="8970" max="8970" width="16.125" style="8" customWidth="1"/>
    <col min="8971" max="8971" width="6.875" style="8" customWidth="1"/>
    <col min="8972" max="8973" width="12.625" style="8" customWidth="1"/>
    <col min="8974" max="8977" width="9" style="8" customWidth="1"/>
    <col min="8978" max="9216" width="9" style="8"/>
    <col min="9217" max="9217" width="6.25" style="8" customWidth="1"/>
    <col min="9218" max="9218" width="19.875" style="8" customWidth="1"/>
    <col min="9219" max="9219" width="0" style="8" hidden="1" customWidth="1"/>
    <col min="9220" max="9220" width="27" style="8" customWidth="1"/>
    <col min="9221" max="9224" width="0" style="8" hidden="1" customWidth="1"/>
    <col min="9225" max="9225" width="15.875" style="8" customWidth="1"/>
    <col min="9226" max="9226" width="16.125" style="8" customWidth="1"/>
    <col min="9227" max="9227" width="6.875" style="8" customWidth="1"/>
    <col min="9228" max="9229" width="12.625" style="8" customWidth="1"/>
    <col min="9230" max="9233" width="9" style="8" customWidth="1"/>
    <col min="9234" max="9472" width="9" style="8"/>
    <col min="9473" max="9473" width="6.25" style="8" customWidth="1"/>
    <col min="9474" max="9474" width="19.875" style="8" customWidth="1"/>
    <col min="9475" max="9475" width="0" style="8" hidden="1" customWidth="1"/>
    <col min="9476" max="9476" width="27" style="8" customWidth="1"/>
    <col min="9477" max="9480" width="0" style="8" hidden="1" customWidth="1"/>
    <col min="9481" max="9481" width="15.875" style="8" customWidth="1"/>
    <col min="9482" max="9482" width="16.125" style="8" customWidth="1"/>
    <col min="9483" max="9483" width="6.875" style="8" customWidth="1"/>
    <col min="9484" max="9485" width="12.625" style="8" customWidth="1"/>
    <col min="9486" max="9489" width="9" style="8" customWidth="1"/>
    <col min="9490" max="9728" width="9" style="8"/>
    <col min="9729" max="9729" width="6.25" style="8" customWidth="1"/>
    <col min="9730" max="9730" width="19.875" style="8" customWidth="1"/>
    <col min="9731" max="9731" width="0" style="8" hidden="1" customWidth="1"/>
    <col min="9732" max="9732" width="27" style="8" customWidth="1"/>
    <col min="9733" max="9736" width="0" style="8" hidden="1" customWidth="1"/>
    <col min="9737" max="9737" width="15.875" style="8" customWidth="1"/>
    <col min="9738" max="9738" width="16.125" style="8" customWidth="1"/>
    <col min="9739" max="9739" width="6.875" style="8" customWidth="1"/>
    <col min="9740" max="9741" width="12.625" style="8" customWidth="1"/>
    <col min="9742" max="9745" width="9" style="8" customWidth="1"/>
    <col min="9746" max="9984" width="9" style="8"/>
    <col min="9985" max="9985" width="6.25" style="8" customWidth="1"/>
    <col min="9986" max="9986" width="19.875" style="8" customWidth="1"/>
    <col min="9987" max="9987" width="0" style="8" hidden="1" customWidth="1"/>
    <col min="9988" max="9988" width="27" style="8" customWidth="1"/>
    <col min="9989" max="9992" width="0" style="8" hidden="1" customWidth="1"/>
    <col min="9993" max="9993" width="15.875" style="8" customWidth="1"/>
    <col min="9994" max="9994" width="16.125" style="8" customWidth="1"/>
    <col min="9995" max="9995" width="6.875" style="8" customWidth="1"/>
    <col min="9996" max="9997" width="12.625" style="8" customWidth="1"/>
    <col min="9998" max="10001" width="9" style="8" customWidth="1"/>
    <col min="10002" max="10240" width="9" style="8"/>
    <col min="10241" max="10241" width="6.25" style="8" customWidth="1"/>
    <col min="10242" max="10242" width="19.875" style="8" customWidth="1"/>
    <col min="10243" max="10243" width="0" style="8" hidden="1" customWidth="1"/>
    <col min="10244" max="10244" width="27" style="8" customWidth="1"/>
    <col min="10245" max="10248" width="0" style="8" hidden="1" customWidth="1"/>
    <col min="10249" max="10249" width="15.875" style="8" customWidth="1"/>
    <col min="10250" max="10250" width="16.125" style="8" customWidth="1"/>
    <col min="10251" max="10251" width="6.875" style="8" customWidth="1"/>
    <col min="10252" max="10253" width="12.625" style="8" customWidth="1"/>
    <col min="10254" max="10257" width="9" style="8" customWidth="1"/>
    <col min="10258" max="10496" width="9" style="8"/>
    <col min="10497" max="10497" width="6.25" style="8" customWidth="1"/>
    <col min="10498" max="10498" width="19.875" style="8" customWidth="1"/>
    <col min="10499" max="10499" width="0" style="8" hidden="1" customWidth="1"/>
    <col min="10500" max="10500" width="27" style="8" customWidth="1"/>
    <col min="10501" max="10504" width="0" style="8" hidden="1" customWidth="1"/>
    <col min="10505" max="10505" width="15.875" style="8" customWidth="1"/>
    <col min="10506" max="10506" width="16.125" style="8" customWidth="1"/>
    <col min="10507" max="10507" width="6.875" style="8" customWidth="1"/>
    <col min="10508" max="10509" width="12.625" style="8" customWidth="1"/>
    <col min="10510" max="10513" width="9" style="8" customWidth="1"/>
    <col min="10514" max="10752" width="9" style="8"/>
    <col min="10753" max="10753" width="6.25" style="8" customWidth="1"/>
    <col min="10754" max="10754" width="19.875" style="8" customWidth="1"/>
    <col min="10755" max="10755" width="0" style="8" hidden="1" customWidth="1"/>
    <col min="10756" max="10756" width="27" style="8" customWidth="1"/>
    <col min="10757" max="10760" width="0" style="8" hidden="1" customWidth="1"/>
    <col min="10761" max="10761" width="15.875" style="8" customWidth="1"/>
    <col min="10762" max="10762" width="16.125" style="8" customWidth="1"/>
    <col min="10763" max="10763" width="6.875" style="8" customWidth="1"/>
    <col min="10764" max="10765" width="12.625" style="8" customWidth="1"/>
    <col min="10766" max="10769" width="9" style="8" customWidth="1"/>
    <col min="10770" max="11008" width="9" style="8"/>
    <col min="11009" max="11009" width="6.25" style="8" customWidth="1"/>
    <col min="11010" max="11010" width="19.875" style="8" customWidth="1"/>
    <col min="11011" max="11011" width="0" style="8" hidden="1" customWidth="1"/>
    <col min="11012" max="11012" width="27" style="8" customWidth="1"/>
    <col min="11013" max="11016" width="0" style="8" hidden="1" customWidth="1"/>
    <col min="11017" max="11017" width="15.875" style="8" customWidth="1"/>
    <col min="11018" max="11018" width="16.125" style="8" customWidth="1"/>
    <col min="11019" max="11019" width="6.875" style="8" customWidth="1"/>
    <col min="11020" max="11021" width="12.625" style="8" customWidth="1"/>
    <col min="11022" max="11025" width="9" style="8" customWidth="1"/>
    <col min="11026" max="11264" width="9" style="8"/>
    <col min="11265" max="11265" width="6.25" style="8" customWidth="1"/>
    <col min="11266" max="11266" width="19.875" style="8" customWidth="1"/>
    <col min="11267" max="11267" width="0" style="8" hidden="1" customWidth="1"/>
    <col min="11268" max="11268" width="27" style="8" customWidth="1"/>
    <col min="11269" max="11272" width="0" style="8" hidden="1" customWidth="1"/>
    <col min="11273" max="11273" width="15.875" style="8" customWidth="1"/>
    <col min="11274" max="11274" width="16.125" style="8" customWidth="1"/>
    <col min="11275" max="11275" width="6.875" style="8" customWidth="1"/>
    <col min="11276" max="11277" width="12.625" style="8" customWidth="1"/>
    <col min="11278" max="11281" width="9" style="8" customWidth="1"/>
    <col min="11282" max="11520" width="9" style="8"/>
    <col min="11521" max="11521" width="6.25" style="8" customWidth="1"/>
    <col min="11522" max="11522" width="19.875" style="8" customWidth="1"/>
    <col min="11523" max="11523" width="0" style="8" hidden="1" customWidth="1"/>
    <col min="11524" max="11524" width="27" style="8" customWidth="1"/>
    <col min="11525" max="11528" width="0" style="8" hidden="1" customWidth="1"/>
    <col min="11529" max="11529" width="15.875" style="8" customWidth="1"/>
    <col min="11530" max="11530" width="16.125" style="8" customWidth="1"/>
    <col min="11531" max="11531" width="6.875" style="8" customWidth="1"/>
    <col min="11532" max="11533" width="12.625" style="8" customWidth="1"/>
    <col min="11534" max="11537" width="9" style="8" customWidth="1"/>
    <col min="11538" max="11776" width="9" style="8"/>
    <col min="11777" max="11777" width="6.25" style="8" customWidth="1"/>
    <col min="11778" max="11778" width="19.875" style="8" customWidth="1"/>
    <col min="11779" max="11779" width="0" style="8" hidden="1" customWidth="1"/>
    <col min="11780" max="11780" width="27" style="8" customWidth="1"/>
    <col min="11781" max="11784" width="0" style="8" hidden="1" customWidth="1"/>
    <col min="11785" max="11785" width="15.875" style="8" customWidth="1"/>
    <col min="11786" max="11786" width="16.125" style="8" customWidth="1"/>
    <col min="11787" max="11787" width="6.875" style="8" customWidth="1"/>
    <col min="11788" max="11789" width="12.625" style="8" customWidth="1"/>
    <col min="11790" max="11793" width="9" style="8" customWidth="1"/>
    <col min="11794" max="12032" width="9" style="8"/>
    <col min="12033" max="12033" width="6.25" style="8" customWidth="1"/>
    <col min="12034" max="12034" width="19.875" style="8" customWidth="1"/>
    <col min="12035" max="12035" width="0" style="8" hidden="1" customWidth="1"/>
    <col min="12036" max="12036" width="27" style="8" customWidth="1"/>
    <col min="12037" max="12040" width="0" style="8" hidden="1" customWidth="1"/>
    <col min="12041" max="12041" width="15.875" style="8" customWidth="1"/>
    <col min="12042" max="12042" width="16.125" style="8" customWidth="1"/>
    <col min="12043" max="12043" width="6.875" style="8" customWidth="1"/>
    <col min="12044" max="12045" width="12.625" style="8" customWidth="1"/>
    <col min="12046" max="12049" width="9" style="8" customWidth="1"/>
    <col min="12050" max="12288" width="9" style="8"/>
    <col min="12289" max="12289" width="6.25" style="8" customWidth="1"/>
    <col min="12290" max="12290" width="19.875" style="8" customWidth="1"/>
    <col min="12291" max="12291" width="0" style="8" hidden="1" customWidth="1"/>
    <col min="12292" max="12292" width="27" style="8" customWidth="1"/>
    <col min="12293" max="12296" width="0" style="8" hidden="1" customWidth="1"/>
    <col min="12297" max="12297" width="15.875" style="8" customWidth="1"/>
    <col min="12298" max="12298" width="16.125" style="8" customWidth="1"/>
    <col min="12299" max="12299" width="6.875" style="8" customWidth="1"/>
    <col min="12300" max="12301" width="12.625" style="8" customWidth="1"/>
    <col min="12302" max="12305" width="9" style="8" customWidth="1"/>
    <col min="12306" max="12544" width="9" style="8"/>
    <col min="12545" max="12545" width="6.25" style="8" customWidth="1"/>
    <col min="12546" max="12546" width="19.875" style="8" customWidth="1"/>
    <col min="12547" max="12547" width="0" style="8" hidden="1" customWidth="1"/>
    <col min="12548" max="12548" width="27" style="8" customWidth="1"/>
    <col min="12549" max="12552" width="0" style="8" hidden="1" customWidth="1"/>
    <col min="12553" max="12553" width="15.875" style="8" customWidth="1"/>
    <col min="12554" max="12554" width="16.125" style="8" customWidth="1"/>
    <col min="12555" max="12555" width="6.875" style="8" customWidth="1"/>
    <col min="12556" max="12557" width="12.625" style="8" customWidth="1"/>
    <col min="12558" max="12561" width="9" style="8" customWidth="1"/>
    <col min="12562" max="12800" width="9" style="8"/>
    <col min="12801" max="12801" width="6.25" style="8" customWidth="1"/>
    <col min="12802" max="12802" width="19.875" style="8" customWidth="1"/>
    <col min="12803" max="12803" width="0" style="8" hidden="1" customWidth="1"/>
    <col min="12804" max="12804" width="27" style="8" customWidth="1"/>
    <col min="12805" max="12808" width="0" style="8" hidden="1" customWidth="1"/>
    <col min="12809" max="12809" width="15.875" style="8" customWidth="1"/>
    <col min="12810" max="12810" width="16.125" style="8" customWidth="1"/>
    <col min="12811" max="12811" width="6.875" style="8" customWidth="1"/>
    <col min="12812" max="12813" width="12.625" style="8" customWidth="1"/>
    <col min="12814" max="12817" width="9" style="8" customWidth="1"/>
    <col min="12818" max="13056" width="9" style="8"/>
    <col min="13057" max="13057" width="6.25" style="8" customWidth="1"/>
    <col min="13058" max="13058" width="19.875" style="8" customWidth="1"/>
    <col min="13059" max="13059" width="0" style="8" hidden="1" customWidth="1"/>
    <col min="13060" max="13060" width="27" style="8" customWidth="1"/>
    <col min="13061" max="13064" width="0" style="8" hidden="1" customWidth="1"/>
    <col min="13065" max="13065" width="15.875" style="8" customWidth="1"/>
    <col min="13066" max="13066" width="16.125" style="8" customWidth="1"/>
    <col min="13067" max="13067" width="6.875" style="8" customWidth="1"/>
    <col min="13068" max="13069" width="12.625" style="8" customWidth="1"/>
    <col min="13070" max="13073" width="9" style="8" customWidth="1"/>
    <col min="13074" max="13312" width="9" style="8"/>
    <col min="13313" max="13313" width="6.25" style="8" customWidth="1"/>
    <col min="13314" max="13314" width="19.875" style="8" customWidth="1"/>
    <col min="13315" max="13315" width="0" style="8" hidden="1" customWidth="1"/>
    <col min="13316" max="13316" width="27" style="8" customWidth="1"/>
    <col min="13317" max="13320" width="0" style="8" hidden="1" customWidth="1"/>
    <col min="13321" max="13321" width="15.875" style="8" customWidth="1"/>
    <col min="13322" max="13322" width="16.125" style="8" customWidth="1"/>
    <col min="13323" max="13323" width="6.875" style="8" customWidth="1"/>
    <col min="13324" max="13325" width="12.625" style="8" customWidth="1"/>
    <col min="13326" max="13329" width="9" style="8" customWidth="1"/>
    <col min="13330" max="13568" width="9" style="8"/>
    <col min="13569" max="13569" width="6.25" style="8" customWidth="1"/>
    <col min="13570" max="13570" width="19.875" style="8" customWidth="1"/>
    <col min="13571" max="13571" width="0" style="8" hidden="1" customWidth="1"/>
    <col min="13572" max="13572" width="27" style="8" customWidth="1"/>
    <col min="13573" max="13576" width="0" style="8" hidden="1" customWidth="1"/>
    <col min="13577" max="13577" width="15.875" style="8" customWidth="1"/>
    <col min="13578" max="13578" width="16.125" style="8" customWidth="1"/>
    <col min="13579" max="13579" width="6.875" style="8" customWidth="1"/>
    <col min="13580" max="13581" width="12.625" style="8" customWidth="1"/>
    <col min="13582" max="13585" width="9" style="8" customWidth="1"/>
    <col min="13586" max="13824" width="9" style="8"/>
    <col min="13825" max="13825" width="6.25" style="8" customWidth="1"/>
    <col min="13826" max="13826" width="19.875" style="8" customWidth="1"/>
    <col min="13827" max="13827" width="0" style="8" hidden="1" customWidth="1"/>
    <col min="13828" max="13828" width="27" style="8" customWidth="1"/>
    <col min="13829" max="13832" width="0" style="8" hidden="1" customWidth="1"/>
    <col min="13833" max="13833" width="15.875" style="8" customWidth="1"/>
    <col min="13834" max="13834" width="16.125" style="8" customWidth="1"/>
    <col min="13835" max="13835" width="6.875" style="8" customWidth="1"/>
    <col min="13836" max="13837" width="12.625" style="8" customWidth="1"/>
    <col min="13838" max="13841" width="9" style="8" customWidth="1"/>
    <col min="13842" max="14080" width="9" style="8"/>
    <col min="14081" max="14081" width="6.25" style="8" customWidth="1"/>
    <col min="14082" max="14082" width="19.875" style="8" customWidth="1"/>
    <col min="14083" max="14083" width="0" style="8" hidden="1" customWidth="1"/>
    <col min="14084" max="14084" width="27" style="8" customWidth="1"/>
    <col min="14085" max="14088" width="0" style="8" hidden="1" customWidth="1"/>
    <col min="14089" max="14089" width="15.875" style="8" customWidth="1"/>
    <col min="14090" max="14090" width="16.125" style="8" customWidth="1"/>
    <col min="14091" max="14091" width="6.875" style="8" customWidth="1"/>
    <col min="14092" max="14093" width="12.625" style="8" customWidth="1"/>
    <col min="14094" max="14097" width="9" style="8" customWidth="1"/>
    <col min="14098" max="14336" width="9" style="8"/>
    <col min="14337" max="14337" width="6.25" style="8" customWidth="1"/>
    <col min="14338" max="14338" width="19.875" style="8" customWidth="1"/>
    <col min="14339" max="14339" width="0" style="8" hidden="1" customWidth="1"/>
    <col min="14340" max="14340" width="27" style="8" customWidth="1"/>
    <col min="14341" max="14344" width="0" style="8" hidden="1" customWidth="1"/>
    <col min="14345" max="14345" width="15.875" style="8" customWidth="1"/>
    <col min="14346" max="14346" width="16.125" style="8" customWidth="1"/>
    <col min="14347" max="14347" width="6.875" style="8" customWidth="1"/>
    <col min="14348" max="14349" width="12.625" style="8" customWidth="1"/>
    <col min="14350" max="14353" width="9" style="8" customWidth="1"/>
    <col min="14354" max="14592" width="9" style="8"/>
    <col min="14593" max="14593" width="6.25" style="8" customWidth="1"/>
    <col min="14594" max="14594" width="19.875" style="8" customWidth="1"/>
    <col min="14595" max="14595" width="0" style="8" hidden="1" customWidth="1"/>
    <col min="14596" max="14596" width="27" style="8" customWidth="1"/>
    <col min="14597" max="14600" width="0" style="8" hidden="1" customWidth="1"/>
    <col min="14601" max="14601" width="15.875" style="8" customWidth="1"/>
    <col min="14602" max="14602" width="16.125" style="8" customWidth="1"/>
    <col min="14603" max="14603" width="6.875" style="8" customWidth="1"/>
    <col min="14604" max="14605" width="12.625" style="8" customWidth="1"/>
    <col min="14606" max="14609" width="9" style="8" customWidth="1"/>
    <col min="14610" max="14848" width="9" style="8"/>
    <col min="14849" max="14849" width="6.25" style="8" customWidth="1"/>
    <col min="14850" max="14850" width="19.875" style="8" customWidth="1"/>
    <col min="14851" max="14851" width="0" style="8" hidden="1" customWidth="1"/>
    <col min="14852" max="14852" width="27" style="8" customWidth="1"/>
    <col min="14853" max="14856" width="0" style="8" hidden="1" customWidth="1"/>
    <col min="14857" max="14857" width="15.875" style="8" customWidth="1"/>
    <col min="14858" max="14858" width="16.125" style="8" customWidth="1"/>
    <col min="14859" max="14859" width="6.875" style="8" customWidth="1"/>
    <col min="14860" max="14861" width="12.625" style="8" customWidth="1"/>
    <col min="14862" max="14865" width="9" style="8" customWidth="1"/>
    <col min="14866" max="15104" width="9" style="8"/>
    <col min="15105" max="15105" width="6.25" style="8" customWidth="1"/>
    <col min="15106" max="15106" width="19.875" style="8" customWidth="1"/>
    <col min="15107" max="15107" width="0" style="8" hidden="1" customWidth="1"/>
    <col min="15108" max="15108" width="27" style="8" customWidth="1"/>
    <col min="15109" max="15112" width="0" style="8" hidden="1" customWidth="1"/>
    <col min="15113" max="15113" width="15.875" style="8" customWidth="1"/>
    <col min="15114" max="15114" width="16.125" style="8" customWidth="1"/>
    <col min="15115" max="15115" width="6.875" style="8" customWidth="1"/>
    <col min="15116" max="15117" width="12.625" style="8" customWidth="1"/>
    <col min="15118" max="15121" width="9" style="8" customWidth="1"/>
    <col min="15122" max="15360" width="9" style="8"/>
    <col min="15361" max="15361" width="6.25" style="8" customWidth="1"/>
    <col min="15362" max="15362" width="19.875" style="8" customWidth="1"/>
    <col min="15363" max="15363" width="0" style="8" hidden="1" customWidth="1"/>
    <col min="15364" max="15364" width="27" style="8" customWidth="1"/>
    <col min="15365" max="15368" width="0" style="8" hidden="1" customWidth="1"/>
    <col min="15369" max="15369" width="15.875" style="8" customWidth="1"/>
    <col min="15370" max="15370" width="16.125" style="8" customWidth="1"/>
    <col min="15371" max="15371" width="6.875" style="8" customWidth="1"/>
    <col min="15372" max="15373" width="12.625" style="8" customWidth="1"/>
    <col min="15374" max="15377" width="9" style="8" customWidth="1"/>
    <col min="15378" max="15616" width="9" style="8"/>
    <col min="15617" max="15617" width="6.25" style="8" customWidth="1"/>
    <col min="15618" max="15618" width="19.875" style="8" customWidth="1"/>
    <col min="15619" max="15619" width="0" style="8" hidden="1" customWidth="1"/>
    <col min="15620" max="15620" width="27" style="8" customWidth="1"/>
    <col min="15621" max="15624" width="0" style="8" hidden="1" customWidth="1"/>
    <col min="15625" max="15625" width="15.875" style="8" customWidth="1"/>
    <col min="15626" max="15626" width="16.125" style="8" customWidth="1"/>
    <col min="15627" max="15627" width="6.875" style="8" customWidth="1"/>
    <col min="15628" max="15629" width="12.625" style="8" customWidth="1"/>
    <col min="15630" max="15633" width="9" style="8" customWidth="1"/>
    <col min="15634" max="15872" width="9" style="8"/>
    <col min="15873" max="15873" width="6.25" style="8" customWidth="1"/>
    <col min="15874" max="15874" width="19.875" style="8" customWidth="1"/>
    <col min="15875" max="15875" width="0" style="8" hidden="1" customWidth="1"/>
    <col min="15876" max="15876" width="27" style="8" customWidth="1"/>
    <col min="15877" max="15880" width="0" style="8" hidden="1" customWidth="1"/>
    <col min="15881" max="15881" width="15.875" style="8" customWidth="1"/>
    <col min="15882" max="15882" width="16.125" style="8" customWidth="1"/>
    <col min="15883" max="15883" width="6.875" style="8" customWidth="1"/>
    <col min="15884" max="15885" width="12.625" style="8" customWidth="1"/>
    <col min="15886" max="15889" width="9" style="8" customWidth="1"/>
    <col min="15890" max="16128" width="9" style="8"/>
    <col min="16129" max="16129" width="6.25" style="8" customWidth="1"/>
    <col min="16130" max="16130" width="19.875" style="8" customWidth="1"/>
    <col min="16131" max="16131" width="0" style="8" hidden="1" customWidth="1"/>
    <col min="16132" max="16132" width="27" style="8" customWidth="1"/>
    <col min="16133" max="16136" width="0" style="8" hidden="1" customWidth="1"/>
    <col min="16137" max="16137" width="15.875" style="8" customWidth="1"/>
    <col min="16138" max="16138" width="16.125" style="8" customWidth="1"/>
    <col min="16139" max="16139" width="6.875" style="8" customWidth="1"/>
    <col min="16140" max="16141" width="12.625" style="8" customWidth="1"/>
    <col min="16142" max="16145" width="9" style="8" customWidth="1"/>
    <col min="16146" max="16384" width="9" style="8"/>
  </cols>
  <sheetData>
    <row r="1" spans="1:17" ht="24" customHeight="1">
      <c r="A1" s="365" t="s">
        <v>180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6"/>
    </row>
    <row r="2" spans="1:17" ht="9.75" customHeight="1" thickBot="1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6"/>
    </row>
    <row r="3" spans="1:17" s="375" customFormat="1" ht="36" customHeight="1">
      <c r="A3" s="370" t="s">
        <v>181</v>
      </c>
      <c r="B3" s="371" t="s">
        <v>182</v>
      </c>
      <c r="C3" s="371" t="s">
        <v>183</v>
      </c>
      <c r="D3" s="371" t="s">
        <v>184</v>
      </c>
      <c r="E3" s="371" t="s">
        <v>13</v>
      </c>
      <c r="F3" s="371" t="s">
        <v>185</v>
      </c>
      <c r="G3" s="371" t="s">
        <v>16</v>
      </c>
      <c r="H3" s="371" t="s">
        <v>186</v>
      </c>
      <c r="I3" s="371" t="s">
        <v>187</v>
      </c>
      <c r="J3" s="372" t="s">
        <v>188</v>
      </c>
      <c r="K3" s="372" t="s">
        <v>189</v>
      </c>
      <c r="L3" s="373" t="s">
        <v>190</v>
      </c>
      <c r="M3" s="374" t="s">
        <v>191</v>
      </c>
      <c r="P3" s="376"/>
      <c r="Q3" s="377"/>
    </row>
    <row r="4" spans="1:17" s="375" customFormat="1" ht="20.25" customHeight="1">
      <c r="A4" s="378"/>
      <c r="B4" s="379"/>
      <c r="C4" s="380"/>
      <c r="D4" s="379"/>
      <c r="E4" s="380"/>
      <c r="F4" s="380"/>
      <c r="G4" s="380"/>
      <c r="H4" s="380"/>
      <c r="I4" s="380"/>
      <c r="J4" s="381"/>
      <c r="K4" s="382"/>
      <c r="L4" s="383"/>
      <c r="M4" s="374"/>
      <c r="P4" s="376"/>
      <c r="Q4" s="377"/>
    </row>
    <row r="5" spans="1:17" s="394" customFormat="1" ht="21" customHeight="1">
      <c r="A5" s="384" t="s">
        <v>192</v>
      </c>
      <c r="B5" s="385" t="s">
        <v>193</v>
      </c>
      <c r="C5" s="385" t="s">
        <v>41</v>
      </c>
      <c r="D5" s="386" t="s">
        <v>194</v>
      </c>
      <c r="E5" s="387">
        <v>200000</v>
      </c>
      <c r="F5" s="387"/>
      <c r="G5" s="388">
        <v>0.7</v>
      </c>
      <c r="H5" s="389">
        <v>32900</v>
      </c>
      <c r="I5" s="387">
        <f>'[1]001-大邑县韩场镇鸿运佳一建材经营部'!J17</f>
        <v>24610</v>
      </c>
      <c r="J5" s="390">
        <f>H5-I5</f>
        <v>8290</v>
      </c>
      <c r="K5" s="391">
        <f>I5/H5</f>
        <v>0.74802431610942244</v>
      </c>
      <c r="L5" s="392">
        <f>E5-H5</f>
        <v>167100</v>
      </c>
      <c r="M5" s="393"/>
      <c r="P5" s="367"/>
      <c r="Q5" s="395"/>
    </row>
    <row r="6" spans="1:17" s="394" customFormat="1" ht="21" customHeight="1">
      <c r="A6" s="396" t="s">
        <v>195</v>
      </c>
      <c r="B6" s="397" t="s">
        <v>196</v>
      </c>
      <c r="C6" s="385" t="s">
        <v>41</v>
      </c>
      <c r="D6" s="398" t="s">
        <v>197</v>
      </c>
      <c r="E6" s="387">
        <f>'[1]002-成都天博建材有限公司'!F12</f>
        <v>127500</v>
      </c>
      <c r="F6" s="399">
        <v>101061</v>
      </c>
      <c r="G6" s="400">
        <v>0.7</v>
      </c>
      <c r="H6" s="401">
        <v>101061</v>
      </c>
      <c r="I6" s="399">
        <f>'[1]002-成都天博建材有限公司'!J18</f>
        <v>101061</v>
      </c>
      <c r="J6" s="402">
        <f t="shared" ref="J6:J39" si="0">H6-I6</f>
        <v>0</v>
      </c>
      <c r="K6" s="403">
        <f t="shared" ref="K6:K29" si="1">I6/H6</f>
        <v>1</v>
      </c>
      <c r="L6" s="392">
        <f t="shared" ref="L6:L12" si="2">E6-H6</f>
        <v>26439</v>
      </c>
      <c r="M6" s="404" t="s">
        <v>198</v>
      </c>
      <c r="P6" s="367"/>
      <c r="Q6" s="395"/>
    </row>
    <row r="7" spans="1:17" s="394" customFormat="1" ht="21" customHeight="1">
      <c r="A7" s="405" t="s">
        <v>199</v>
      </c>
      <c r="B7" s="385" t="s">
        <v>200</v>
      </c>
      <c r="C7" s="385" t="s">
        <v>41</v>
      </c>
      <c r="D7" s="386" t="s">
        <v>201</v>
      </c>
      <c r="E7" s="387">
        <v>2040000</v>
      </c>
      <c r="F7" s="399"/>
      <c r="G7" s="400">
        <v>0.7</v>
      </c>
      <c r="H7" s="406">
        <v>275349.5</v>
      </c>
      <c r="I7" s="399">
        <f>'[1]003-青羊区周文建材经营部'!J19</f>
        <v>259879.5</v>
      </c>
      <c r="J7" s="402">
        <f t="shared" si="0"/>
        <v>15470</v>
      </c>
      <c r="K7" s="407">
        <f t="shared" si="1"/>
        <v>0.94381685821110983</v>
      </c>
      <c r="L7" s="392">
        <f t="shared" si="2"/>
        <v>1764650.5</v>
      </c>
      <c r="M7" s="404"/>
      <c r="P7" s="367"/>
      <c r="Q7" s="395"/>
    </row>
    <row r="8" spans="1:17" s="394" customFormat="1" ht="21" customHeight="1">
      <c r="A8" s="384" t="s">
        <v>202</v>
      </c>
      <c r="B8" s="408" t="s">
        <v>203</v>
      </c>
      <c r="C8" s="385" t="s">
        <v>41</v>
      </c>
      <c r="D8" s="386" t="s">
        <v>204</v>
      </c>
      <c r="E8" s="387">
        <v>2120000</v>
      </c>
      <c r="F8" s="399" t="s">
        <v>155</v>
      </c>
      <c r="G8" s="400">
        <v>1</v>
      </c>
      <c r="H8" s="389">
        <f>I8</f>
        <v>2519820</v>
      </c>
      <c r="I8" s="399">
        <f>'[1]004-郫县鑫隆达建材经营部'!J20</f>
        <v>2519820</v>
      </c>
      <c r="J8" s="390">
        <f t="shared" si="0"/>
        <v>0</v>
      </c>
      <c r="K8" s="391">
        <f t="shared" si="1"/>
        <v>1</v>
      </c>
      <c r="L8" s="392">
        <f t="shared" si="2"/>
        <v>-399820</v>
      </c>
      <c r="M8" s="404"/>
      <c r="P8" s="367"/>
      <c r="Q8" s="395"/>
    </row>
    <row r="9" spans="1:17" s="394" customFormat="1" ht="21" customHeight="1">
      <c r="A9" s="405" t="s">
        <v>205</v>
      </c>
      <c r="B9" s="409" t="s">
        <v>206</v>
      </c>
      <c r="C9" s="385" t="s">
        <v>41</v>
      </c>
      <c r="D9" s="386" t="s">
        <v>207</v>
      </c>
      <c r="E9" s="387">
        <v>5000000</v>
      </c>
      <c r="F9" s="399"/>
      <c r="G9" s="400">
        <v>0.7</v>
      </c>
      <c r="H9" s="406">
        <v>1148710.8</v>
      </c>
      <c r="I9" s="399">
        <f>'[1]005-金牛区恒和信机电经营部'!J17</f>
        <v>804097.56</v>
      </c>
      <c r="J9" s="402">
        <f t="shared" si="0"/>
        <v>344613.24</v>
      </c>
      <c r="K9" s="407">
        <f t="shared" si="1"/>
        <v>0.70000000000000007</v>
      </c>
      <c r="L9" s="392">
        <f t="shared" si="2"/>
        <v>3851289.2</v>
      </c>
      <c r="M9" s="404"/>
      <c r="P9" s="367"/>
      <c r="Q9" s="395"/>
    </row>
    <row r="10" spans="1:17" s="394" customFormat="1" ht="21" customHeight="1">
      <c r="A10" s="405" t="s">
        <v>208</v>
      </c>
      <c r="B10" s="409" t="s">
        <v>209</v>
      </c>
      <c r="C10" s="385" t="s">
        <v>41</v>
      </c>
      <c r="D10" s="386" t="s">
        <v>49</v>
      </c>
      <c r="E10" s="387">
        <v>1900000</v>
      </c>
      <c r="F10" s="399"/>
      <c r="G10" s="400">
        <v>0.95</v>
      </c>
      <c r="H10" s="389">
        <v>1185660.0900000001</v>
      </c>
      <c r="I10" s="399">
        <f>'[1]006-成都市众志活动板房有限公司'!J19</f>
        <v>1029962.06</v>
      </c>
      <c r="J10" s="402">
        <f t="shared" si="0"/>
        <v>155698.03000000003</v>
      </c>
      <c r="K10" s="407">
        <f t="shared" si="1"/>
        <v>0.86868240627041771</v>
      </c>
      <c r="L10" s="392">
        <f t="shared" si="2"/>
        <v>714339.90999999992</v>
      </c>
      <c r="M10" s="404"/>
      <c r="P10" s="367"/>
      <c r="Q10" s="395"/>
    </row>
    <row r="11" spans="1:17" s="394" customFormat="1" ht="21" customHeight="1">
      <c r="A11" s="405" t="s">
        <v>210</v>
      </c>
      <c r="B11" s="409" t="s">
        <v>211</v>
      </c>
      <c r="C11" s="385" t="s">
        <v>212</v>
      </c>
      <c r="D11" s="386" t="s">
        <v>47</v>
      </c>
      <c r="E11" s="387">
        <f>'[1]007-成都三采广告有限公司'!F13</f>
        <v>350000</v>
      </c>
      <c r="F11" s="387"/>
      <c r="G11" s="388">
        <v>0.7</v>
      </c>
      <c r="H11" s="387">
        <v>50500</v>
      </c>
      <c r="I11" s="387">
        <v>50500</v>
      </c>
      <c r="J11" s="402">
        <f t="shared" si="0"/>
        <v>0</v>
      </c>
      <c r="K11" s="407">
        <f t="shared" si="1"/>
        <v>1</v>
      </c>
      <c r="L11" s="392">
        <f t="shared" si="2"/>
        <v>299500</v>
      </c>
      <c r="M11" s="404"/>
      <c r="P11" s="367"/>
      <c r="Q11" s="395"/>
    </row>
    <row r="12" spans="1:17" s="394" customFormat="1" ht="21" customHeight="1">
      <c r="A12" s="405" t="s">
        <v>213</v>
      </c>
      <c r="B12" s="409" t="s">
        <v>214</v>
      </c>
      <c r="C12" s="385" t="s">
        <v>215</v>
      </c>
      <c r="D12" s="386" t="s">
        <v>48</v>
      </c>
      <c r="E12" s="387">
        <f>'[1]008-成都三雄家具有限公司'!F12</f>
        <v>63960</v>
      </c>
      <c r="F12" s="387"/>
      <c r="G12" s="388">
        <v>1</v>
      </c>
      <c r="H12" s="387">
        <v>96000</v>
      </c>
      <c r="I12" s="387">
        <f>'[1]008-成都三雄家具有限公司'!J17</f>
        <v>96000</v>
      </c>
      <c r="J12" s="402">
        <f t="shared" si="0"/>
        <v>0</v>
      </c>
      <c r="K12" s="407">
        <f t="shared" si="1"/>
        <v>1</v>
      </c>
      <c r="L12" s="392">
        <f t="shared" si="2"/>
        <v>-32040</v>
      </c>
      <c r="M12" s="404"/>
      <c r="P12" s="367"/>
      <c r="Q12" s="395"/>
    </row>
    <row r="13" spans="1:17" s="394" customFormat="1" ht="21" customHeight="1">
      <c r="A13" s="405" t="s">
        <v>216</v>
      </c>
      <c r="B13" s="385" t="s">
        <v>217</v>
      </c>
      <c r="C13" s="385" t="s">
        <v>41</v>
      </c>
      <c r="D13" s="386" t="s">
        <v>218</v>
      </c>
      <c r="E13" s="387">
        <v>150000</v>
      </c>
      <c r="F13" s="387"/>
      <c r="G13" s="388">
        <v>0.7</v>
      </c>
      <c r="H13" s="406">
        <v>197515</v>
      </c>
      <c r="I13" s="387">
        <f>'[1]009-双流县华阳腾飞建材经营部 '!K17</f>
        <v>197515</v>
      </c>
      <c r="J13" s="402">
        <f t="shared" si="0"/>
        <v>0</v>
      </c>
      <c r="K13" s="407">
        <f t="shared" si="1"/>
        <v>1</v>
      </c>
      <c r="L13" s="410" t="s">
        <v>219</v>
      </c>
      <c r="M13" s="404"/>
      <c r="P13" s="367"/>
      <c r="Q13" s="395"/>
    </row>
    <row r="14" spans="1:17" s="422" customFormat="1" ht="21" customHeight="1">
      <c r="A14" s="411" t="s">
        <v>220</v>
      </c>
      <c r="B14" s="412" t="s">
        <v>221</v>
      </c>
      <c r="C14" s="413" t="s">
        <v>41</v>
      </c>
      <c r="D14" s="414" t="s">
        <v>67</v>
      </c>
      <c r="E14" s="415">
        <f>'[1]010-双流县华阳茂林建辅材料经营部'!F12</f>
        <v>83820</v>
      </c>
      <c r="F14" s="415"/>
      <c r="G14" s="416">
        <v>1</v>
      </c>
      <c r="H14" s="417">
        <v>113512</v>
      </c>
      <c r="I14" s="415">
        <f>'[1]010-双流县华阳茂林建辅材料经营部'!J17</f>
        <v>79458.600000000006</v>
      </c>
      <c r="J14" s="418">
        <f t="shared" si="0"/>
        <v>34053.399999999994</v>
      </c>
      <c r="K14" s="419">
        <f>I14/H14</f>
        <v>0.70000176192825436</v>
      </c>
      <c r="L14" s="420">
        <f>E14-H14</f>
        <v>-29692</v>
      </c>
      <c r="M14" s="421"/>
      <c r="P14" s="423"/>
      <c r="Q14" s="424"/>
    </row>
    <row r="15" spans="1:17" s="394" customFormat="1" ht="21" customHeight="1">
      <c r="A15" s="405" t="s">
        <v>222</v>
      </c>
      <c r="B15" s="425" t="s">
        <v>206</v>
      </c>
      <c r="C15" s="385" t="s">
        <v>223</v>
      </c>
      <c r="D15" s="386" t="s">
        <v>76</v>
      </c>
      <c r="E15" s="387">
        <v>1300000</v>
      </c>
      <c r="F15" s="387"/>
      <c r="G15" s="388">
        <v>0.5</v>
      </c>
      <c r="H15" s="426">
        <v>1098768.3700000001</v>
      </c>
      <c r="I15" s="387">
        <f>'[1]011-成都佳俊建筑材料租赁有限公司'!K19</f>
        <v>638927.29</v>
      </c>
      <c r="J15" s="402">
        <f t="shared" si="0"/>
        <v>459841.08000000007</v>
      </c>
      <c r="K15" s="407">
        <f t="shared" si="1"/>
        <v>0.58149406867254472</v>
      </c>
      <c r="L15" s="420">
        <f>E15-H15</f>
        <v>201231.62999999989</v>
      </c>
      <c r="M15" s="404"/>
      <c r="P15" s="367"/>
      <c r="Q15" s="395"/>
    </row>
    <row r="16" spans="1:17" s="394" customFormat="1" ht="21" customHeight="1">
      <c r="A16" s="384" t="s">
        <v>224</v>
      </c>
      <c r="B16" s="427" t="s">
        <v>225</v>
      </c>
      <c r="C16" s="385" t="s">
        <v>223</v>
      </c>
      <c r="D16" s="386" t="s">
        <v>74</v>
      </c>
      <c r="E16" s="387">
        <v>3000000</v>
      </c>
      <c r="F16" s="387"/>
      <c r="G16" s="388">
        <v>0.5</v>
      </c>
      <c r="H16" s="389">
        <v>2988717.43</v>
      </c>
      <c r="I16" s="387">
        <f>'[1]012-双流宏发建筑机具租赁站'!J23</f>
        <v>1649835</v>
      </c>
      <c r="J16" s="390">
        <f t="shared" si="0"/>
        <v>1338882.4300000002</v>
      </c>
      <c r="K16" s="391">
        <f>I16/H16</f>
        <v>0.55202107212925777</v>
      </c>
      <c r="L16" s="410"/>
      <c r="M16" s="404"/>
      <c r="P16" s="367"/>
      <c r="Q16" s="395"/>
    </row>
    <row r="17" spans="1:17" s="422" customFormat="1" ht="21" customHeight="1">
      <c r="A17" s="411" t="s">
        <v>226</v>
      </c>
      <c r="B17" s="428" t="s">
        <v>227</v>
      </c>
      <c r="C17" s="413" t="s">
        <v>223</v>
      </c>
      <c r="D17" s="414" t="s">
        <v>228</v>
      </c>
      <c r="E17" s="415">
        <f>'[1]013-成都鑫强信建筑租赁有限公司'!F12</f>
        <v>0</v>
      </c>
      <c r="F17" s="415"/>
      <c r="G17" s="416">
        <v>0.7</v>
      </c>
      <c r="H17" s="417">
        <v>1526200</v>
      </c>
      <c r="I17" s="415">
        <f>'[1]013-成都鑫强信建筑租赁有限公司'!J22</f>
        <v>1306536.5</v>
      </c>
      <c r="J17" s="418">
        <f t="shared" si="0"/>
        <v>219663.5</v>
      </c>
      <c r="K17" s="419">
        <f t="shared" si="1"/>
        <v>0.85607161577774871</v>
      </c>
      <c r="L17" s="429" t="s">
        <v>229</v>
      </c>
      <c r="M17" s="430"/>
      <c r="P17" s="423"/>
      <c r="Q17" s="424"/>
    </row>
    <row r="18" spans="1:17" s="394" customFormat="1" ht="21" customHeight="1">
      <c r="A18" s="405" t="s">
        <v>230</v>
      </c>
      <c r="B18" s="425" t="s">
        <v>231</v>
      </c>
      <c r="C18" s="385" t="s">
        <v>41</v>
      </c>
      <c r="D18" s="386" t="s">
        <v>232</v>
      </c>
      <c r="E18" s="387">
        <f>'[1]014-四川华曦建设工程质量检测有限公司'!F12</f>
        <v>21000</v>
      </c>
      <c r="F18" s="387"/>
      <c r="G18" s="388">
        <v>1</v>
      </c>
      <c r="H18" s="387">
        <v>21000</v>
      </c>
      <c r="I18" s="387">
        <f>'[1]014-四川华曦建设工程质量检测有限公司'!J17</f>
        <v>21000</v>
      </c>
      <c r="J18" s="402">
        <f t="shared" si="0"/>
        <v>0</v>
      </c>
      <c r="K18" s="407">
        <f t="shared" si="1"/>
        <v>1</v>
      </c>
      <c r="L18" s="410"/>
      <c r="M18" s="404"/>
      <c r="P18" s="367"/>
      <c r="Q18" s="395"/>
    </row>
    <row r="19" spans="1:17" s="394" customFormat="1" ht="21" customHeight="1">
      <c r="A19" s="384" t="s">
        <v>233</v>
      </c>
      <c r="B19" s="427" t="s">
        <v>203</v>
      </c>
      <c r="C19" s="385" t="s">
        <v>41</v>
      </c>
      <c r="D19" s="386" t="s">
        <v>234</v>
      </c>
      <c r="E19" s="387">
        <f>'[1]015-金牛区统达建材经营部'!F12</f>
        <v>1000000</v>
      </c>
      <c r="F19" s="387"/>
      <c r="G19" s="388">
        <v>1</v>
      </c>
      <c r="H19" s="431">
        <f>I19+J19</f>
        <v>1765250</v>
      </c>
      <c r="I19" s="387">
        <f>'[1]015-金牛区统达建材经营部'!J17</f>
        <v>1696250</v>
      </c>
      <c r="J19" s="390">
        <v>69000</v>
      </c>
      <c r="K19" s="391">
        <f t="shared" si="1"/>
        <v>0.96091205211726383</v>
      </c>
      <c r="L19" s="392">
        <f>E19-H19</f>
        <v>-765250</v>
      </c>
      <c r="M19" s="404"/>
      <c r="P19" s="367"/>
      <c r="Q19" s="395"/>
    </row>
    <row r="20" spans="1:17" s="394" customFormat="1" ht="21" customHeight="1">
      <c r="A20" s="405" t="s">
        <v>235</v>
      </c>
      <c r="B20" s="425" t="s">
        <v>203</v>
      </c>
      <c r="C20" s="385" t="s">
        <v>41</v>
      </c>
      <c r="D20" s="386" t="s">
        <v>60</v>
      </c>
      <c r="E20" s="387">
        <f>'[1]016-金牛区通统达建材经营部 '!F12</f>
        <v>1000000</v>
      </c>
      <c r="F20" s="387"/>
      <c r="G20" s="388">
        <v>1</v>
      </c>
      <c r="H20" s="432">
        <v>1061950</v>
      </c>
      <c r="I20" s="387">
        <f>'[1]016-金牛区通统达建材经营部 '!J17</f>
        <v>1057250</v>
      </c>
      <c r="J20" s="402">
        <f t="shared" si="0"/>
        <v>4700</v>
      </c>
      <c r="K20" s="407">
        <f t="shared" si="1"/>
        <v>0.99557417957530958</v>
      </c>
      <c r="L20" s="392">
        <f t="shared" ref="L20:L33" si="3">E20-H20</f>
        <v>-61950</v>
      </c>
      <c r="M20" s="404"/>
      <c r="P20" s="367"/>
      <c r="Q20" s="395"/>
    </row>
    <row r="21" spans="1:17" s="394" customFormat="1" ht="21" customHeight="1">
      <c r="A21" s="405" t="s">
        <v>236</v>
      </c>
      <c r="B21" s="425" t="s">
        <v>71</v>
      </c>
      <c r="C21" s="385" t="s">
        <v>237</v>
      </c>
      <c r="D21" s="386" t="s">
        <v>238</v>
      </c>
      <c r="E21" s="387">
        <v>15000</v>
      </c>
      <c r="F21" s="387"/>
      <c r="G21" s="388">
        <v>1</v>
      </c>
      <c r="H21" s="387">
        <v>15000</v>
      </c>
      <c r="I21" s="387">
        <f>'[1]017-成都长城宽带网络服务有限公司'!J17</f>
        <v>15000</v>
      </c>
      <c r="J21" s="402">
        <f t="shared" si="0"/>
        <v>0</v>
      </c>
      <c r="K21" s="407">
        <f t="shared" si="1"/>
        <v>1</v>
      </c>
      <c r="L21" s="392">
        <f t="shared" si="3"/>
        <v>0</v>
      </c>
      <c r="M21" s="404"/>
      <c r="P21" s="367"/>
      <c r="Q21" s="395"/>
    </row>
    <row r="22" spans="1:17" s="394" customFormat="1" ht="21" customHeight="1">
      <c r="A22" s="405" t="s">
        <v>239</v>
      </c>
      <c r="B22" s="425" t="s">
        <v>240</v>
      </c>
      <c r="C22" s="385" t="s">
        <v>41</v>
      </c>
      <c r="D22" s="386" t="s">
        <v>241</v>
      </c>
      <c r="E22" s="387">
        <f>'[1]018-成都维美防护栏工程有限公司'!F12</f>
        <v>1600000</v>
      </c>
      <c r="F22" s="387">
        <v>291419.5</v>
      </c>
      <c r="G22" s="388">
        <v>0.7</v>
      </c>
      <c r="H22" s="406">
        <v>619889.01</v>
      </c>
      <c r="I22" s="387">
        <f>'[1]018-成都维美防护栏工程有限公司'!J25</f>
        <v>539889.01</v>
      </c>
      <c r="J22" s="402">
        <f t="shared" si="0"/>
        <v>80000</v>
      </c>
      <c r="K22" s="407">
        <f t="shared" si="1"/>
        <v>0.87094463894431684</v>
      </c>
      <c r="L22" s="392">
        <f t="shared" si="3"/>
        <v>980110.99</v>
      </c>
      <c r="M22" s="404" t="s">
        <v>242</v>
      </c>
      <c r="P22" s="367"/>
      <c r="Q22" s="395"/>
    </row>
    <row r="23" spans="1:17" s="394" customFormat="1" ht="21" customHeight="1">
      <c r="A23" s="405" t="s">
        <v>243</v>
      </c>
      <c r="B23" s="425" t="s">
        <v>244</v>
      </c>
      <c r="C23" s="385" t="s">
        <v>41</v>
      </c>
      <c r="D23" s="433" t="s">
        <v>245</v>
      </c>
      <c r="E23" s="387">
        <v>2000000</v>
      </c>
      <c r="F23" s="387"/>
      <c r="G23" s="388">
        <v>0.7</v>
      </c>
      <c r="H23" s="406">
        <v>1024328.3</v>
      </c>
      <c r="I23" s="387">
        <f>'[1]020-成都港都筑浆建材有限公司'!J20</f>
        <v>678896.1</v>
      </c>
      <c r="J23" s="402">
        <f t="shared" si="0"/>
        <v>345432.20000000007</v>
      </c>
      <c r="K23" s="407">
        <f t="shared" si="1"/>
        <v>0.66277198433353834</v>
      </c>
      <c r="L23" s="392">
        <f t="shared" si="3"/>
        <v>975671.7</v>
      </c>
      <c r="M23" s="404"/>
      <c r="O23" s="394" t="s">
        <v>155</v>
      </c>
      <c r="P23" s="367"/>
      <c r="Q23" s="395"/>
    </row>
    <row r="24" spans="1:17" s="394" customFormat="1" ht="21" customHeight="1">
      <c r="A24" s="405" t="s">
        <v>246</v>
      </c>
      <c r="B24" s="425" t="s">
        <v>247</v>
      </c>
      <c r="C24" s="385" t="s">
        <v>41</v>
      </c>
      <c r="D24" s="434" t="s">
        <v>248</v>
      </c>
      <c r="E24" s="387">
        <f>'[1]021-双流县兴隆茂明机砖厂'!F12</f>
        <v>1500000</v>
      </c>
      <c r="F24" s="387"/>
      <c r="G24" s="388">
        <v>0.7</v>
      </c>
      <c r="H24" s="406">
        <v>1298855.75</v>
      </c>
      <c r="I24" s="387">
        <f>'[1]021-双流县兴隆茂明机砖厂'!J22</f>
        <v>446054.04000000004</v>
      </c>
      <c r="J24" s="402">
        <f t="shared" si="0"/>
        <v>852801.71</v>
      </c>
      <c r="K24" s="407">
        <f t="shared" si="1"/>
        <v>0.3434207686265392</v>
      </c>
      <c r="L24" s="392">
        <f t="shared" si="3"/>
        <v>201144.25</v>
      </c>
      <c r="M24" s="404"/>
      <c r="P24" s="367"/>
      <c r="Q24" s="395"/>
    </row>
    <row r="25" spans="1:17" s="394" customFormat="1" ht="21" customHeight="1">
      <c r="A25" s="405" t="s">
        <v>249</v>
      </c>
      <c r="B25" s="385" t="s">
        <v>250</v>
      </c>
      <c r="C25" s="385" t="s">
        <v>41</v>
      </c>
      <c r="D25" s="435" t="s">
        <v>69</v>
      </c>
      <c r="E25" s="387">
        <v>800000</v>
      </c>
      <c r="F25" s="387"/>
      <c r="G25" s="388">
        <v>0.7</v>
      </c>
      <c r="H25" s="432">
        <v>314920</v>
      </c>
      <c r="I25" s="387">
        <f>'[1]022-四川峨胜水泥集团股份有限公司'!J17</f>
        <v>260706</v>
      </c>
      <c r="J25" s="402">
        <f t="shared" si="0"/>
        <v>54214</v>
      </c>
      <c r="K25" s="407">
        <f t="shared" si="1"/>
        <v>0.82784834243617422</v>
      </c>
      <c r="L25" s="392">
        <f t="shared" si="3"/>
        <v>485080</v>
      </c>
      <c r="M25" s="404"/>
      <c r="P25" s="367"/>
      <c r="Q25" s="395"/>
    </row>
    <row r="26" spans="1:17" s="394" customFormat="1" ht="21" customHeight="1">
      <c r="A26" s="436" t="s">
        <v>251</v>
      </c>
      <c r="B26" s="437" t="s">
        <v>252</v>
      </c>
      <c r="C26" s="438"/>
      <c r="D26" s="435" t="s">
        <v>59</v>
      </c>
      <c r="E26" s="387">
        <v>1000000</v>
      </c>
      <c r="F26" s="387"/>
      <c r="G26" s="388">
        <v>0.7</v>
      </c>
      <c r="H26" s="406">
        <v>797876.6</v>
      </c>
      <c r="I26" s="387">
        <f>'[1]024-金牛区华鑫宏建材经营部 '!J17</f>
        <v>660000</v>
      </c>
      <c r="J26" s="402">
        <f t="shared" si="0"/>
        <v>137876.59999999998</v>
      </c>
      <c r="K26" s="407">
        <f t="shared" si="1"/>
        <v>0.82719558387850955</v>
      </c>
      <c r="L26" s="392">
        <f t="shared" si="3"/>
        <v>202123.40000000002</v>
      </c>
      <c r="M26" s="404"/>
      <c r="P26" s="367"/>
      <c r="Q26" s="395"/>
    </row>
    <row r="27" spans="1:17" s="394" customFormat="1" ht="21" customHeight="1">
      <c r="A27" s="436" t="s">
        <v>253</v>
      </c>
      <c r="B27" s="437" t="s">
        <v>254</v>
      </c>
      <c r="C27" s="438"/>
      <c r="D27" s="435" t="s">
        <v>46</v>
      </c>
      <c r="E27" s="387">
        <v>500000</v>
      </c>
      <c r="F27" s="387"/>
      <c r="G27" s="388">
        <v>0.7</v>
      </c>
      <c r="H27" s="406">
        <v>272732.5</v>
      </c>
      <c r="I27" s="387">
        <f>'[1]025-成都恒欣恒建材有限公司'!J17</f>
        <v>214000</v>
      </c>
      <c r="J27" s="402">
        <f t="shared" si="0"/>
        <v>58732.5</v>
      </c>
      <c r="K27" s="407">
        <f t="shared" si="1"/>
        <v>0.78465162751047268</v>
      </c>
      <c r="L27" s="392">
        <f t="shared" si="3"/>
        <v>227267.5</v>
      </c>
      <c r="M27" s="404"/>
      <c r="P27" s="367"/>
      <c r="Q27" s="395"/>
    </row>
    <row r="28" spans="1:17" s="394" customFormat="1" ht="21" customHeight="1">
      <c r="A28" s="436" t="s">
        <v>255</v>
      </c>
      <c r="B28" s="437" t="s">
        <v>256</v>
      </c>
      <c r="C28" s="438" t="s">
        <v>223</v>
      </c>
      <c r="D28" s="439" t="s">
        <v>257</v>
      </c>
      <c r="E28" s="387">
        <v>1000000</v>
      </c>
      <c r="F28" s="387"/>
      <c r="G28" s="388">
        <v>0.7</v>
      </c>
      <c r="H28" s="440">
        <v>96077.92</v>
      </c>
      <c r="I28" s="387">
        <f>'[1]026-成都市朗和建材有限公司'!J17</f>
        <v>44239</v>
      </c>
      <c r="J28" s="402">
        <f t="shared" si="0"/>
        <v>51838.92</v>
      </c>
      <c r="K28" s="407">
        <f t="shared" si="1"/>
        <v>0.46044918541117458</v>
      </c>
      <c r="L28" s="392">
        <f t="shared" si="3"/>
        <v>903922.08</v>
      </c>
      <c r="M28" s="404"/>
      <c r="P28" s="367"/>
      <c r="Q28" s="395"/>
    </row>
    <row r="29" spans="1:17" s="422" customFormat="1" ht="21" customHeight="1">
      <c r="A29" s="411" t="s">
        <v>258</v>
      </c>
      <c r="B29" s="412" t="s">
        <v>259</v>
      </c>
      <c r="C29" s="413" t="s">
        <v>41</v>
      </c>
      <c r="D29" s="441" t="s">
        <v>260</v>
      </c>
      <c r="E29" s="415">
        <f>168084+30000</f>
        <v>198084</v>
      </c>
      <c r="F29" s="415"/>
      <c r="G29" s="416">
        <v>1</v>
      </c>
      <c r="H29" s="415">
        <f>168000+30000</f>
        <v>198000</v>
      </c>
      <c r="I29" s="415">
        <f>'[1]027-四川省建业工程质量检测有限公司'!J17</f>
        <v>84425</v>
      </c>
      <c r="J29" s="418">
        <f t="shared" si="0"/>
        <v>113575</v>
      </c>
      <c r="K29" s="419">
        <f t="shared" si="1"/>
        <v>0.42638888888888887</v>
      </c>
      <c r="L29" s="392">
        <f t="shared" si="3"/>
        <v>84</v>
      </c>
      <c r="M29" s="421"/>
      <c r="P29" s="423"/>
      <c r="Q29" s="424"/>
    </row>
    <row r="30" spans="1:17" s="394" customFormat="1" ht="21" customHeight="1">
      <c r="A30" s="436" t="s">
        <v>261</v>
      </c>
      <c r="B30" s="425" t="s">
        <v>262</v>
      </c>
      <c r="C30" s="385" t="s">
        <v>223</v>
      </c>
      <c r="D30" s="435" t="s">
        <v>263</v>
      </c>
      <c r="E30" s="387">
        <v>1000000</v>
      </c>
      <c r="F30" s="387"/>
      <c r="G30" s="388">
        <v>0.7</v>
      </c>
      <c r="H30" s="442">
        <v>442633</v>
      </c>
      <c r="I30" s="387">
        <f>'[1]028-四川鑫川建筑机械有限公司第一分公司'!J17</f>
        <v>250000</v>
      </c>
      <c r="J30" s="402">
        <f t="shared" si="0"/>
        <v>192633</v>
      </c>
      <c r="K30" s="407"/>
      <c r="L30" s="392">
        <f t="shared" si="3"/>
        <v>557367</v>
      </c>
      <c r="M30" s="404"/>
      <c r="P30" s="367"/>
      <c r="Q30" s="395"/>
    </row>
    <row r="31" spans="1:17" s="453" customFormat="1" ht="21" customHeight="1">
      <c r="A31" s="443" t="s">
        <v>264</v>
      </c>
      <c r="B31" s="444" t="s">
        <v>206</v>
      </c>
      <c r="C31" s="445" t="s">
        <v>41</v>
      </c>
      <c r="D31" s="446" t="s">
        <v>58</v>
      </c>
      <c r="E31" s="447">
        <v>1500000</v>
      </c>
      <c r="F31" s="447"/>
      <c r="G31" s="448">
        <v>0.7</v>
      </c>
      <c r="H31" s="449">
        <v>1111924.3500000001</v>
      </c>
      <c r="I31" s="447">
        <f>[1]金牛区恒瑞达建材经营部!J17</f>
        <v>700534.61</v>
      </c>
      <c r="J31" s="450">
        <f t="shared" si="0"/>
        <v>411389.74000000011</v>
      </c>
      <c r="K31" s="451">
        <f>I31/H31</f>
        <v>0.63002002789128586</v>
      </c>
      <c r="L31" s="392">
        <f t="shared" si="3"/>
        <v>388075.64999999991</v>
      </c>
      <c r="M31" s="452"/>
      <c r="P31" s="454"/>
      <c r="Q31" s="455"/>
    </row>
    <row r="32" spans="1:17" s="453" customFormat="1" ht="21" customHeight="1">
      <c r="A32" s="443" t="s">
        <v>264</v>
      </c>
      <c r="B32" s="445" t="s">
        <v>265</v>
      </c>
      <c r="C32" s="445" t="s">
        <v>223</v>
      </c>
      <c r="D32" s="446" t="s">
        <v>78</v>
      </c>
      <c r="E32" s="447"/>
      <c r="F32" s="447"/>
      <c r="G32" s="448">
        <v>0.5</v>
      </c>
      <c r="H32" s="449">
        <v>189032.63</v>
      </c>
      <c r="I32" s="447">
        <f>[1]新都区天健建筑机具设备租赁站!J17</f>
        <v>187960.63</v>
      </c>
      <c r="J32" s="450">
        <f t="shared" si="0"/>
        <v>1072</v>
      </c>
      <c r="K32" s="451">
        <f>I32/H32</f>
        <v>0.99432902139699375</v>
      </c>
      <c r="L32" s="392"/>
      <c r="M32" s="452"/>
      <c r="P32" s="454"/>
      <c r="Q32" s="455"/>
    </row>
    <row r="33" spans="1:17" s="453" customFormat="1" ht="21" customHeight="1">
      <c r="A33" s="456" t="s">
        <v>264</v>
      </c>
      <c r="B33" s="457" t="s">
        <v>266</v>
      </c>
      <c r="C33" s="457" t="s">
        <v>223</v>
      </c>
      <c r="D33" s="458" t="s">
        <v>267</v>
      </c>
      <c r="E33" s="459">
        <v>17613.169999999998</v>
      </c>
      <c r="F33" s="459"/>
      <c r="G33" s="460">
        <v>1</v>
      </c>
      <c r="H33" s="459">
        <v>17613.169999999998</v>
      </c>
      <c r="I33" s="459">
        <f>[1]双流县华阳盛世建辅材料经营部!J17</f>
        <v>17613.169999999998</v>
      </c>
      <c r="J33" s="450">
        <f t="shared" si="0"/>
        <v>0</v>
      </c>
      <c r="K33" s="461">
        <f>I33/H33</f>
        <v>1</v>
      </c>
      <c r="L33" s="392">
        <f t="shared" si="3"/>
        <v>0</v>
      </c>
      <c r="M33" s="452"/>
      <c r="P33" s="454"/>
      <c r="Q33" s="455"/>
    </row>
    <row r="34" spans="1:17" s="422" customFormat="1" ht="21" customHeight="1">
      <c r="A34" s="462"/>
      <c r="B34" s="413"/>
      <c r="C34" s="413"/>
      <c r="D34" s="441" t="s">
        <v>268</v>
      </c>
      <c r="E34" s="415"/>
      <c r="F34" s="415"/>
      <c r="G34" s="416"/>
      <c r="H34" s="417">
        <v>89106.27</v>
      </c>
      <c r="I34" s="415"/>
      <c r="J34" s="418">
        <f t="shared" si="0"/>
        <v>89106.27</v>
      </c>
      <c r="K34" s="463"/>
      <c r="L34" s="392"/>
      <c r="M34" s="421"/>
      <c r="P34" s="423"/>
      <c r="Q34" s="424"/>
    </row>
    <row r="35" spans="1:17" s="394" customFormat="1" ht="21" customHeight="1">
      <c r="A35" s="464"/>
      <c r="B35" s="385"/>
      <c r="C35" s="385"/>
      <c r="D35" s="435" t="s">
        <v>269</v>
      </c>
      <c r="E35" s="387">
        <v>4600000</v>
      </c>
      <c r="F35" s="387"/>
      <c r="G35" s="388">
        <v>0.8</v>
      </c>
      <c r="H35" s="387"/>
      <c r="I35" s="387"/>
      <c r="J35" s="450">
        <f t="shared" si="0"/>
        <v>0</v>
      </c>
      <c r="K35" s="403"/>
      <c r="L35" s="465"/>
      <c r="M35" s="404"/>
      <c r="P35" s="367"/>
      <c r="Q35" s="395"/>
    </row>
    <row r="36" spans="1:17" s="394" customFormat="1" ht="21" customHeight="1">
      <c r="A36" s="466"/>
      <c r="B36" s="385"/>
      <c r="C36" s="385"/>
      <c r="D36" s="467" t="s">
        <v>270</v>
      </c>
      <c r="E36" s="387"/>
      <c r="F36" s="387"/>
      <c r="G36" s="388"/>
      <c r="H36" s="387">
        <f>9560+3500</f>
        <v>13060</v>
      </c>
      <c r="I36" s="387"/>
      <c r="J36" s="450">
        <f t="shared" si="0"/>
        <v>13060</v>
      </c>
      <c r="K36" s="403"/>
      <c r="L36" s="465"/>
      <c r="M36" s="404"/>
      <c r="P36" s="367"/>
      <c r="Q36" s="395"/>
    </row>
    <row r="37" spans="1:17" s="394" customFormat="1" ht="21" customHeight="1">
      <c r="A37" s="466"/>
      <c r="B37" s="385"/>
      <c r="C37" s="385"/>
      <c r="D37" s="468" t="s">
        <v>62</v>
      </c>
      <c r="E37" s="387"/>
      <c r="F37" s="387">
        <v>22920</v>
      </c>
      <c r="G37" s="388"/>
      <c r="H37" s="469">
        <v>22920</v>
      </c>
      <c r="I37" s="387">
        <v>22920</v>
      </c>
      <c r="J37" s="470">
        <f t="shared" si="0"/>
        <v>0</v>
      </c>
      <c r="K37" s="403"/>
      <c r="L37" s="465"/>
      <c r="M37" s="404"/>
      <c r="P37" s="367"/>
      <c r="Q37" s="395"/>
    </row>
    <row r="38" spans="1:17" s="394" customFormat="1" ht="21" customHeight="1">
      <c r="A38" s="471"/>
      <c r="B38" s="472"/>
      <c r="C38" s="473" t="s">
        <v>271</v>
      </c>
      <c r="D38" s="474" t="s">
        <v>272</v>
      </c>
      <c r="E38" s="475"/>
      <c r="F38" s="476"/>
      <c r="G38" s="477"/>
      <c r="H38" s="478">
        <v>22750</v>
      </c>
      <c r="I38" s="476">
        <f>[1]成都锐智建材有限公司!J22</f>
        <v>100000</v>
      </c>
      <c r="J38" s="470">
        <f t="shared" si="0"/>
        <v>-77250</v>
      </c>
      <c r="K38" s="479"/>
      <c r="L38" s="480"/>
      <c r="M38" s="404"/>
      <c r="P38" s="367"/>
      <c r="Q38" s="395"/>
    </row>
    <row r="39" spans="1:17" s="394" customFormat="1" ht="21" customHeight="1">
      <c r="A39" s="471"/>
      <c r="B39" s="481" t="s">
        <v>273</v>
      </c>
      <c r="C39" s="472" t="s">
        <v>274</v>
      </c>
      <c r="D39" s="482" t="s">
        <v>275</v>
      </c>
      <c r="E39" s="475"/>
      <c r="F39" s="476"/>
      <c r="G39" s="477"/>
      <c r="H39" s="478">
        <v>102497.08</v>
      </c>
      <c r="I39" s="476">
        <f>'[1]向远成（烟道。勇拓）'!K43</f>
        <v>50000</v>
      </c>
      <c r="J39" s="470">
        <f t="shared" si="0"/>
        <v>52497.08</v>
      </c>
      <c r="K39" s="479"/>
      <c r="L39" s="480"/>
      <c r="M39" s="404"/>
      <c r="P39" s="367"/>
      <c r="Q39" s="395"/>
    </row>
    <row r="40" spans="1:17" s="422" customFormat="1" ht="21" customHeight="1">
      <c r="A40" s="483"/>
      <c r="B40" s="413" t="s">
        <v>276</v>
      </c>
      <c r="C40" s="413" t="s">
        <v>277</v>
      </c>
      <c r="D40" s="484" t="s">
        <v>278</v>
      </c>
      <c r="E40" s="485">
        <v>1500000</v>
      </c>
      <c r="F40" s="486"/>
      <c r="G40" s="487"/>
      <c r="H40" s="488">
        <v>1298855.75</v>
      </c>
      <c r="I40" s="486">
        <f>I24</f>
        <v>446054.04000000004</v>
      </c>
      <c r="J40" s="489">
        <f>H40-I40</f>
        <v>852801.71</v>
      </c>
      <c r="K40" s="490"/>
      <c r="L40" s="491"/>
      <c r="M40" s="421"/>
      <c r="P40" s="423"/>
      <c r="Q40" s="424"/>
    </row>
    <row r="41" spans="1:17" s="394" customFormat="1" ht="21" customHeight="1">
      <c r="A41" s="471"/>
      <c r="B41" s="492"/>
      <c r="C41" s="492"/>
      <c r="D41" s="493"/>
      <c r="E41" s="475"/>
      <c r="F41" s="476"/>
      <c r="G41" s="477"/>
      <c r="H41" s="478"/>
      <c r="I41" s="476"/>
      <c r="J41" s="494"/>
      <c r="K41" s="479"/>
      <c r="L41" s="480"/>
      <c r="M41" s="404"/>
      <c r="P41" s="367"/>
      <c r="Q41" s="395"/>
    </row>
    <row r="42" spans="1:17" s="503" customFormat="1" ht="30" customHeight="1">
      <c r="A42" s="495" t="s">
        <v>79</v>
      </c>
      <c r="B42" s="496"/>
      <c r="C42" s="496"/>
      <c r="D42" s="497"/>
      <c r="E42" s="498">
        <f>SUM(E5:E37)</f>
        <v>34086977.170000002</v>
      </c>
      <c r="F42" s="498">
        <f>SUM(F5:F37)</f>
        <v>415400.5</v>
      </c>
      <c r="G42" s="499"/>
      <c r="H42" s="499">
        <f>SUM(H5:H41)</f>
        <v>22130986.520000003</v>
      </c>
      <c r="I42" s="499">
        <f>SUM(I5:I41)</f>
        <v>16250994.109999999</v>
      </c>
      <c r="J42" s="499">
        <f>SUM(J5:J40)</f>
        <v>5879992.4100000001</v>
      </c>
      <c r="K42" s="500"/>
      <c r="L42" s="501"/>
      <c r="M42" s="502"/>
      <c r="P42" s="504"/>
      <c r="Q42" s="505"/>
    </row>
    <row r="43" spans="1:17" s="503" customFormat="1" ht="56.85" customHeight="1">
      <c r="A43" s="506" t="s">
        <v>181</v>
      </c>
      <c r="B43" s="506" t="s">
        <v>279</v>
      </c>
      <c r="C43" s="506" t="s">
        <v>183</v>
      </c>
      <c r="D43" s="506" t="s">
        <v>184</v>
      </c>
      <c r="E43" s="507" t="s">
        <v>158</v>
      </c>
      <c r="F43" s="507" t="s">
        <v>185</v>
      </c>
      <c r="G43" s="507" t="s">
        <v>16</v>
      </c>
      <c r="H43" s="508" t="s">
        <v>280</v>
      </c>
      <c r="I43" s="509" t="s">
        <v>187</v>
      </c>
      <c r="J43" s="507" t="s">
        <v>188</v>
      </c>
      <c r="K43" s="507" t="s">
        <v>189</v>
      </c>
      <c r="L43" s="510" t="s">
        <v>281</v>
      </c>
      <c r="M43" s="511"/>
      <c r="P43" s="504"/>
      <c r="Q43" s="505"/>
    </row>
    <row r="44" spans="1:17" s="394" customFormat="1" ht="21" customHeight="1">
      <c r="A44" s="512" t="s">
        <v>208</v>
      </c>
      <c r="B44" s="513" t="s">
        <v>282</v>
      </c>
      <c r="C44" s="514" t="s">
        <v>80</v>
      </c>
      <c r="D44" s="514" t="s">
        <v>283</v>
      </c>
      <c r="E44" s="515"/>
      <c r="F44" s="516">
        <v>131135.4</v>
      </c>
      <c r="G44" s="517">
        <v>0.7</v>
      </c>
      <c r="H44" s="515">
        <v>848964.49</v>
      </c>
      <c r="I44" s="515">
        <f>'[1]006-曹礼银（抹灰班组）'!K42</f>
        <v>820198.40000000002</v>
      </c>
      <c r="J44" s="518">
        <f>H44-I44</f>
        <v>28766.089999999967</v>
      </c>
      <c r="K44" s="519">
        <f>I44/H44</f>
        <v>0.96611626241281312</v>
      </c>
      <c r="L44" s="520">
        <v>10000</v>
      </c>
      <c r="M44" s="521" t="s">
        <v>284</v>
      </c>
      <c r="P44" s="367"/>
      <c r="Q44" s="395"/>
    </row>
    <row r="45" spans="1:17" s="394" customFormat="1" ht="21" customHeight="1">
      <c r="A45" s="522"/>
      <c r="B45" s="523" t="s">
        <v>285</v>
      </c>
      <c r="C45" s="514"/>
      <c r="D45" s="524" t="s">
        <v>286</v>
      </c>
      <c r="E45" s="515"/>
      <c r="F45" s="525"/>
      <c r="G45" s="517"/>
      <c r="H45" s="526">
        <v>25910.5</v>
      </c>
      <c r="I45" s="526">
        <f>[1]曾祥虎!K43</f>
        <v>10000</v>
      </c>
      <c r="J45" s="518"/>
      <c r="K45" s="519"/>
      <c r="L45" s="527"/>
      <c r="M45" s="404"/>
      <c r="P45" s="367"/>
      <c r="Q45" s="395"/>
    </row>
    <row r="46" spans="1:17" s="394" customFormat="1" ht="21" customHeight="1">
      <c r="A46" s="512" t="s">
        <v>192</v>
      </c>
      <c r="B46" s="513" t="s">
        <v>287</v>
      </c>
      <c r="C46" s="514" t="s">
        <v>80</v>
      </c>
      <c r="D46" s="514" t="s">
        <v>288</v>
      </c>
      <c r="E46" s="515">
        <v>150000</v>
      </c>
      <c r="F46" s="516">
        <v>160024.98000000001</v>
      </c>
      <c r="G46" s="517">
        <v>0.7</v>
      </c>
      <c r="H46" s="515">
        <f>'[1]001-车昭富（临设砌体）'!J42</f>
        <v>160024.98000000001</v>
      </c>
      <c r="I46" s="516">
        <f>'[1]001-车昭富（临设砌体）'!K42</f>
        <v>160024.97999999998</v>
      </c>
      <c r="J46" s="518">
        <f t="shared" ref="J46:J96" si="4">H46-I46</f>
        <v>0</v>
      </c>
      <c r="K46" s="519">
        <f>I46/H46</f>
        <v>0.99999999999999978</v>
      </c>
      <c r="L46" s="528">
        <v>20000</v>
      </c>
      <c r="M46" s="521" t="s">
        <v>289</v>
      </c>
      <c r="P46" s="367"/>
      <c r="Q46" s="395"/>
    </row>
    <row r="47" spans="1:17" s="394" customFormat="1" ht="21" customHeight="1">
      <c r="A47" s="512" t="s">
        <v>290</v>
      </c>
      <c r="B47" s="523" t="s">
        <v>291</v>
      </c>
      <c r="C47" s="514" t="s">
        <v>80</v>
      </c>
      <c r="D47" s="529" t="s">
        <v>292</v>
      </c>
      <c r="E47" s="515"/>
      <c r="F47" s="516">
        <v>41141</v>
      </c>
      <c r="G47" s="517">
        <v>0.7</v>
      </c>
      <c r="H47" s="526">
        <v>41141</v>
      </c>
      <c r="I47" s="526">
        <f>'[1]029-陈洪波（植筋）'!K42</f>
        <v>41141</v>
      </c>
      <c r="J47" s="518">
        <f t="shared" si="4"/>
        <v>0</v>
      </c>
      <c r="K47" s="519"/>
      <c r="L47" s="480"/>
      <c r="M47" s="404" t="s">
        <v>293</v>
      </c>
      <c r="P47" s="367"/>
      <c r="Q47" s="395"/>
    </row>
    <row r="48" spans="1:17" s="394" customFormat="1" ht="21" customHeight="1">
      <c r="A48" s="522" t="s">
        <v>264</v>
      </c>
      <c r="B48" s="523" t="s">
        <v>294</v>
      </c>
      <c r="C48" s="514" t="s">
        <v>80</v>
      </c>
      <c r="D48" s="530" t="s">
        <v>295</v>
      </c>
      <c r="E48" s="531">
        <v>50000</v>
      </c>
      <c r="F48" s="532">
        <v>110167.13</v>
      </c>
      <c r="G48" s="533"/>
      <c r="H48" s="526">
        <v>110167.13</v>
      </c>
      <c r="I48" s="515">
        <f>[1]陈俊华!K42</f>
        <v>110167.13</v>
      </c>
      <c r="J48" s="518">
        <f t="shared" si="4"/>
        <v>0</v>
      </c>
      <c r="K48" s="519">
        <f t="shared" ref="K48:K53" si="5">I48/H48</f>
        <v>1</v>
      </c>
      <c r="L48" s="480"/>
      <c r="M48" s="404"/>
      <c r="P48" s="367"/>
      <c r="Q48" s="395"/>
    </row>
    <row r="49" spans="1:17" s="394" customFormat="1" ht="21" customHeight="1">
      <c r="A49" s="512" t="s">
        <v>249</v>
      </c>
      <c r="B49" s="534" t="s">
        <v>296</v>
      </c>
      <c r="C49" s="535" t="s">
        <v>80</v>
      </c>
      <c r="D49" s="536" t="s">
        <v>101</v>
      </c>
      <c r="E49" s="537">
        <f>'[1]022-成都锦联建筑劳务有限公司'!F12</f>
        <v>349373.5</v>
      </c>
      <c r="F49" s="538"/>
      <c r="G49" s="539">
        <v>0.7</v>
      </c>
      <c r="H49" s="537">
        <v>349373.5</v>
      </c>
      <c r="I49" s="538">
        <f>'[1]022-成都锦联建筑劳务有限公司'!J17</f>
        <v>349373.5</v>
      </c>
      <c r="J49" s="518">
        <f t="shared" si="4"/>
        <v>0</v>
      </c>
      <c r="K49" s="519">
        <f t="shared" si="5"/>
        <v>1</v>
      </c>
      <c r="L49" s="540"/>
      <c r="M49" s="541"/>
      <c r="P49" s="367"/>
      <c r="Q49" s="395"/>
    </row>
    <row r="50" spans="1:17" s="394" customFormat="1" ht="21" customHeight="1">
      <c r="A50" s="512" t="s">
        <v>213</v>
      </c>
      <c r="B50" s="513" t="s">
        <v>297</v>
      </c>
      <c r="C50" s="514" t="s">
        <v>80</v>
      </c>
      <c r="D50" s="514" t="s">
        <v>298</v>
      </c>
      <c r="E50" s="515"/>
      <c r="F50" s="516">
        <v>81611.100000000006</v>
      </c>
      <c r="G50" s="517">
        <v>0.7</v>
      </c>
      <c r="H50" s="515">
        <f>'[1]008-邓红川（土石方)'!J42</f>
        <v>81611.100000000006</v>
      </c>
      <c r="I50" s="515">
        <f>'[1]008-邓红川（土石方)'!K42</f>
        <v>81611.100000000006</v>
      </c>
      <c r="J50" s="518">
        <f t="shared" si="4"/>
        <v>0</v>
      </c>
      <c r="K50" s="519">
        <f t="shared" si="5"/>
        <v>1</v>
      </c>
      <c r="L50" s="520">
        <v>0</v>
      </c>
      <c r="M50" s="521" t="s">
        <v>299</v>
      </c>
      <c r="P50" s="367"/>
      <c r="Q50" s="395"/>
    </row>
    <row r="51" spans="1:17" s="394" customFormat="1" ht="21" customHeight="1">
      <c r="A51" s="522" t="s">
        <v>264</v>
      </c>
      <c r="B51" s="542" t="s">
        <v>282</v>
      </c>
      <c r="C51" s="514" t="s">
        <v>80</v>
      </c>
      <c r="D51" s="543" t="s">
        <v>300</v>
      </c>
      <c r="E51" s="515"/>
      <c r="F51" s="516"/>
      <c r="G51" s="517">
        <v>0.7</v>
      </c>
      <c r="H51" s="515">
        <f>'[1]郭中兴（抹灰） '!J42</f>
        <v>938327.99</v>
      </c>
      <c r="I51" s="515">
        <f>'[1]郭中兴（抹灰） '!K42</f>
        <v>895000</v>
      </c>
      <c r="J51" s="518">
        <f t="shared" si="4"/>
        <v>43327.989999999991</v>
      </c>
      <c r="K51" s="519">
        <f t="shared" si="5"/>
        <v>0.95382425925501813</v>
      </c>
      <c r="L51" s="480"/>
      <c r="M51" s="404"/>
      <c r="P51" s="367"/>
      <c r="Q51" s="395"/>
    </row>
    <row r="52" spans="1:17" s="394" customFormat="1" ht="21" customHeight="1">
      <c r="A52" s="512" t="s">
        <v>258</v>
      </c>
      <c r="B52" s="523" t="s">
        <v>301</v>
      </c>
      <c r="C52" s="514" t="s">
        <v>80</v>
      </c>
      <c r="D52" s="544" t="s">
        <v>302</v>
      </c>
      <c r="E52" s="515"/>
      <c r="F52" s="516"/>
      <c r="G52" s="517">
        <v>0.7</v>
      </c>
      <c r="H52" s="515">
        <v>140012.26</v>
      </c>
      <c r="I52" s="515">
        <f>'[1]027-何超元'!K42</f>
        <v>140000</v>
      </c>
      <c r="J52" s="518">
        <f t="shared" si="4"/>
        <v>12.260000000009313</v>
      </c>
      <c r="K52" s="519">
        <f t="shared" si="5"/>
        <v>0.99991243623951209</v>
      </c>
      <c r="L52" s="480"/>
      <c r="M52" s="404"/>
      <c r="N52" s="394">
        <f>H52-150000</f>
        <v>-9987.7399999999907</v>
      </c>
      <c r="P52" s="367"/>
      <c r="Q52" s="395"/>
    </row>
    <row r="53" spans="1:17" s="394" customFormat="1" ht="21" customHeight="1">
      <c r="A53" s="512" t="s">
        <v>226</v>
      </c>
      <c r="B53" s="545" t="s">
        <v>303</v>
      </c>
      <c r="C53" s="514" t="s">
        <v>80</v>
      </c>
      <c r="D53" s="546" t="s">
        <v>304</v>
      </c>
      <c r="E53" s="515"/>
      <c r="F53" s="516">
        <v>11075.28</v>
      </c>
      <c r="G53" s="517">
        <v>0.7</v>
      </c>
      <c r="H53" s="515">
        <f>'[1]013-贺洪清（焊止水条）'!J42</f>
        <v>11075.28</v>
      </c>
      <c r="I53" s="515">
        <f>'[1]013-贺洪清（焊止水条）'!K42</f>
        <v>11075.28</v>
      </c>
      <c r="J53" s="518">
        <f t="shared" si="4"/>
        <v>0</v>
      </c>
      <c r="K53" s="519">
        <f t="shared" si="5"/>
        <v>1</v>
      </c>
      <c r="L53" s="520">
        <v>5000</v>
      </c>
      <c r="M53" s="521" t="s">
        <v>305</v>
      </c>
      <c r="P53" s="367"/>
      <c r="Q53" s="395"/>
    </row>
    <row r="54" spans="1:17" s="394" customFormat="1" ht="21" customHeight="1">
      <c r="A54" s="522" t="s">
        <v>264</v>
      </c>
      <c r="B54" s="523" t="s">
        <v>291</v>
      </c>
      <c r="C54" s="514" t="s">
        <v>80</v>
      </c>
      <c r="D54" s="544" t="s">
        <v>306</v>
      </c>
      <c r="E54" s="515"/>
      <c r="F54" s="516"/>
      <c r="G54" s="517"/>
      <c r="H54" s="526">
        <v>75659.199999999997</v>
      </c>
      <c r="I54" s="526">
        <f>'[1]胡春华（植筋） '!K42</f>
        <v>66500</v>
      </c>
      <c r="J54" s="518">
        <f t="shared" si="4"/>
        <v>9159.1999999999971</v>
      </c>
      <c r="K54" s="519"/>
      <c r="L54" s="480"/>
      <c r="M54" s="404"/>
      <c r="P54" s="367"/>
      <c r="Q54" s="395"/>
    </row>
    <row r="55" spans="1:17" s="394" customFormat="1" ht="21" customHeight="1">
      <c r="A55" s="522" t="s">
        <v>264</v>
      </c>
      <c r="B55" s="542" t="s">
        <v>307</v>
      </c>
      <c r="C55" s="514" t="s">
        <v>80</v>
      </c>
      <c r="D55" s="546" t="s">
        <v>308</v>
      </c>
      <c r="E55" s="515"/>
      <c r="F55" s="516"/>
      <c r="G55" s="517">
        <v>0.7</v>
      </c>
      <c r="H55" s="515">
        <f>'[1]吉发明（焊工）'!I42</f>
        <v>43314.84</v>
      </c>
      <c r="I55" s="515">
        <f>'[1]吉发明（焊工）'!J42</f>
        <v>43314.84</v>
      </c>
      <c r="J55" s="518">
        <f t="shared" si="4"/>
        <v>0</v>
      </c>
      <c r="K55" s="519">
        <f>I55/H55</f>
        <v>1</v>
      </c>
      <c r="L55" s="480"/>
      <c r="M55" s="404"/>
      <c r="P55" s="367"/>
      <c r="Q55" s="395"/>
    </row>
    <row r="56" spans="1:17" s="394" customFormat="1" ht="21" customHeight="1">
      <c r="A56" s="512" t="s">
        <v>239</v>
      </c>
      <c r="B56" s="547" t="s">
        <v>309</v>
      </c>
      <c r="C56" s="514" t="s">
        <v>80</v>
      </c>
      <c r="D56" s="548" t="s">
        <v>310</v>
      </c>
      <c r="E56" s="515"/>
      <c r="F56" s="516"/>
      <c r="G56" s="517">
        <v>0.7</v>
      </c>
      <c r="H56" s="515">
        <f>'[1]018-靳兴德（钢筋）'!J42</f>
        <v>1684353.14</v>
      </c>
      <c r="I56" s="515">
        <f>'[1]018-靳兴德（钢筋）'!K42</f>
        <v>1684353.1400000001</v>
      </c>
      <c r="J56" s="518">
        <f t="shared" si="4"/>
        <v>0</v>
      </c>
      <c r="K56" s="519">
        <f>I56/H56</f>
        <v>1.0000000000000002</v>
      </c>
      <c r="L56" s="520">
        <v>40000</v>
      </c>
      <c r="M56" s="521"/>
      <c r="P56" s="367"/>
      <c r="Q56" s="395"/>
    </row>
    <row r="57" spans="1:17" s="394" customFormat="1" ht="21" customHeight="1">
      <c r="A57" s="522" t="s">
        <v>264</v>
      </c>
      <c r="B57" s="549" t="s">
        <v>311</v>
      </c>
      <c r="C57" s="514" t="s">
        <v>80</v>
      </c>
      <c r="D57" s="550" t="s">
        <v>312</v>
      </c>
      <c r="E57" s="515"/>
      <c r="F57" s="516"/>
      <c r="G57" s="517">
        <v>0.7</v>
      </c>
      <c r="H57" s="515">
        <v>527388.44999999995</v>
      </c>
      <c r="I57" s="515">
        <f>[1]邝光成!K42</f>
        <v>625180</v>
      </c>
      <c r="J57" s="518">
        <f t="shared" si="4"/>
        <v>-97791.550000000047</v>
      </c>
      <c r="K57" s="519">
        <f>I57/H57</f>
        <v>1.1854260365391014</v>
      </c>
      <c r="L57" s="480"/>
      <c r="M57" s="404"/>
      <c r="P57" s="367"/>
      <c r="Q57" s="395"/>
    </row>
    <row r="58" spans="1:17" s="394" customFormat="1" ht="21" customHeight="1">
      <c r="A58" s="512" t="s">
        <v>205</v>
      </c>
      <c r="B58" s="513" t="s">
        <v>313</v>
      </c>
      <c r="C58" s="514" t="s">
        <v>80</v>
      </c>
      <c r="D58" s="514" t="s">
        <v>314</v>
      </c>
      <c r="E58" s="515"/>
      <c r="F58" s="516"/>
      <c r="G58" s="517">
        <v>0.7</v>
      </c>
      <c r="H58" s="515">
        <f>'[1]005-黎成林（防水班组）'!J42</f>
        <v>125000</v>
      </c>
      <c r="I58" s="515">
        <f>'[1]005-黎成林（防水班组）'!K42</f>
        <v>91000</v>
      </c>
      <c r="J58" s="551">
        <f t="shared" si="4"/>
        <v>34000</v>
      </c>
      <c r="K58" s="519">
        <f>I58/H58</f>
        <v>0.72799999999999998</v>
      </c>
      <c r="L58" s="520">
        <v>20000</v>
      </c>
      <c r="M58" s="521"/>
      <c r="P58" s="367"/>
      <c r="Q58" s="395"/>
    </row>
    <row r="59" spans="1:17" s="394" customFormat="1" ht="21" customHeight="1">
      <c r="A59" s="522"/>
      <c r="B59" s="523" t="s">
        <v>315</v>
      </c>
      <c r="C59" s="514"/>
      <c r="D59" s="524" t="s">
        <v>316</v>
      </c>
      <c r="E59" s="515"/>
      <c r="F59" s="516"/>
      <c r="G59" s="517"/>
      <c r="H59" s="526">
        <v>114567.8</v>
      </c>
      <c r="I59" s="526">
        <f>[1]李寿友!K43</f>
        <v>100000</v>
      </c>
      <c r="J59" s="518">
        <f t="shared" si="4"/>
        <v>14567.800000000003</v>
      </c>
      <c r="K59" s="519"/>
      <c r="L59" s="480"/>
      <c r="M59" s="404"/>
      <c r="P59" s="367"/>
      <c r="Q59" s="395"/>
    </row>
    <row r="60" spans="1:17" s="394" customFormat="1" ht="21" customHeight="1">
      <c r="A60" s="512" t="s">
        <v>253</v>
      </c>
      <c r="B60" s="523" t="s">
        <v>317</v>
      </c>
      <c r="C60" s="514" t="s">
        <v>80</v>
      </c>
      <c r="D60" s="544" t="s">
        <v>318</v>
      </c>
      <c r="E60" s="515"/>
      <c r="F60" s="516">
        <v>436569.74</v>
      </c>
      <c r="G60" s="517">
        <v>0.7</v>
      </c>
      <c r="H60" s="515">
        <v>434749.74</v>
      </c>
      <c r="I60" s="515">
        <f>'[1]025-李征（铝膜）'!K42</f>
        <v>434749</v>
      </c>
      <c r="J60" s="518">
        <f t="shared" si="4"/>
        <v>0.73999999999068677</v>
      </c>
      <c r="K60" s="519">
        <f>I60/H60</f>
        <v>0.99999829787132255</v>
      </c>
      <c r="L60" s="480"/>
      <c r="M60" s="404" t="s">
        <v>319</v>
      </c>
      <c r="P60" s="367"/>
      <c r="Q60" s="395"/>
    </row>
    <row r="61" spans="1:17" s="394" customFormat="1" ht="21" customHeight="1">
      <c r="A61" s="512" t="s">
        <v>320</v>
      </c>
      <c r="B61" s="523" t="s">
        <v>321</v>
      </c>
      <c r="C61" s="514" t="s">
        <v>80</v>
      </c>
      <c r="D61" s="544" t="s">
        <v>322</v>
      </c>
      <c r="E61" s="515"/>
      <c r="F61" s="516"/>
      <c r="G61" s="517">
        <v>0.7</v>
      </c>
      <c r="H61" s="515">
        <v>77080</v>
      </c>
      <c r="I61" s="515">
        <f>'[1]030-李忠（吊洞） '!K42</f>
        <v>67700</v>
      </c>
      <c r="J61" s="518">
        <f t="shared" si="4"/>
        <v>9380</v>
      </c>
      <c r="K61" s="519"/>
      <c r="L61" s="480"/>
      <c r="M61" s="404"/>
      <c r="P61" s="367"/>
      <c r="Q61" s="395"/>
    </row>
    <row r="62" spans="1:17" s="394" customFormat="1" ht="21" customHeight="1">
      <c r="A62" s="522" t="s">
        <v>264</v>
      </c>
      <c r="B62" s="523" t="s">
        <v>323</v>
      </c>
      <c r="C62" s="514" t="s">
        <v>80</v>
      </c>
      <c r="D62" s="544" t="s">
        <v>324</v>
      </c>
      <c r="E62" s="515"/>
      <c r="F62" s="516"/>
      <c r="G62" s="517"/>
      <c r="H62" s="526">
        <f>'[1]林继富（打磨）'!J42</f>
        <v>12807.84</v>
      </c>
      <c r="I62" s="552">
        <f>'[1]林继富（打磨）'!K42</f>
        <v>12807</v>
      </c>
      <c r="J62" s="518">
        <f t="shared" si="4"/>
        <v>0.84000000000014552</v>
      </c>
      <c r="K62" s="519"/>
      <c r="L62" s="480"/>
      <c r="M62" s="404"/>
      <c r="P62" s="367"/>
      <c r="Q62" s="395"/>
    </row>
    <row r="63" spans="1:17" s="394" customFormat="1" ht="21" customHeight="1">
      <c r="A63" s="512" t="s">
        <v>230</v>
      </c>
      <c r="B63" s="545" t="s">
        <v>325</v>
      </c>
      <c r="C63" s="514" t="s">
        <v>80</v>
      </c>
      <c r="D63" s="553" t="s">
        <v>326</v>
      </c>
      <c r="E63" s="515"/>
      <c r="F63" s="516">
        <v>1244237</v>
      </c>
      <c r="G63" s="517">
        <v>0.7</v>
      </c>
      <c r="H63" s="554">
        <v>1244237</v>
      </c>
      <c r="I63" s="515">
        <f>'[1]014-林其忠（零工） '!K42</f>
        <v>1244237</v>
      </c>
      <c r="J63" s="518">
        <f t="shared" si="4"/>
        <v>0</v>
      </c>
      <c r="K63" s="519">
        <f>I63/H63</f>
        <v>1</v>
      </c>
      <c r="L63" s="520">
        <v>20000</v>
      </c>
      <c r="M63" s="521"/>
      <c r="P63" s="367"/>
      <c r="Q63" s="395"/>
    </row>
    <row r="64" spans="1:17" s="9" customFormat="1" ht="21.95" customHeight="1">
      <c r="A64" s="522" t="s">
        <v>264</v>
      </c>
      <c r="B64" s="523" t="s">
        <v>327</v>
      </c>
      <c r="C64" s="514" t="s">
        <v>80</v>
      </c>
      <c r="D64" s="529" t="s">
        <v>328</v>
      </c>
      <c r="E64" s="555"/>
      <c r="F64" s="516">
        <v>1050342.8</v>
      </c>
      <c r="G64" s="517"/>
      <c r="H64" s="526">
        <v>1050342.8</v>
      </c>
      <c r="I64" s="556">
        <f>'[1]5#楼铝膜工人'!K43</f>
        <v>1050222.8</v>
      </c>
      <c r="J64" s="518">
        <f t="shared" si="4"/>
        <v>120</v>
      </c>
      <c r="K64" s="519"/>
      <c r="L64" s="480"/>
      <c r="M64" s="404"/>
    </row>
    <row r="65" spans="1:17" s="394" customFormat="1" ht="21" customHeight="1">
      <c r="A65" s="522" t="s">
        <v>264</v>
      </c>
      <c r="B65" s="547" t="s">
        <v>329</v>
      </c>
      <c r="C65" s="514" t="s">
        <v>80</v>
      </c>
      <c r="D65" s="546" t="s">
        <v>330</v>
      </c>
      <c r="E65" s="515"/>
      <c r="F65" s="516">
        <v>155340.07999999999</v>
      </c>
      <c r="G65" s="517">
        <v>0.7</v>
      </c>
      <c r="H65" s="515">
        <f>'[1]刘应（砼工）'!J42</f>
        <v>153580.07999999999</v>
      </c>
      <c r="I65" s="515">
        <f>'[1]刘应（砼工）'!K42</f>
        <v>153580.07999999999</v>
      </c>
      <c r="J65" s="518">
        <f t="shared" si="4"/>
        <v>0</v>
      </c>
      <c r="K65" s="519">
        <f>I65/H65</f>
        <v>1</v>
      </c>
      <c r="L65" s="520">
        <v>0</v>
      </c>
      <c r="M65" s="404" t="s">
        <v>331</v>
      </c>
      <c r="P65" s="367"/>
      <c r="Q65" s="395"/>
    </row>
    <row r="66" spans="1:17" s="394" customFormat="1" ht="21" customHeight="1">
      <c r="A66" s="512" t="s">
        <v>224</v>
      </c>
      <c r="B66" s="557" t="s">
        <v>332</v>
      </c>
      <c r="C66" s="514" t="s">
        <v>80</v>
      </c>
      <c r="D66" s="546" t="s">
        <v>333</v>
      </c>
      <c r="E66" s="515"/>
      <c r="F66" s="516"/>
      <c r="G66" s="517">
        <v>0.7</v>
      </c>
      <c r="H66" s="515">
        <f>'[1]012-罗小洪（木工）'!J53</f>
        <v>426040</v>
      </c>
      <c r="I66" s="515">
        <f>'[1]012-罗小洪（木工）'!K53</f>
        <v>426040</v>
      </c>
      <c r="J66" s="518">
        <f t="shared" si="4"/>
        <v>0</v>
      </c>
      <c r="K66" s="519">
        <f>I66/H66</f>
        <v>1</v>
      </c>
      <c r="L66" s="520">
        <v>30000</v>
      </c>
      <c r="M66" s="521"/>
      <c r="P66" s="367"/>
      <c r="Q66" s="395"/>
    </row>
    <row r="67" spans="1:17" s="394" customFormat="1" ht="21" customHeight="1">
      <c r="A67" s="512" t="s">
        <v>199</v>
      </c>
      <c r="B67" s="558" t="s">
        <v>334</v>
      </c>
      <c r="C67" s="514" t="s">
        <v>80</v>
      </c>
      <c r="D67" s="514" t="s">
        <v>335</v>
      </c>
      <c r="E67" s="515">
        <v>50000</v>
      </c>
      <c r="F67" s="516"/>
      <c r="G67" s="517">
        <v>0.7</v>
      </c>
      <c r="H67" s="515">
        <v>369275</v>
      </c>
      <c r="I67" s="516">
        <f>'[1]003-罗雪峰（机械租赁）'!K42</f>
        <v>337745.5</v>
      </c>
      <c r="J67" s="518">
        <f t="shared" si="4"/>
        <v>31529.5</v>
      </c>
      <c r="K67" s="519">
        <f>I67/H67</f>
        <v>0.91461783223884641</v>
      </c>
      <c r="L67" s="520">
        <v>0</v>
      </c>
      <c r="M67" s="521"/>
      <c r="P67" s="367"/>
      <c r="Q67" s="395"/>
    </row>
    <row r="68" spans="1:17" s="394" customFormat="1" ht="21" customHeight="1">
      <c r="A68" s="522" t="s">
        <v>264</v>
      </c>
      <c r="B68" s="559" t="s">
        <v>336</v>
      </c>
      <c r="C68" s="514" t="s">
        <v>80</v>
      </c>
      <c r="D68" s="544" t="s">
        <v>337</v>
      </c>
      <c r="E68" s="515"/>
      <c r="F68" s="516"/>
      <c r="G68" s="517">
        <v>1</v>
      </c>
      <c r="H68" s="515">
        <v>104160</v>
      </c>
      <c r="I68" s="515">
        <f>[1]梅昌和!K42</f>
        <v>100800</v>
      </c>
      <c r="J68" s="518">
        <f t="shared" si="4"/>
        <v>3360</v>
      </c>
      <c r="K68" s="519">
        <f>I68/H68</f>
        <v>0.967741935483871</v>
      </c>
      <c r="L68" s="480"/>
      <c r="M68" s="404"/>
      <c r="P68" s="367"/>
      <c r="Q68" s="395"/>
    </row>
    <row r="69" spans="1:17" s="394" customFormat="1" ht="21" customHeight="1">
      <c r="A69" s="512" t="s">
        <v>195</v>
      </c>
      <c r="B69" s="513" t="s">
        <v>313</v>
      </c>
      <c r="C69" s="514" t="s">
        <v>80</v>
      </c>
      <c r="D69" s="514" t="s">
        <v>338</v>
      </c>
      <c r="E69" s="515"/>
      <c r="F69" s="560"/>
      <c r="G69" s="517">
        <v>0.7</v>
      </c>
      <c r="H69" s="515">
        <v>705805.86</v>
      </c>
      <c r="I69" s="516">
        <f>'[1]002-欧心琼（防水）'!K42</f>
        <v>630000</v>
      </c>
      <c r="J69" s="518">
        <f t="shared" si="4"/>
        <v>75805.859999999986</v>
      </c>
      <c r="K69" s="519">
        <f>I69/H69</f>
        <v>0.89259672624423947</v>
      </c>
      <c r="L69" s="520">
        <v>20000</v>
      </c>
      <c r="M69" s="521" t="s">
        <v>339</v>
      </c>
      <c r="P69" s="367"/>
      <c r="Q69" s="395"/>
    </row>
    <row r="70" spans="1:17" s="394" customFormat="1" ht="21" customHeight="1">
      <c r="A70" s="512" t="s">
        <v>251</v>
      </c>
      <c r="B70" s="559" t="s">
        <v>340</v>
      </c>
      <c r="C70" s="514" t="s">
        <v>80</v>
      </c>
      <c r="D70" s="544" t="s">
        <v>341</v>
      </c>
      <c r="E70" s="515"/>
      <c r="F70" s="516"/>
      <c r="G70" s="517">
        <v>0.7</v>
      </c>
      <c r="H70" s="515">
        <v>720258.27</v>
      </c>
      <c r="I70" s="515">
        <f>'[1]024-宋国庆（铝膜）'!K42</f>
        <v>1385000</v>
      </c>
      <c r="J70" s="518">
        <f t="shared" si="4"/>
        <v>-664741.73</v>
      </c>
      <c r="K70" s="519"/>
      <c r="L70" s="480"/>
      <c r="M70" s="404"/>
      <c r="P70" s="367"/>
      <c r="Q70" s="395"/>
    </row>
    <row r="71" spans="1:17" s="394" customFormat="1" ht="21" customHeight="1">
      <c r="A71" s="522"/>
      <c r="B71" s="523" t="s">
        <v>342</v>
      </c>
      <c r="C71" s="514"/>
      <c r="D71" s="524" t="s">
        <v>343</v>
      </c>
      <c r="E71" s="515"/>
      <c r="F71" s="516"/>
      <c r="G71" s="517"/>
      <c r="H71" s="526">
        <v>85573.440000000002</v>
      </c>
      <c r="I71" s="526">
        <f>[1]孙凯!K43</f>
        <v>60000</v>
      </c>
      <c r="J71" s="518">
        <f t="shared" si="4"/>
        <v>25573.440000000002</v>
      </c>
      <c r="K71" s="519"/>
      <c r="L71" s="480"/>
      <c r="M71" s="404"/>
      <c r="P71" s="367"/>
      <c r="Q71" s="395"/>
    </row>
    <row r="72" spans="1:17" s="394" customFormat="1" ht="21" customHeight="1">
      <c r="A72" s="512" t="s">
        <v>264</v>
      </c>
      <c r="B72" s="542" t="s">
        <v>344</v>
      </c>
      <c r="C72" s="514" t="s">
        <v>80</v>
      </c>
      <c r="D72" s="546" t="s">
        <v>345</v>
      </c>
      <c r="E72" s="515"/>
      <c r="F72" s="516"/>
      <c r="G72" s="517">
        <v>0.7</v>
      </c>
      <c r="H72" s="515">
        <v>862134.3</v>
      </c>
      <c r="I72" s="515">
        <f>'[1]唐金和（石匠）'!K42</f>
        <v>943081</v>
      </c>
      <c r="J72" s="518">
        <f t="shared" si="4"/>
        <v>-80946.699999999953</v>
      </c>
      <c r="K72" s="519">
        <f t="shared" ref="K72:K77" si="6">I72/H72</f>
        <v>1.0938910561846338</v>
      </c>
      <c r="L72" s="480"/>
      <c r="M72" s="404"/>
      <c r="P72" s="367"/>
      <c r="Q72" s="395"/>
    </row>
    <row r="73" spans="1:17" s="394" customFormat="1" ht="21" customHeight="1">
      <c r="A73" s="512"/>
      <c r="B73" s="523" t="s">
        <v>346</v>
      </c>
      <c r="C73" s="514" t="s">
        <v>80</v>
      </c>
      <c r="D73" s="434" t="s">
        <v>347</v>
      </c>
      <c r="E73" s="515"/>
      <c r="F73" s="516"/>
      <c r="G73" s="517">
        <v>0.7</v>
      </c>
      <c r="H73" s="515">
        <v>384283.8</v>
      </c>
      <c r="I73" s="515">
        <v>384283.8</v>
      </c>
      <c r="J73" s="518">
        <f t="shared" si="4"/>
        <v>0</v>
      </c>
      <c r="K73" s="519">
        <f t="shared" si="6"/>
        <v>1</v>
      </c>
      <c r="L73" s="480"/>
      <c r="M73" s="404"/>
      <c r="P73" s="367"/>
      <c r="Q73" s="395"/>
    </row>
    <row r="74" spans="1:17" s="394" customFormat="1" ht="21" customHeight="1">
      <c r="A74" s="512" t="s">
        <v>348</v>
      </c>
      <c r="B74" s="547" t="s">
        <v>349</v>
      </c>
      <c r="C74" s="514" t="s">
        <v>80</v>
      </c>
      <c r="D74" s="548" t="s">
        <v>350</v>
      </c>
      <c r="E74" s="515"/>
      <c r="F74" s="516"/>
      <c r="G74" s="517">
        <v>0.7</v>
      </c>
      <c r="H74" s="515">
        <v>11309669.300000001</v>
      </c>
      <c r="I74" s="515">
        <f>'[1]019-王军（水电）'!J42</f>
        <v>7169358.9800000004</v>
      </c>
      <c r="J74" s="518">
        <f t="shared" si="4"/>
        <v>4140310.3200000003</v>
      </c>
      <c r="K74" s="519">
        <f t="shared" si="6"/>
        <v>0.63391411276720533</v>
      </c>
      <c r="L74" s="520"/>
      <c r="M74" s="521"/>
      <c r="P74" s="367"/>
      <c r="Q74" s="395"/>
    </row>
    <row r="75" spans="1:17" s="394" customFormat="1" ht="21" customHeight="1">
      <c r="A75" s="561" t="s">
        <v>264</v>
      </c>
      <c r="B75" s="542" t="s">
        <v>351</v>
      </c>
      <c r="C75" s="514" t="s">
        <v>80</v>
      </c>
      <c r="D75" s="546" t="s">
        <v>352</v>
      </c>
      <c r="E75" s="555"/>
      <c r="F75" s="516"/>
      <c r="G75" s="517">
        <v>0.7</v>
      </c>
      <c r="H75" s="515">
        <f>'[1]王汝超（试验）'!J42</f>
        <v>15000</v>
      </c>
      <c r="I75" s="515">
        <f>'[1]王汝超（试验）'!K42</f>
        <v>15000</v>
      </c>
      <c r="J75" s="518">
        <f t="shared" si="4"/>
        <v>0</v>
      </c>
      <c r="K75" s="519">
        <f t="shared" si="6"/>
        <v>1</v>
      </c>
      <c r="L75" s="480"/>
      <c r="M75" s="404"/>
      <c r="P75" s="367"/>
      <c r="Q75" s="395"/>
    </row>
    <row r="76" spans="1:17" s="394" customFormat="1" ht="21" customHeight="1">
      <c r="A76" s="512" t="s">
        <v>246</v>
      </c>
      <c r="B76" s="547" t="s">
        <v>353</v>
      </c>
      <c r="C76" s="514" t="s">
        <v>80</v>
      </c>
      <c r="D76" s="546" t="s">
        <v>354</v>
      </c>
      <c r="E76" s="515"/>
      <c r="F76" s="516"/>
      <c r="G76" s="517">
        <v>0.7</v>
      </c>
      <c r="H76" s="515">
        <v>64966.8</v>
      </c>
      <c r="I76" s="515">
        <f>'[1]021-魏金（植筋）'!J42</f>
        <v>53500</v>
      </c>
      <c r="J76" s="518">
        <f t="shared" si="4"/>
        <v>11466.800000000003</v>
      </c>
      <c r="K76" s="519">
        <f t="shared" si="6"/>
        <v>0.82349754028211331</v>
      </c>
      <c r="L76" s="520"/>
      <c r="M76" s="521"/>
      <c r="P76" s="367"/>
      <c r="Q76" s="395"/>
    </row>
    <row r="77" spans="1:17" s="394" customFormat="1" ht="21" customHeight="1">
      <c r="A77" s="512" t="s">
        <v>222</v>
      </c>
      <c r="B77" s="513" t="s">
        <v>355</v>
      </c>
      <c r="C77" s="514" t="s">
        <v>80</v>
      </c>
      <c r="D77" s="546" t="s">
        <v>356</v>
      </c>
      <c r="E77" s="515"/>
      <c r="F77" s="516"/>
      <c r="G77" s="517">
        <v>0.7</v>
      </c>
      <c r="H77" s="515">
        <v>3069723.5</v>
      </c>
      <c r="I77" s="515">
        <f>'[1]011-吴继春（砌体）'!K42</f>
        <v>3056012.9</v>
      </c>
      <c r="J77" s="518">
        <f t="shared" si="4"/>
        <v>13710.600000000093</v>
      </c>
      <c r="K77" s="519">
        <f t="shared" si="6"/>
        <v>0.99553360424806991</v>
      </c>
      <c r="L77" s="520">
        <v>30000</v>
      </c>
      <c r="M77" s="521"/>
      <c r="P77" s="367"/>
      <c r="Q77" s="395"/>
    </row>
    <row r="78" spans="1:17" s="394" customFormat="1" ht="21" customHeight="1">
      <c r="A78" s="522"/>
      <c r="B78" s="523" t="s">
        <v>357</v>
      </c>
      <c r="C78" s="514" t="s">
        <v>80</v>
      </c>
      <c r="D78" s="524" t="s">
        <v>358</v>
      </c>
      <c r="E78" s="515"/>
      <c r="F78" s="516"/>
      <c r="G78" s="517">
        <v>0.7</v>
      </c>
      <c r="H78" s="526">
        <v>802922.56</v>
      </c>
      <c r="I78" s="515">
        <f>[1]吴永军!K42</f>
        <v>814770</v>
      </c>
      <c r="J78" s="518">
        <f t="shared" si="4"/>
        <v>-11847.439999999944</v>
      </c>
      <c r="K78" s="519"/>
      <c r="L78" s="480"/>
      <c r="M78" s="404"/>
      <c r="P78" s="367"/>
      <c r="Q78" s="395"/>
    </row>
    <row r="79" spans="1:17" s="394" customFormat="1" ht="21" customHeight="1">
      <c r="A79" s="512" t="s">
        <v>261</v>
      </c>
      <c r="B79" s="542" t="s">
        <v>301</v>
      </c>
      <c r="C79" s="514" t="s">
        <v>80</v>
      </c>
      <c r="D79" s="546" t="s">
        <v>359</v>
      </c>
      <c r="E79" s="515"/>
      <c r="F79" s="516"/>
      <c r="G79" s="517">
        <v>0.7</v>
      </c>
      <c r="H79" s="515">
        <f>'[1]028-向攀（二模）'!J42</f>
        <v>55105.36</v>
      </c>
      <c r="I79" s="515">
        <f>'[1]028-向攀（二模）'!K42</f>
        <v>50000</v>
      </c>
      <c r="J79" s="518">
        <f t="shared" si="4"/>
        <v>5105.3600000000006</v>
      </c>
      <c r="K79" s="519">
        <f>I79/H79</f>
        <v>0.90735275116612979</v>
      </c>
      <c r="L79" s="480"/>
      <c r="M79" s="404"/>
      <c r="P79" s="367"/>
      <c r="Q79" s="395"/>
    </row>
    <row r="80" spans="1:17" s="394" customFormat="1" ht="21" customHeight="1">
      <c r="A80" s="512" t="s">
        <v>220</v>
      </c>
      <c r="B80" s="513" t="s">
        <v>360</v>
      </c>
      <c r="C80" s="514" t="s">
        <v>80</v>
      </c>
      <c r="D80" s="514" t="s">
        <v>361</v>
      </c>
      <c r="E80" s="515"/>
      <c r="F80" s="516">
        <v>2146487.54</v>
      </c>
      <c r="G80" s="517">
        <v>0.7</v>
      </c>
      <c r="H80" s="515">
        <v>2179213.81</v>
      </c>
      <c r="I80" s="515">
        <f>'[1]010-向朕君（砼工班组）'!K43</f>
        <v>2102138.7199999997</v>
      </c>
      <c r="J80" s="518">
        <f t="shared" si="4"/>
        <v>77075.090000000317</v>
      </c>
      <c r="K80" s="519">
        <f>I80/H80</f>
        <v>0.96463169898872825</v>
      </c>
      <c r="L80" s="520">
        <v>30000</v>
      </c>
      <c r="M80" s="521"/>
      <c r="P80" s="367"/>
      <c r="Q80" s="395"/>
    </row>
    <row r="81" spans="1:17" s="394" customFormat="1" ht="21" customHeight="1">
      <c r="A81" s="512" t="s">
        <v>362</v>
      </c>
      <c r="B81" s="562" t="s">
        <v>332</v>
      </c>
      <c r="C81" s="514" t="s">
        <v>80</v>
      </c>
      <c r="D81" s="548" t="s">
        <v>363</v>
      </c>
      <c r="E81" s="515"/>
      <c r="F81" s="516">
        <v>2594616.52</v>
      </c>
      <c r="G81" s="517">
        <v>0.7</v>
      </c>
      <c r="H81" s="515">
        <v>2594616.52</v>
      </c>
      <c r="I81" s="515">
        <f>'[1]023-谢鹏飞（木工）'!K41</f>
        <v>2590649.0300000003</v>
      </c>
      <c r="J81" s="518">
        <f t="shared" si="4"/>
        <v>3967.4899999997579</v>
      </c>
      <c r="K81" s="519">
        <f>I81/H81</f>
        <v>0.99847087615090047</v>
      </c>
      <c r="L81" s="480"/>
      <c r="M81" s="404" t="s">
        <v>364</v>
      </c>
      <c r="P81" s="367"/>
      <c r="Q81" s="395"/>
    </row>
    <row r="82" spans="1:17" s="394" customFormat="1" ht="21" customHeight="1">
      <c r="A82" s="522"/>
      <c r="B82" s="523" t="s">
        <v>365</v>
      </c>
      <c r="C82" s="514"/>
      <c r="D82" s="563" t="s">
        <v>366</v>
      </c>
      <c r="E82" s="515"/>
      <c r="F82" s="516"/>
      <c r="G82" s="517"/>
      <c r="H82" s="526">
        <v>1925</v>
      </c>
      <c r="I82" s="526">
        <v>1925</v>
      </c>
      <c r="J82" s="518">
        <f t="shared" si="4"/>
        <v>0</v>
      </c>
      <c r="K82" s="519"/>
      <c r="L82" s="480"/>
      <c r="M82" s="404"/>
      <c r="P82" s="367"/>
      <c r="Q82" s="395"/>
    </row>
    <row r="83" spans="1:17" s="394" customFormat="1" ht="21" customHeight="1">
      <c r="A83" s="512" t="s">
        <v>264</v>
      </c>
      <c r="B83" s="523" t="s">
        <v>367</v>
      </c>
      <c r="C83" s="514" t="s">
        <v>80</v>
      </c>
      <c r="D83" s="564" t="s">
        <v>368</v>
      </c>
      <c r="E83" s="515"/>
      <c r="F83" s="516"/>
      <c r="G83" s="517"/>
      <c r="H83" s="565">
        <v>562289.65720000002</v>
      </c>
      <c r="I83" s="526">
        <f>'[1]杨斌（打磨）'!K42</f>
        <v>487134</v>
      </c>
      <c r="J83" s="518">
        <f t="shared" si="4"/>
        <v>75155.657200000016</v>
      </c>
      <c r="K83" s="519"/>
      <c r="L83" s="480"/>
      <c r="M83" s="404"/>
      <c r="P83" s="367"/>
      <c r="Q83" s="395"/>
    </row>
    <row r="84" spans="1:17" s="394" customFormat="1" ht="21" customHeight="1">
      <c r="A84" s="512" t="s">
        <v>236</v>
      </c>
      <c r="B84" s="566" t="s">
        <v>309</v>
      </c>
      <c r="C84" s="514" t="s">
        <v>80</v>
      </c>
      <c r="D84" s="548" t="s">
        <v>369</v>
      </c>
      <c r="E84" s="515"/>
      <c r="F84" s="516"/>
      <c r="G84" s="517">
        <v>0.7</v>
      </c>
      <c r="H84" s="515">
        <v>5548041.7199999997</v>
      </c>
      <c r="I84" s="515">
        <f>'[1]017-杨强（钢筋）'!K42</f>
        <v>5394289.2000000002</v>
      </c>
      <c r="J84" s="518">
        <f t="shared" si="4"/>
        <v>153752.51999999955</v>
      </c>
      <c r="K84" s="519">
        <f>I84/H84</f>
        <v>0.97228706492135042</v>
      </c>
      <c r="L84" s="520">
        <v>50000</v>
      </c>
      <c r="M84" s="521"/>
      <c r="P84" s="367"/>
      <c r="Q84" s="395"/>
    </row>
    <row r="85" spans="1:17" s="394" customFormat="1" ht="21" customHeight="1">
      <c r="A85" s="522" t="s">
        <v>264</v>
      </c>
      <c r="B85" s="559" t="s">
        <v>370</v>
      </c>
      <c r="C85" s="514" t="s">
        <v>80</v>
      </c>
      <c r="D85" s="529" t="s">
        <v>371</v>
      </c>
      <c r="E85" s="515"/>
      <c r="F85" s="516"/>
      <c r="G85" s="517"/>
      <c r="H85" s="526">
        <v>38640</v>
      </c>
      <c r="I85" s="515">
        <f>[1]杨勇、易守德!K42</f>
        <v>38640</v>
      </c>
      <c r="J85" s="518">
        <f t="shared" si="4"/>
        <v>0</v>
      </c>
      <c r="K85" s="519"/>
      <c r="L85" s="480"/>
      <c r="M85" s="404"/>
      <c r="P85" s="367"/>
      <c r="Q85" s="395"/>
    </row>
    <row r="86" spans="1:17" s="394" customFormat="1" ht="21" customHeight="1">
      <c r="A86" s="512" t="s">
        <v>216</v>
      </c>
      <c r="B86" s="558" t="s">
        <v>372</v>
      </c>
      <c r="C86" s="514" t="s">
        <v>80</v>
      </c>
      <c r="D86" s="514" t="s">
        <v>373</v>
      </c>
      <c r="E86" s="515"/>
      <c r="F86" s="516">
        <v>5729996.4939999999</v>
      </c>
      <c r="G86" s="517">
        <v>0.7</v>
      </c>
      <c r="H86" s="515">
        <f>I86</f>
        <v>5879995.5700000003</v>
      </c>
      <c r="I86" s="515">
        <f>'[1]009-杨宇林（木工班组）'!K42</f>
        <v>5879995.5700000003</v>
      </c>
      <c r="J86" s="518">
        <f t="shared" si="4"/>
        <v>0</v>
      </c>
      <c r="K86" s="519">
        <f t="shared" ref="K86:K92" si="7">I86/H86</f>
        <v>1</v>
      </c>
      <c r="L86" s="520">
        <v>30000</v>
      </c>
      <c r="M86" s="521"/>
      <c r="P86" s="367"/>
      <c r="Q86" s="395"/>
    </row>
    <row r="87" spans="1:17" s="394" customFormat="1" ht="21" customHeight="1">
      <c r="A87" s="522" t="s">
        <v>264</v>
      </c>
      <c r="B87" s="567" t="s">
        <v>374</v>
      </c>
      <c r="C87" s="514" t="s">
        <v>80</v>
      </c>
      <c r="D87" s="546" t="s">
        <v>375</v>
      </c>
      <c r="E87" s="515"/>
      <c r="F87" s="516"/>
      <c r="G87" s="517">
        <v>0.7</v>
      </c>
      <c r="H87" s="515">
        <v>803743.49</v>
      </c>
      <c r="I87" s="515">
        <f>'[1]杨洲（塔吊）'!K42</f>
        <v>829564.17999999993</v>
      </c>
      <c r="J87" s="518">
        <f t="shared" si="4"/>
        <v>-25820.689999999944</v>
      </c>
      <c r="K87" s="519">
        <f t="shared" si="7"/>
        <v>1.0321255354740104</v>
      </c>
      <c r="L87" s="480"/>
      <c r="M87" s="404"/>
      <c r="P87" s="367"/>
      <c r="Q87" s="395"/>
    </row>
    <row r="88" spans="1:17" s="394" customFormat="1" ht="21" customHeight="1">
      <c r="A88" s="561" t="s">
        <v>264</v>
      </c>
      <c r="B88" s="568" t="s">
        <v>332</v>
      </c>
      <c r="C88" s="514" t="s">
        <v>80</v>
      </c>
      <c r="D88" s="548" t="s">
        <v>376</v>
      </c>
      <c r="E88" s="515"/>
      <c r="F88" s="516"/>
      <c r="G88" s="517">
        <v>0.7</v>
      </c>
      <c r="H88" s="515">
        <v>588930.098</v>
      </c>
      <c r="I88" s="515">
        <f>'[1]姚红友（木工） '!K43</f>
        <v>596787.69999999995</v>
      </c>
      <c r="J88" s="518">
        <f t="shared" si="4"/>
        <v>-7857.6019999999553</v>
      </c>
      <c r="K88" s="519">
        <f t="shared" si="7"/>
        <v>1.0133421640814153</v>
      </c>
      <c r="L88" s="480"/>
      <c r="M88" s="404"/>
      <c r="P88" s="367"/>
      <c r="Q88" s="395"/>
    </row>
    <row r="89" spans="1:17" s="394" customFormat="1" ht="21" customHeight="1">
      <c r="A89" s="522" t="s">
        <v>264</v>
      </c>
      <c r="B89" s="567" t="s">
        <v>332</v>
      </c>
      <c r="C89" s="514" t="s">
        <v>80</v>
      </c>
      <c r="D89" s="546" t="s">
        <v>377</v>
      </c>
      <c r="E89" s="515"/>
      <c r="F89" s="516">
        <v>8921.7999999999993</v>
      </c>
      <c r="G89" s="517">
        <v>0.7</v>
      </c>
      <c r="H89" s="515">
        <f>'[1]易冶民（木工）'!J42</f>
        <v>8921.7999999999993</v>
      </c>
      <c r="I89" s="515">
        <f>'[1]易冶民（木工）'!K42</f>
        <v>8921.7999999999993</v>
      </c>
      <c r="J89" s="518">
        <f t="shared" si="4"/>
        <v>0</v>
      </c>
      <c r="K89" s="519">
        <f t="shared" si="7"/>
        <v>1</v>
      </c>
      <c r="L89" s="480"/>
      <c r="M89" s="404" t="s">
        <v>378</v>
      </c>
      <c r="P89" s="367"/>
      <c r="Q89" s="395"/>
    </row>
    <row r="90" spans="1:17" s="394" customFormat="1" ht="21" customHeight="1">
      <c r="A90" s="512" t="s">
        <v>202</v>
      </c>
      <c r="B90" s="558" t="s">
        <v>379</v>
      </c>
      <c r="C90" s="514" t="s">
        <v>80</v>
      </c>
      <c r="D90" s="514" t="s">
        <v>380</v>
      </c>
      <c r="E90" s="515"/>
      <c r="F90" s="516">
        <v>45264.98</v>
      </c>
      <c r="G90" s="517">
        <v>0.7</v>
      </c>
      <c r="H90" s="515">
        <f>'[1]004-余江（涂料班组）'!J42</f>
        <v>45264.98</v>
      </c>
      <c r="I90" s="516">
        <f>'[1]004-余江（涂料班组）'!K42</f>
        <v>45264</v>
      </c>
      <c r="J90" s="518">
        <f t="shared" si="4"/>
        <v>0.98000000000320142</v>
      </c>
      <c r="K90" s="519">
        <f t="shared" si="7"/>
        <v>0.99997834970875932</v>
      </c>
      <c r="L90" s="569">
        <v>10000</v>
      </c>
      <c r="M90" s="570" t="s">
        <v>381</v>
      </c>
      <c r="P90" s="367"/>
      <c r="Q90" s="395"/>
    </row>
    <row r="91" spans="1:17" s="394" customFormat="1" ht="21" customHeight="1">
      <c r="A91" s="522" t="s">
        <v>264</v>
      </c>
      <c r="B91" s="567" t="s">
        <v>382</v>
      </c>
      <c r="C91" s="514" t="s">
        <v>80</v>
      </c>
      <c r="D91" s="571" t="s">
        <v>380</v>
      </c>
      <c r="E91" s="515"/>
      <c r="F91" s="516"/>
      <c r="G91" s="517"/>
      <c r="H91" s="515">
        <v>92193.73</v>
      </c>
      <c r="I91" s="515">
        <f>'[1]余江（涂料）'!K42</f>
        <v>92193</v>
      </c>
      <c r="J91" s="518">
        <f t="shared" si="4"/>
        <v>0.72999999999592546</v>
      </c>
      <c r="K91" s="519">
        <f t="shared" si="7"/>
        <v>0.99999208189103539</v>
      </c>
      <c r="L91" s="572"/>
      <c r="M91" s="573"/>
      <c r="P91" s="367"/>
      <c r="Q91" s="395"/>
    </row>
    <row r="92" spans="1:17" s="394" customFormat="1" ht="21" customHeight="1">
      <c r="A92" s="522" t="s">
        <v>264</v>
      </c>
      <c r="B92" s="574" t="s">
        <v>370</v>
      </c>
      <c r="C92" s="514" t="s">
        <v>80</v>
      </c>
      <c r="D92" s="544" t="s">
        <v>383</v>
      </c>
      <c r="E92" s="515"/>
      <c r="F92" s="516"/>
      <c r="G92" s="517">
        <v>1</v>
      </c>
      <c r="H92" s="515">
        <v>51040</v>
      </c>
      <c r="I92" s="515">
        <f>'[1]詹万友（突击）'!K42</f>
        <v>51040</v>
      </c>
      <c r="J92" s="518">
        <f t="shared" si="4"/>
        <v>0</v>
      </c>
      <c r="K92" s="519">
        <f t="shared" si="7"/>
        <v>1</v>
      </c>
      <c r="L92" s="404"/>
      <c r="M92" s="404"/>
      <c r="P92" s="367"/>
      <c r="Q92" s="395"/>
    </row>
    <row r="93" spans="1:17" s="394" customFormat="1" ht="21" customHeight="1">
      <c r="A93" s="512" t="s">
        <v>264</v>
      </c>
      <c r="B93" s="559" t="s">
        <v>301</v>
      </c>
      <c r="C93" s="514" t="s">
        <v>80</v>
      </c>
      <c r="D93" s="544" t="s">
        <v>384</v>
      </c>
      <c r="E93" s="515"/>
      <c r="F93" s="516"/>
      <c r="G93" s="517">
        <v>0.7</v>
      </c>
      <c r="H93" s="526">
        <v>880724.22</v>
      </c>
      <c r="I93" s="526">
        <f>'[1]张勇林（二模） '!K42</f>
        <v>801672</v>
      </c>
      <c r="J93" s="518">
        <f t="shared" si="4"/>
        <v>79052.219999999972</v>
      </c>
      <c r="K93" s="519"/>
      <c r="L93" s="404"/>
      <c r="M93" s="404"/>
      <c r="P93" s="367"/>
      <c r="Q93" s="395"/>
    </row>
    <row r="94" spans="1:17" s="394" customFormat="1" ht="21" customHeight="1">
      <c r="A94" s="512" t="s">
        <v>235</v>
      </c>
      <c r="B94" s="566" t="s">
        <v>385</v>
      </c>
      <c r="C94" s="514" t="s">
        <v>80</v>
      </c>
      <c r="D94" s="548" t="s">
        <v>386</v>
      </c>
      <c r="E94" s="515"/>
      <c r="F94" s="516">
        <v>354781.3</v>
      </c>
      <c r="G94" s="517">
        <v>0.7</v>
      </c>
      <c r="H94" s="515">
        <f>'[1]016-赵品正（架工）'!J42</f>
        <v>354781.3</v>
      </c>
      <c r="I94" s="515">
        <f>'[1]016-赵品正（架工）'!K42</f>
        <v>353505.41000000003</v>
      </c>
      <c r="J94" s="518">
        <f t="shared" si="4"/>
        <v>1275.8899999999558</v>
      </c>
      <c r="K94" s="519">
        <f>I94/H94</f>
        <v>0.99640372815590916</v>
      </c>
      <c r="L94" s="521">
        <v>30000</v>
      </c>
      <c r="M94" s="521"/>
      <c r="P94" s="367"/>
      <c r="Q94" s="395"/>
    </row>
    <row r="95" spans="1:17" s="394" customFormat="1" ht="21" customHeight="1">
      <c r="A95" s="512" t="s">
        <v>210</v>
      </c>
      <c r="B95" s="558" t="s">
        <v>387</v>
      </c>
      <c r="C95" s="514" t="s">
        <v>80</v>
      </c>
      <c r="D95" s="514" t="s">
        <v>388</v>
      </c>
      <c r="E95" s="515"/>
      <c r="F95" s="516"/>
      <c r="G95" s="517">
        <v>0.7</v>
      </c>
      <c r="H95" s="515">
        <v>1472571.4</v>
      </c>
      <c r="I95" s="515">
        <f>'[1]007-赵文友（人工捡底班组）'!K42</f>
        <v>1600379.75</v>
      </c>
      <c r="J95" s="518">
        <f t="shared" si="4"/>
        <v>-127808.35000000009</v>
      </c>
      <c r="K95" s="519">
        <f>I95/H95</f>
        <v>1.0867926336203462</v>
      </c>
      <c r="L95" s="521">
        <v>30000</v>
      </c>
      <c r="M95" s="521"/>
      <c r="P95" s="367"/>
      <c r="Q95" s="395"/>
    </row>
    <row r="96" spans="1:17" s="394" customFormat="1" ht="21" customHeight="1">
      <c r="A96" s="512" t="s">
        <v>233</v>
      </c>
      <c r="B96" s="575" t="s">
        <v>385</v>
      </c>
      <c r="C96" s="514" t="s">
        <v>80</v>
      </c>
      <c r="D96" s="548" t="s">
        <v>389</v>
      </c>
      <c r="E96" s="515"/>
      <c r="F96" s="516"/>
      <c r="G96" s="517">
        <v>0.7</v>
      </c>
      <c r="H96" s="576">
        <v>2045017.24</v>
      </c>
      <c r="I96" s="515">
        <f>'[1]015-邹平书（架工）'!K42</f>
        <v>2124304</v>
      </c>
      <c r="J96" s="518">
        <f t="shared" si="4"/>
        <v>-79286.760000000009</v>
      </c>
      <c r="K96" s="519">
        <f>I96/H96</f>
        <v>1.0387707049354753</v>
      </c>
      <c r="L96" s="521">
        <v>40000</v>
      </c>
      <c r="M96" s="521"/>
      <c r="P96" s="367"/>
      <c r="Q96" s="395"/>
    </row>
    <row r="97" spans="1:17" s="394" customFormat="1" ht="30" customHeight="1">
      <c r="A97" s="577" t="s">
        <v>79</v>
      </c>
      <c r="B97" s="577"/>
      <c r="C97" s="577"/>
      <c r="D97" s="577"/>
      <c r="E97" s="578">
        <f>SUM(E44:E90)</f>
        <v>599373.5</v>
      </c>
      <c r="F97" s="579">
        <f>SUM(F44:F90)</f>
        <v>13946931.844000001</v>
      </c>
      <c r="G97" s="579"/>
      <c r="H97" s="579">
        <f>SUM(H44:H96)</f>
        <v>50372517.845199987</v>
      </c>
      <c r="I97" s="579">
        <f>SUM(I44:I96)</f>
        <v>46616230.789999999</v>
      </c>
      <c r="J97" s="579">
        <f>SUM(J44:J96)</f>
        <v>3740376.5552000003</v>
      </c>
      <c r="K97" s="580"/>
      <c r="L97" s="579">
        <f>SUM(L44:L90)</f>
        <v>315000</v>
      </c>
      <c r="M97" s="579"/>
      <c r="P97" s="367"/>
      <c r="Q97" s="395"/>
    </row>
    <row r="98" spans="1:17" s="394" customFormat="1" ht="30" customHeight="1">
      <c r="A98" s="581" t="s">
        <v>167</v>
      </c>
      <c r="B98" s="582"/>
      <c r="C98" s="582"/>
      <c r="D98" s="583"/>
      <c r="E98" s="584">
        <f t="shared" ref="E98:J98" si="8">E97+E42</f>
        <v>34686350.670000002</v>
      </c>
      <c r="F98" s="584">
        <f t="shared" si="8"/>
        <v>14362332.344000001</v>
      </c>
      <c r="G98" s="584"/>
      <c r="H98" s="584">
        <f t="shared" si="8"/>
        <v>72503504.365199983</v>
      </c>
      <c r="I98" s="584">
        <f t="shared" si="8"/>
        <v>62867224.899999999</v>
      </c>
      <c r="J98" s="584">
        <f t="shared" si="8"/>
        <v>9620368.9651999995</v>
      </c>
      <c r="K98" s="585"/>
      <c r="L98" s="584">
        <f>L97+L42</f>
        <v>315000</v>
      </c>
      <c r="M98" s="584"/>
      <c r="P98" s="367"/>
      <c r="Q98" s="395"/>
    </row>
    <row r="99" spans="1:17" s="394" customFormat="1" ht="20.25" customHeight="1">
      <c r="A99" s="586"/>
      <c r="B99" s="587"/>
      <c r="C99" s="587"/>
      <c r="D99" s="588"/>
      <c r="E99" s="589"/>
      <c r="F99" s="589"/>
      <c r="G99" s="589"/>
      <c r="H99" s="589"/>
      <c r="I99" s="589"/>
      <c r="J99" s="589"/>
      <c r="K99" s="589"/>
      <c r="P99" s="367"/>
      <c r="Q99" s="395"/>
    </row>
    <row r="100" spans="1:17" s="394" customFormat="1" ht="20.25" customHeight="1">
      <c r="A100" s="586"/>
      <c r="B100" s="587"/>
      <c r="C100" s="587"/>
      <c r="D100" s="588"/>
      <c r="E100" s="589"/>
      <c r="F100" s="589"/>
      <c r="G100" s="589"/>
      <c r="H100" s="589"/>
      <c r="I100" s="589"/>
      <c r="J100" s="589"/>
      <c r="P100" s="367"/>
      <c r="Q100" s="395"/>
    </row>
    <row r="101" spans="1:17" s="394" customFormat="1" ht="20.25" customHeight="1">
      <c r="A101" s="586"/>
      <c r="B101" s="587"/>
      <c r="C101" s="587"/>
      <c r="D101" s="588"/>
      <c r="E101" s="589"/>
      <c r="F101" s="589"/>
      <c r="G101" s="589"/>
      <c r="H101" s="589"/>
      <c r="I101" s="589"/>
      <c r="J101" s="589"/>
      <c r="P101" s="367"/>
      <c r="Q101" s="395"/>
    </row>
    <row r="102" spans="1:17" s="394" customFormat="1">
      <c r="A102" s="586"/>
      <c r="B102" s="587"/>
      <c r="C102" s="587"/>
      <c r="D102" s="588"/>
      <c r="E102" s="589"/>
      <c r="F102" s="589"/>
      <c r="G102" s="589"/>
      <c r="H102" s="589"/>
      <c r="I102" s="589"/>
      <c r="J102" s="589"/>
      <c r="K102" s="589"/>
      <c r="P102" s="367"/>
      <c r="Q102" s="395"/>
    </row>
    <row r="103" spans="1:17" s="394" customFormat="1">
      <c r="B103" s="587"/>
      <c r="C103" s="587"/>
      <c r="D103" s="588"/>
      <c r="E103" s="589"/>
      <c r="F103" s="589"/>
      <c r="G103" s="589"/>
      <c r="H103" s="590"/>
      <c r="I103" s="589"/>
      <c r="J103" s="589"/>
      <c r="K103" s="589"/>
      <c r="P103" s="367"/>
      <c r="Q103" s="395"/>
    </row>
    <row r="104" spans="1:17" s="394" customFormat="1">
      <c r="B104" s="587"/>
      <c r="C104" s="587"/>
      <c r="D104" s="588"/>
      <c r="E104" s="589"/>
      <c r="F104" s="589"/>
      <c r="G104" s="589"/>
      <c r="H104" s="589"/>
      <c r="I104" s="589"/>
      <c r="J104" s="589"/>
      <c r="K104" s="589"/>
      <c r="P104" s="367"/>
      <c r="Q104" s="395"/>
    </row>
    <row r="105" spans="1:17" s="394" customFormat="1">
      <c r="B105" s="587"/>
      <c r="C105" s="587"/>
      <c r="D105" s="588"/>
      <c r="E105" s="589"/>
      <c r="F105" s="589"/>
      <c r="G105" s="589"/>
      <c r="H105" s="589"/>
      <c r="I105" s="589"/>
      <c r="J105" s="589"/>
      <c r="K105" s="589"/>
      <c r="P105" s="367"/>
      <c r="Q105" s="395"/>
    </row>
    <row r="106" spans="1:17" s="394" customFormat="1">
      <c r="B106" s="587"/>
      <c r="C106" s="587"/>
      <c r="D106" s="588"/>
      <c r="E106" s="589"/>
      <c r="F106" s="589"/>
      <c r="G106" s="589"/>
      <c r="H106" s="589"/>
      <c r="I106" s="589"/>
      <c r="J106" s="589"/>
      <c r="K106" s="589"/>
      <c r="P106" s="367"/>
      <c r="Q106" s="395"/>
    </row>
    <row r="107" spans="1:17" s="394" customFormat="1">
      <c r="B107" s="587"/>
      <c r="C107" s="587"/>
      <c r="D107" s="588"/>
      <c r="E107" s="589"/>
      <c r="F107" s="589"/>
      <c r="G107" s="589"/>
      <c r="H107" s="589"/>
      <c r="I107" s="589"/>
      <c r="J107" s="589"/>
      <c r="K107" s="589"/>
      <c r="P107" s="367"/>
      <c r="Q107" s="395"/>
    </row>
    <row r="108" spans="1:17" s="394" customFormat="1">
      <c r="B108" s="587"/>
      <c r="C108" s="587"/>
      <c r="D108" s="588"/>
      <c r="E108" s="589"/>
      <c r="F108" s="589"/>
      <c r="G108" s="589"/>
      <c r="H108" s="589"/>
      <c r="I108" s="589"/>
      <c r="J108" s="589"/>
      <c r="K108" s="589"/>
      <c r="P108" s="367"/>
      <c r="Q108" s="395"/>
    </row>
    <row r="109" spans="1:17" s="394" customFormat="1">
      <c r="B109" s="587"/>
      <c r="C109" s="587"/>
      <c r="D109" s="588"/>
      <c r="E109" s="589"/>
      <c r="F109" s="589"/>
      <c r="G109" s="589"/>
      <c r="H109" s="589"/>
      <c r="I109" s="589"/>
      <c r="J109" s="589"/>
      <c r="K109" s="589"/>
      <c r="P109" s="367"/>
      <c r="Q109" s="395"/>
    </row>
    <row r="110" spans="1:17" s="394" customFormat="1">
      <c r="B110" s="587"/>
      <c r="C110" s="587"/>
      <c r="D110" s="588"/>
      <c r="E110" s="589"/>
      <c r="F110" s="589"/>
      <c r="G110" s="589"/>
      <c r="H110" s="589"/>
      <c r="I110" s="589"/>
      <c r="J110" s="589"/>
      <c r="K110" s="589"/>
      <c r="P110" s="367"/>
      <c r="Q110" s="395"/>
    </row>
    <row r="111" spans="1:17" s="394" customFormat="1">
      <c r="B111" s="587"/>
      <c r="C111" s="587"/>
      <c r="D111" s="588"/>
      <c r="E111" s="589"/>
      <c r="F111" s="589"/>
      <c r="G111" s="589"/>
      <c r="H111" s="589"/>
      <c r="I111" s="589"/>
      <c r="J111" s="589"/>
      <c r="K111" s="589"/>
      <c r="P111" s="367"/>
      <c r="Q111" s="395"/>
    </row>
    <row r="112" spans="1:17" s="394" customFormat="1">
      <c r="B112" s="591"/>
      <c r="C112" s="591"/>
      <c r="D112" s="588"/>
      <c r="J112" s="367"/>
      <c r="K112" s="367"/>
      <c r="P112" s="367"/>
      <c r="Q112" s="395"/>
    </row>
    <row r="113" spans="2:17" s="394" customFormat="1">
      <c r="B113" s="591"/>
      <c r="C113" s="591"/>
      <c r="D113" s="588"/>
      <c r="J113" s="367"/>
      <c r="K113" s="367"/>
      <c r="P113" s="367"/>
      <c r="Q113" s="395"/>
    </row>
    <row r="114" spans="2:17" s="394" customFormat="1">
      <c r="B114" s="591"/>
      <c r="C114" s="591"/>
      <c r="D114" s="588"/>
      <c r="J114" s="367"/>
      <c r="K114" s="367"/>
      <c r="P114" s="367"/>
      <c r="Q114" s="395"/>
    </row>
    <row r="115" spans="2:17" s="394" customFormat="1">
      <c r="B115" s="591"/>
      <c r="C115" s="591"/>
      <c r="D115" s="588"/>
      <c r="J115" s="367"/>
      <c r="K115" s="367"/>
      <c r="P115" s="367"/>
      <c r="Q115" s="395"/>
    </row>
    <row r="116" spans="2:17" s="394" customFormat="1">
      <c r="B116" s="591"/>
      <c r="C116" s="591"/>
      <c r="D116" s="588"/>
      <c r="J116" s="367"/>
      <c r="K116" s="367"/>
      <c r="P116" s="367"/>
      <c r="Q116" s="395"/>
    </row>
    <row r="117" spans="2:17" s="394" customFormat="1">
      <c r="B117" s="591"/>
      <c r="C117" s="591"/>
      <c r="D117" s="588"/>
      <c r="J117" s="367"/>
      <c r="K117" s="367"/>
      <c r="P117" s="367"/>
      <c r="Q117" s="395"/>
    </row>
    <row r="118" spans="2:17" s="394" customFormat="1">
      <c r="B118" s="591"/>
      <c r="C118" s="591"/>
      <c r="D118" s="588"/>
      <c r="J118" s="367"/>
      <c r="K118" s="367"/>
      <c r="P118" s="367"/>
      <c r="Q118" s="395"/>
    </row>
    <row r="119" spans="2:17" s="394" customFormat="1">
      <c r="B119" s="591"/>
      <c r="C119" s="591"/>
      <c r="D119" s="588"/>
      <c r="J119" s="367"/>
      <c r="K119" s="367"/>
      <c r="P119" s="367"/>
      <c r="Q119" s="395"/>
    </row>
    <row r="120" spans="2:17" s="394" customFormat="1">
      <c r="B120" s="591"/>
      <c r="C120" s="591"/>
      <c r="D120" s="588"/>
      <c r="J120" s="367"/>
      <c r="K120" s="367"/>
      <c r="P120" s="367"/>
      <c r="Q120" s="395"/>
    </row>
    <row r="121" spans="2:17" s="394" customFormat="1">
      <c r="B121" s="591"/>
      <c r="C121" s="591"/>
      <c r="D121" s="588"/>
      <c r="J121" s="367"/>
      <c r="K121" s="367"/>
      <c r="P121" s="367"/>
      <c r="Q121" s="395"/>
    </row>
    <row r="122" spans="2:17" s="394" customFormat="1">
      <c r="B122" s="591"/>
      <c r="C122" s="591"/>
      <c r="D122" s="588"/>
      <c r="J122" s="367"/>
      <c r="K122" s="367"/>
      <c r="P122" s="367"/>
      <c r="Q122" s="395"/>
    </row>
    <row r="123" spans="2:17" s="394" customFormat="1">
      <c r="B123" s="591"/>
      <c r="C123" s="591"/>
      <c r="D123" s="588"/>
      <c r="J123" s="367"/>
      <c r="K123" s="367"/>
      <c r="P123" s="367"/>
      <c r="Q123" s="395"/>
    </row>
    <row r="124" spans="2:17" s="394" customFormat="1">
      <c r="B124" s="591"/>
      <c r="C124" s="591"/>
      <c r="D124" s="588"/>
      <c r="J124" s="367"/>
      <c r="K124" s="367"/>
      <c r="P124" s="367"/>
      <c r="Q124" s="395"/>
    </row>
  </sheetData>
  <mergeCells count="16">
    <mergeCell ref="J3:J4"/>
    <mergeCell ref="K3:K4"/>
    <mergeCell ref="L3:L4"/>
    <mergeCell ref="M3:M4"/>
    <mergeCell ref="A97:D97"/>
    <mergeCell ref="A98:D98"/>
    <mergeCell ref="A1:L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3" type="noConversion"/>
  <hyperlinks>
    <hyperlink ref="D49" location="'022-成都锦联建筑劳务有限公司'!A1" display="成都锦联建筑劳务有限公司"/>
    <hyperlink ref="D6" location="'002-成都天博建材有限公司'!A1" display="成都天博建材有限公司"/>
    <hyperlink ref="D7" location="'003-青羊区周文建材经营部'!A1" display="青羊区周文建材经营部"/>
    <hyperlink ref="D8" location="'004-郫县鑫隆达建材经营部'!A1" display="郫县鑫隆达建材经营部"/>
    <hyperlink ref="D9" location="'005-金牛区恒和信机电经营部'!A1" display="金牛区恒和信机电经营部"/>
    <hyperlink ref="D10" location="'006-成都市众志活动板房有限公司'!A1" display="成都市众志活动板房有限公司"/>
    <hyperlink ref="D14" location="'010-双流县华阳茂林建辅材料经营部'!A1" display="双流县华阳茂林建辅材料经营部"/>
    <hyperlink ref="D15" location="'011-成都佳俊建筑材料租赁有限公司'!A1" display="成都佳峻建筑材料租赁有限公司"/>
    <hyperlink ref="D16" location="'012-双流宏发建筑机具租赁站'!A1" display="双流宏发建筑机具租赁站"/>
    <hyperlink ref="D17" location="'013-成都鑫强信建筑租赁有限公司'!A1" display="成都鑫强信建筑租赁有限公司"/>
    <hyperlink ref="D11" location="'007-成都三采广告有限公司'!A1" display="成都三采广告有限公司"/>
    <hyperlink ref="D12" location="'008-成都三雄家具有限公司'!A1" display="成都三雄家具有限公司"/>
    <hyperlink ref="D18" location="'014-四川华曦建设工程质量检测有限公司'!A1" display="四川华曦建设工程质量检测有限公司"/>
    <hyperlink ref="D19" location="'015-金牛区统达建材经营部'!A1" display="金牛区统达建材经营部"/>
    <hyperlink ref="D20" location="'016-金牛区通统达建材经营部 '!A1" display="金牛区通统达建材经营部"/>
    <hyperlink ref="D21" location="'017-成都长城宽带网络服务有限公司'!A1" display="成都长城宽带网络服务有限公司"/>
    <hyperlink ref="D29" location="'027-四川省建业工程质量检测有限公司'!A1" display="四川省建业工程质量检测有限公司"/>
    <hyperlink ref="D22" location="'018-成都维美防护栏工程有限公司'!A1" display="成都维美防护栏工程有限公司"/>
    <hyperlink ref="D25" location="'022-四川峨胜水泥集团股份有限公司'!A1" display="四川峨胜水泥集团股份有限公司"/>
    <hyperlink ref="D31" location="金牛区恒瑞达建材经营部!A1" display="金牛区恒瑞达建材经营部"/>
    <hyperlink ref="D5" location="'001-大邑县韩场镇鸿运佳一建材经营部'!A1" display="大邑县韩场镇鸿运佳一建材经营部"/>
    <hyperlink ref="D32" location="新都区天健建筑机具设备租赁站!A1" display="新都区天健建筑机具设备租赁站"/>
    <hyperlink ref="D13" location="'009-双流县华阳腾飞建材经营部 '!A1" display="双流县华阳腾飞建材经营部"/>
    <hyperlink ref="D33" location="双流县华阳盛世建辅材料经营部!A1" display="双流华阳盛世建辅材料经营部"/>
    <hyperlink ref="D77" location="'011-吴继春（砌体）'!A1" display="吴继春"/>
    <hyperlink ref="D46" location="'001-车昭富（临设砌体）'!A1" display="车昭富"/>
    <hyperlink ref="D69" location="'002-欧心琼（防水）'!A1" display="欧心琼"/>
    <hyperlink ref="D67" location="'003-罗雪峰（机械租赁）'!A1" display="罗雪峰"/>
    <hyperlink ref="D90" location="'004-余江（涂料班组）'!A1" display="余江"/>
    <hyperlink ref="D58" location="'005-黎成林（防水班组）'!A1" display="黎成林"/>
    <hyperlink ref="D44" location="'006-曹礼银（抹灰班组）'!A1" display="曹礼银"/>
    <hyperlink ref="D84" location="'017-杨强（钢筋）'!A1" display="杨强"/>
    <hyperlink ref="D65" location="'刘应（砼工）'!A1" display="刘应"/>
    <hyperlink ref="D95" location="'007-赵文友（人工捡底班组）'!A1" display="赵文友"/>
    <hyperlink ref="D50" location="'008-邓红川（土石方)'!A1" display="邓红川"/>
    <hyperlink ref="D86" location="'009-杨宇林（木工班组）'!A1" display="杨宇林"/>
    <hyperlink ref="D80" location="'010-向朕君（砼工班组）'!A1" display="向朕君"/>
    <hyperlink ref="D96" location="'015-邹平书（架工）'!A1" display="邹平书"/>
    <hyperlink ref="D55" location="'吉发明（焊工）'!A1" display="吉发明"/>
    <hyperlink ref="D66" location="'012-罗小洪（木工）'!A1" display="罗小洪"/>
    <hyperlink ref="D56" location="'018-靳兴德（钢筋）'!A1" display="靳兴德"/>
    <hyperlink ref="D74" location="'019-王军（水电）'!A1" display="王军"/>
    <hyperlink ref="D53" location="'013-贺洪清（焊止水条）'!A1" display="贺红清"/>
    <hyperlink ref="D89" location="'易冶民（木工）'!A1" display="易冶民"/>
    <hyperlink ref="D87" location="'杨洲（塔吊）'!A1" display="杨洲"/>
    <hyperlink ref="D81" location="'023-谢鹏飞（木工）'!A1" display="谢鹏飞"/>
    <hyperlink ref="D94" location="'016-赵品正（架工）'!A1" display="赵品正"/>
    <hyperlink ref="D88" location="'姚红友（木工） '!A1" display="姚红友"/>
    <hyperlink ref="D75" location="'王汝超（试验）'!A1" display="王汝超"/>
    <hyperlink ref="D76" location="'021-魏金（植筋）'!A1" display="魏金"/>
    <hyperlink ref="D72" location="'唐金和（石匠）'!A1" display="唐金和"/>
    <hyperlink ref="D79" location="'028-向攀（二模）'!A1" display="向攀"/>
    <hyperlink ref="D92" location="'詹万友（突击）'!A1" display="詹万友"/>
    <hyperlink ref="D68" location="梅昌和!A1" display="梅昌和"/>
    <hyperlink ref="D91" location="'余江（涂料）'!A1" display="余江"/>
    <hyperlink ref="D52" location="'027-何超元'!A1" display="何强元"/>
    <hyperlink ref="D60" location="'025-李征（铝膜）'!A1" display="李征"/>
    <hyperlink ref="D48" location="陈俊华!A1" display="陈俊华"/>
    <hyperlink ref="D70" location="'024-宋国庆（铝膜）'!A1" display="宋国庆"/>
    <hyperlink ref="D61" location="'030-李忠（吊洞） '!A1" display="李忠"/>
    <hyperlink ref="D83" location="'杨斌（打磨）'!A1" display="杨斌"/>
    <hyperlink ref="D54" location="'胡春华（植筋） '!A1" display="胡春华"/>
    <hyperlink ref="D93" location="'张勇林（二模） '!A1" display="张勇林"/>
    <hyperlink ref="D47" location="'029-陈洪波（植筋）'!A1" display="陈红波"/>
    <hyperlink ref="D26" location="'024-金牛区华鑫宏建材经营部 '!A1" display="金牛区华鑫宏建材经营部"/>
    <hyperlink ref="D62" location="'林继富（打磨）'!A1" display="林继富"/>
    <hyperlink ref="D85" location="杨勇!A1" display="杨勇（易守德）"/>
    <hyperlink ref="D27" location="'025-成都恒欣恒建材有限公司'!A1" display="成都恒欣恒建材有限公司"/>
    <hyperlink ref="D30" location="'028-四川鑫川建筑机械有限公司第一分公司'!A1" display="四川鑫川建筑机械有限公司第一分公司"/>
    <hyperlink ref="D64" location="'5#楼铝膜工人'!A1" display="零星人工"/>
    <hyperlink ref="D28" location="'026-成都市朗和建材有限公司'!A1" display="成都市朗和建材有限公司"/>
    <hyperlink ref="D78" location="吴永军!A1" display="吴永军"/>
    <hyperlink ref="D51" location="'郭中兴（抹灰） '!A1" display="郭仲兴"/>
    <hyperlink ref="D73" location="'王久峰（模板）'!A1" display="王久峰"/>
    <hyperlink ref="D36" location="大成亨通商贸有限公司!A1" display="成都大成亨通商贸有限公司"/>
    <hyperlink ref="D57" location="邝光成!A1" display="邝光成"/>
    <hyperlink ref="D63" location="'014-林其忠（零工） '!A1" display="林其忠"/>
    <hyperlink ref="D24" location="'021-双流县兴隆茂明机砖厂'!A1" display="双流县兴隆茂明机砖厂"/>
    <hyperlink ref="D40" location="仁寿县高家机砖厂!A1" display="仁寿县高家机砖厂"/>
    <hyperlink ref="D71" location="孙凯!A1" display="孙凯"/>
    <hyperlink ref="D59" location="李寿友!A1" display="李寿友"/>
    <hyperlink ref="D45" location="曾祥虎!A1" display="曾祥虎"/>
    <hyperlink ref="D38" location="成都睿智建材有限公司!A1" display="锐智建材"/>
    <hyperlink ref="D23" location="'020-成都港都筑浆建材有限公司'!A1" display="成都港都浆建材有限公司"/>
    <hyperlink ref="D39" location="'向远成（烟道。勇拓）'!A1" display="勇拓建材"/>
  </hyperlinks>
  <printOptions horizontalCentered="1"/>
  <pageMargins left="0.11805555555555555" right="0.11805555555555555" top="0.35416666666666669" bottom="0.35416666666666669" header="0.11805555555555555" footer="0.11805555555555555"/>
  <pageSetup paperSize="9" scale="29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5月 </vt:lpstr>
      <vt:lpstr>总表 (实际材料人工)</vt:lpstr>
      <vt:lpstr>Sheet1</vt:lpstr>
      <vt:lpstr>'5月 '!Print_Area</vt:lpstr>
      <vt:lpstr>'总表 (实际材料人工)'!Print_Area</vt:lpstr>
      <vt:lpstr>'5月 '!Print_Titles</vt:lpstr>
      <vt:lpstr>'总表 (实际材料人工)'!Print_Titles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2016-05-06T06:33:15Z</dcterms:modified>
</cp:coreProperties>
</file>