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AA Simple Lab\07 CV - SD\Z3-Cono de arena\"/>
    </mc:Choice>
  </mc:AlternateContent>
  <xr:revisionPtr revIDLastSave="0" documentId="13_ncr:1_{E65AC5AD-BE0D-4051-96C1-B3CDDEBD1C62}" xr6:coauthVersionLast="47" xr6:coauthVersionMax="47" xr10:uidLastSave="{00000000-0000-0000-0000-000000000000}"/>
  <bookViews>
    <workbookView minimized="1" xWindow="5472" yWindow="3360" windowWidth="17280" windowHeight="8880" xr2:uid="{54E42925-7DFB-44AF-A3BA-F2813DF0D958}"/>
  </bookViews>
  <sheets>
    <sheet name="QC-C-019 (Cono Arena)" sheetId="1" r:id="rId1"/>
    <sheet name="Cono Asumido" sheetId="3" state="hidden" r:id="rId2"/>
  </sheets>
  <definedNames>
    <definedName name="_xlnm._FilterDatabase" localSheetId="1" hidden="1">'Cono Asumido'!$B$16:$M$63</definedName>
    <definedName name="_xlnm._FilterDatabase" localSheetId="0" hidden="1">'QC-C-019 (Cono Arena)'!$B$16:$M$66</definedName>
    <definedName name="AAA" localSheetId="1">#REF!</definedName>
    <definedName name="AAA" localSheetId="0">#REF!</definedName>
    <definedName name="AAA">#REF!</definedName>
    <definedName name="AAAAA" localSheetId="1">#REF!</definedName>
    <definedName name="AAAAA" localSheetId="0">#REF!</definedName>
    <definedName name="AAAAA">#REF!</definedName>
    <definedName name="_xlnm.Print_Area" localSheetId="1">'Cono Asumido'!$B$1:$M$69</definedName>
    <definedName name="_xlnm.Print_Area" localSheetId="0">'QC-C-019 (Cono Arena)'!$B$1:$M$72</definedName>
    <definedName name="CC">#REF!</definedName>
    <definedName name="cddd" localSheetId="1">#REF!</definedName>
    <definedName name="cddd" localSheetId="0">#REF!</definedName>
    <definedName name="cddd">#REF!</definedName>
    <definedName name="chatas" localSheetId="1">#REF!</definedName>
    <definedName name="chatas" localSheetId="0">#REF!</definedName>
    <definedName name="chatas">#REF!</definedName>
    <definedName name="CM" localSheetId="1">#REF!</definedName>
    <definedName name="CM" localSheetId="0">#REF!</definedName>
    <definedName name="CM">#REF!</definedName>
    <definedName name="COMPACT" localSheetId="1">#REF!</definedName>
    <definedName name="COMPACT" localSheetId="0">#REF!</definedName>
    <definedName name="COMPACT">#REF!</definedName>
    <definedName name="CU">#REF!</definedName>
    <definedName name="Dato" localSheetId="1">#REF!</definedName>
    <definedName name="Dato" localSheetId="0">#REF!</definedName>
    <definedName name="Dato">#REF!</definedName>
    <definedName name="datos" localSheetId="1">#REF!</definedName>
    <definedName name="datos" localSheetId="0">#REF!</definedName>
    <definedName name="datos">#REF!</definedName>
    <definedName name="Datoss" localSheetId="1">#REF!</definedName>
    <definedName name="Datoss" localSheetId="0">#REF!</definedName>
    <definedName name="Datoss">#REF!</definedName>
    <definedName name="diasem" localSheetId="1">#REF!</definedName>
    <definedName name="diasem" localSheetId="0">#REF!</definedName>
    <definedName name="diasem">#REF!</definedName>
    <definedName name="Divisiones" localSheetId="1">#REF!</definedName>
    <definedName name="Divisiones" localSheetId="0">#REF!</definedName>
    <definedName name="Divisiones">#REF!</definedName>
    <definedName name="E" localSheetId="1">#REF!</definedName>
    <definedName name="E" localSheetId="0">#REF!</definedName>
    <definedName name="E">#REF!</definedName>
    <definedName name="ED" localSheetId="1">#REF!</definedName>
    <definedName name="ED" localSheetId="0">#REF!</definedName>
    <definedName name="ED">#REF!</definedName>
    <definedName name="ELEMENTOS">#REF!</definedName>
    <definedName name="escala" localSheetId="1">#REF!</definedName>
    <definedName name="escala" localSheetId="0">#REF!</definedName>
    <definedName name="escala">#REF!</definedName>
    <definedName name="FF" localSheetId="1">#REF!</definedName>
    <definedName name="FF" localSheetId="0">#REF!</definedName>
    <definedName name="FF">#REF!</definedName>
    <definedName name="GAUS" localSheetId="1">#REF!</definedName>
    <definedName name="GAUS" localSheetId="0">#REF!</definedName>
    <definedName name="GAUS">#REF!</definedName>
    <definedName name="INDICE" localSheetId="1">#REF!</definedName>
    <definedName name="INDICE" localSheetId="0">#REF!</definedName>
    <definedName name="INDICE">#REF!</definedName>
    <definedName name="IP">#REF!</definedName>
    <definedName name="laditos" localSheetId="1">#REF!</definedName>
    <definedName name="laditos" localSheetId="0">#REF!</definedName>
    <definedName name="laditos">#REF!</definedName>
    <definedName name="lados" localSheetId="1">#REF!</definedName>
    <definedName name="lados" localSheetId="0">#REF!</definedName>
    <definedName name="lados">#REF!</definedName>
    <definedName name="LIMITES" localSheetId="1">#REF!</definedName>
    <definedName name="LIMITES" localSheetId="0">#REF!</definedName>
    <definedName name="LIMITES">#REF!</definedName>
    <definedName name="Ll">#REF!</definedName>
    <definedName name="MODIF">#REF!</definedName>
    <definedName name="MOLDECBR" localSheetId="1">#REF!</definedName>
    <definedName name="MOLDECBR" localSheetId="0">#REF!</definedName>
    <definedName name="MOLDECBR">#REF!</definedName>
    <definedName name="moldes" localSheetId="1">#REF!</definedName>
    <definedName name="moldes" localSheetId="0">#REF!</definedName>
    <definedName name="moldes">#REF!</definedName>
    <definedName name="MOLDESCBR2" localSheetId="1">#REF!</definedName>
    <definedName name="MOLDESCBR2" localSheetId="0">#REF!</definedName>
    <definedName name="MOLDESCBR2">#REF!</definedName>
    <definedName name="MORA" localSheetId="1">#REF!</definedName>
    <definedName name="MORA" localSheetId="0">#REF!</definedName>
    <definedName name="MORA">#REF!</definedName>
    <definedName name="MPROCTOR">#REF!</definedName>
    <definedName name="N_10">#REF!</definedName>
    <definedName name="N_200">#REF!</definedName>
    <definedName name="N_40">#REF!</definedName>
    <definedName name="o" localSheetId="1">#REF!</definedName>
    <definedName name="o" localSheetId="0">#REF!</definedName>
    <definedName name="o">#REF!</definedName>
    <definedName name="observaciones" localSheetId="1">#REF!</definedName>
    <definedName name="observaciones" localSheetId="0">#REF!</definedName>
    <definedName name="observaciones">#REF!</definedName>
    <definedName name="P.E" localSheetId="1">#REF!</definedName>
    <definedName name="P.E" localSheetId="0">#REF!</definedName>
    <definedName name="P.E">#REF!</definedName>
    <definedName name="PASA" localSheetId="1">#REF!</definedName>
    <definedName name="PASA" localSheetId="0">#REF!</definedName>
    <definedName name="PASA">#REF!</definedName>
    <definedName name="pc" localSheetId="1">#REF!</definedName>
    <definedName name="pc" localSheetId="0">#REF!</definedName>
    <definedName name="pc">#REF!</definedName>
    <definedName name="PES" localSheetId="1">#REF!</definedName>
    <definedName name="PES" localSheetId="0">#REF!</definedName>
    <definedName name="PES">#REF!</definedName>
    <definedName name="PESOSCBR" localSheetId="1">#REF!</definedName>
    <definedName name="PESOSCBR" localSheetId="0">#REF!</definedName>
    <definedName name="PESOSCBR">#REF!</definedName>
    <definedName name="RANGO">#REF!</definedName>
    <definedName name="STÁNDAR">#REF!</definedName>
    <definedName name="tab" localSheetId="1">#REF!</definedName>
    <definedName name="tab" localSheetId="0">#REF!</definedName>
    <definedName name="tab">#REF!</definedName>
    <definedName name="TABLA" localSheetId="1">#REF!</definedName>
    <definedName name="TABLA" localSheetId="0">#REF!</definedName>
    <definedName name="TABLA">#REF!</definedName>
    <definedName name="TABLA1" localSheetId="1">#REF!</definedName>
    <definedName name="TABLA1" localSheetId="0">#REF!</definedName>
    <definedName name="TABLA1">#REF!</definedName>
    <definedName name="TABLA3" localSheetId="1">#REF!</definedName>
    <definedName name="TABLA3" localSheetId="0">#REF!</definedName>
    <definedName name="TABLA3">#REF!</definedName>
    <definedName name="tabla5" localSheetId="1">#REF!</definedName>
    <definedName name="tabla5" localSheetId="0">#REF!</definedName>
    <definedName name="tabla5">#REF!</definedName>
    <definedName name="TARRITOS" localSheetId="1">#REF!</definedName>
    <definedName name="TARRITOS" localSheetId="0">#REF!</definedName>
    <definedName name="TARRITOS">#REF!</definedName>
    <definedName name="TARROS" localSheetId="1">#REF!</definedName>
    <definedName name="TARROS" localSheetId="0">#REF!</definedName>
    <definedName name="TARROS">#REF!</definedName>
    <definedName name="TARROS2" localSheetId="1">#REF!</definedName>
    <definedName name="TARROS2" localSheetId="0">#REF!</definedName>
    <definedName name="TARROS2">#REF!</definedName>
    <definedName name="TARROS3">#REF!</definedName>
    <definedName name="TARROSLIMITE" localSheetId="1">#REF!</definedName>
    <definedName name="TARROSLIMITE" localSheetId="0">#REF!</definedName>
    <definedName name="TARROSLIMITE">#REF!</definedName>
    <definedName name="TCBR" localSheetId="1">#REF!</definedName>
    <definedName name="TCBR" localSheetId="0">#REF!</definedName>
    <definedName name="TCBR">#REF!</definedName>
    <definedName name="VOLUMENDECBR" localSheetId="1">#REF!</definedName>
    <definedName name="VOLUMENDECBR" localSheetId="0">#REF!</definedName>
    <definedName name="VOLUMENDECB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1" l="1"/>
  <c r="I51" i="1" l="1"/>
  <c r="AH80" i="1" l="1"/>
  <c r="J65" i="1" l="1"/>
  <c r="J80" i="1" l="1"/>
  <c r="I80" i="1"/>
  <c r="J82" i="1"/>
  <c r="J81" i="1"/>
  <c r="I60" i="1"/>
  <c r="G66" i="1"/>
  <c r="J66" i="1"/>
  <c r="F81" i="1"/>
  <c r="O28" i="1"/>
  <c r="O27" i="1"/>
  <c r="AH82" i="1"/>
  <c r="AH81" i="1"/>
  <c r="AG82" i="1"/>
  <c r="AG81" i="1"/>
  <c r="AG80" i="1"/>
  <c r="E82" i="1"/>
  <c r="E81" i="1"/>
  <c r="J62" i="1"/>
  <c r="L61" i="1"/>
  <c r="K62" i="1"/>
  <c r="K60" i="1"/>
  <c r="J60" i="1"/>
  <c r="X81" i="1"/>
  <c r="N82" i="1"/>
  <c r="N81" i="1"/>
  <c r="K81" i="1"/>
  <c r="K82" i="1"/>
  <c r="F82" i="1"/>
  <c r="D81" i="1"/>
  <c r="K80" i="1"/>
  <c r="I29" i="1" l="1"/>
  <c r="I31" i="1" s="1"/>
  <c r="I33" i="1" s="1"/>
  <c r="W82" i="1"/>
  <c r="W81" i="1"/>
  <c r="W80" i="1"/>
  <c r="V82" i="1"/>
  <c r="V81" i="1"/>
  <c r="V80" i="1"/>
  <c r="U82" i="1"/>
  <c r="U81" i="1"/>
  <c r="T82" i="1"/>
  <c r="T81" i="1"/>
  <c r="R82" i="1"/>
  <c r="R81" i="1"/>
  <c r="I81" i="1"/>
  <c r="S82" i="1" l="1"/>
  <c r="S81" i="1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H82" i="1" l="1"/>
  <c r="P82" i="1"/>
  <c r="O82" i="1"/>
  <c r="I82" i="1"/>
  <c r="G82" i="1"/>
  <c r="D82" i="1"/>
  <c r="C82" i="1"/>
  <c r="I29" i="3" l="1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41" i="3"/>
  <c r="J41" i="3"/>
  <c r="I38" i="3"/>
  <c r="J38" i="3"/>
  <c r="I32" i="3"/>
  <c r="J32" i="3"/>
  <c r="I33" i="3"/>
  <c r="J33" i="3"/>
  <c r="J29" i="3"/>
  <c r="I27" i="3"/>
  <c r="J27" i="3"/>
  <c r="I24" i="3"/>
  <c r="J24" i="3"/>
  <c r="I25" i="3"/>
  <c r="J25" i="3"/>
  <c r="L13" i="3"/>
  <c r="L14" i="3"/>
  <c r="L15" i="3"/>
  <c r="E13" i="3"/>
  <c r="E14" i="3"/>
  <c r="E15" i="3"/>
  <c r="AB82" i="1" l="1"/>
  <c r="X82" i="1"/>
  <c r="AK85" i="3"/>
  <c r="Q85" i="3"/>
  <c r="Q86" i="3" s="1"/>
  <c r="K85" i="3"/>
  <c r="K86" i="3" s="1"/>
  <c r="K84" i="3"/>
  <c r="P86" i="3"/>
  <c r="O86" i="3"/>
  <c r="N86" i="3"/>
  <c r="AL85" i="3"/>
  <c r="AL86" i="3" s="1"/>
  <c r="AK86" i="3"/>
  <c r="AJ85" i="3"/>
  <c r="AJ86" i="3" s="1"/>
  <c r="AH85" i="3"/>
  <c r="AH86" i="3" s="1"/>
  <c r="AA85" i="3"/>
  <c r="AA86" i="3" s="1"/>
  <c r="T85" i="3"/>
  <c r="T86" i="3" s="1"/>
  <c r="S85" i="3"/>
  <c r="S86" i="3" s="1"/>
  <c r="R85" i="3"/>
  <c r="R86" i="3" s="1"/>
  <c r="P85" i="3"/>
  <c r="M85" i="3"/>
  <c r="M86" i="3" s="1"/>
  <c r="L85" i="3"/>
  <c r="L86" i="3" s="1"/>
  <c r="J85" i="3"/>
  <c r="J86" i="3" s="1"/>
  <c r="I85" i="3"/>
  <c r="I86" i="3" s="1"/>
  <c r="H85" i="3"/>
  <c r="H86" i="3" s="1"/>
  <c r="G85" i="3"/>
  <c r="G86" i="3" s="1"/>
  <c r="F85" i="3"/>
  <c r="E85" i="3"/>
  <c r="E86" i="3" s="1"/>
  <c r="D85" i="3"/>
  <c r="D86" i="3" s="1"/>
  <c r="C85" i="3"/>
  <c r="F86" i="3" s="1"/>
  <c r="AA84" i="3"/>
  <c r="X84" i="3"/>
  <c r="X85" i="3" s="1"/>
  <c r="X86" i="3" s="1"/>
  <c r="W84" i="3"/>
  <c r="W85" i="3" s="1"/>
  <c r="W86" i="3" s="1"/>
  <c r="U84" i="3"/>
  <c r="U85" i="3" s="1"/>
  <c r="U86" i="3" s="1"/>
  <c r="S84" i="3"/>
  <c r="R84" i="3"/>
  <c r="Q84" i="3"/>
  <c r="M84" i="3"/>
  <c r="L84" i="3"/>
  <c r="J84" i="3"/>
  <c r="I84" i="3"/>
  <c r="H84" i="3"/>
  <c r="G84" i="3"/>
  <c r="F84" i="3"/>
  <c r="E84" i="3"/>
  <c r="D84" i="3"/>
  <c r="C84" i="3"/>
  <c r="U79" i="3"/>
  <c r="T79" i="3"/>
  <c r="L79" i="3"/>
  <c r="K79" i="3"/>
  <c r="U78" i="3"/>
  <c r="T78" i="3"/>
  <c r="L78" i="3"/>
  <c r="K78" i="3"/>
  <c r="C78" i="3"/>
  <c r="C79" i="3" s="1"/>
  <c r="L77" i="3"/>
  <c r="K77" i="3"/>
  <c r="C77" i="3"/>
  <c r="O76" i="3"/>
  <c r="O77" i="3" s="1"/>
  <c r="O78" i="3" s="1"/>
  <c r="O79" i="3" s="1"/>
  <c r="L76" i="3"/>
  <c r="K76" i="3"/>
  <c r="I76" i="3"/>
  <c r="I77" i="3" s="1"/>
  <c r="I78" i="3" s="1"/>
  <c r="I79" i="3" s="1"/>
  <c r="H76" i="3"/>
  <c r="H77" i="3" s="1"/>
  <c r="H78" i="3" s="1"/>
  <c r="H79" i="3" s="1"/>
  <c r="E76" i="3"/>
  <c r="E77" i="3" s="1"/>
  <c r="O72" i="3"/>
  <c r="S65" i="3"/>
  <c r="M63" i="3"/>
  <c r="J63" i="3"/>
  <c r="J52" i="3" s="1"/>
  <c r="G63" i="3"/>
  <c r="R76" i="3" s="1"/>
  <c r="R77" i="3" s="1"/>
  <c r="R78" i="3" s="1"/>
  <c r="R79" i="3" s="1"/>
  <c r="S62" i="3"/>
  <c r="M62" i="3"/>
  <c r="J62" i="3"/>
  <c r="G62" i="3"/>
  <c r="Z84" i="3" s="1"/>
  <c r="Z85" i="3" s="1"/>
  <c r="Z86" i="3" s="1"/>
  <c r="S61" i="3"/>
  <c r="S63" i="3" s="1"/>
  <c r="M61" i="3"/>
  <c r="S60" i="3"/>
  <c r="R60" i="3"/>
  <c r="S58" i="3"/>
  <c r="R58" i="3"/>
  <c r="L58" i="3"/>
  <c r="S57" i="3"/>
  <c r="S64" i="3" s="1"/>
  <c r="J57" i="3"/>
  <c r="I57" i="3"/>
  <c r="Q76" i="3" s="1"/>
  <c r="Q77" i="3" s="1"/>
  <c r="Q78" i="3" s="1"/>
  <c r="Q79" i="3" s="1"/>
  <c r="V79" i="3" s="1"/>
  <c r="W79" i="3" s="1"/>
  <c r="S56" i="3"/>
  <c r="S55" i="3"/>
  <c r="J53" i="3"/>
  <c r="J48" i="3" s="1"/>
  <c r="I53" i="3"/>
  <c r="I48" i="3" s="1"/>
  <c r="M48" i="3"/>
  <c r="S47" i="3"/>
  <c r="R47" i="3"/>
  <c r="Q47" i="3"/>
  <c r="P47" i="3"/>
  <c r="O47" i="3"/>
  <c r="R43" i="3"/>
  <c r="Q43" i="3"/>
  <c r="M43" i="3"/>
  <c r="M54" i="3" s="1"/>
  <c r="M42" i="3"/>
  <c r="J42" i="3"/>
  <c r="I42" i="3"/>
  <c r="M40" i="3"/>
  <c r="J40" i="3"/>
  <c r="I40" i="3"/>
  <c r="M34" i="3"/>
  <c r="M49" i="3" s="1"/>
  <c r="J34" i="3"/>
  <c r="I34" i="3"/>
  <c r="S32" i="3"/>
  <c r="R32" i="3"/>
  <c r="Q32" i="3"/>
  <c r="P32" i="3"/>
  <c r="O32" i="3"/>
  <c r="J26" i="3"/>
  <c r="J28" i="3" s="1"/>
  <c r="J30" i="3" s="1"/>
  <c r="I26" i="3"/>
  <c r="I28" i="3" s="1"/>
  <c r="I30" i="3" s="1"/>
  <c r="B26" i="3"/>
  <c r="B27" i="3" s="1"/>
  <c r="B28" i="3" s="1"/>
  <c r="B29" i="3" s="1"/>
  <c r="B30" i="3" s="1"/>
  <c r="B32" i="3" s="1"/>
  <c r="B33" i="3" s="1"/>
  <c r="B34" i="3" s="1"/>
  <c r="B35" i="3" s="1"/>
  <c r="B36" i="3" s="1"/>
  <c r="B38" i="3" s="1"/>
  <c r="B39" i="3" s="1"/>
  <c r="B40" i="3" s="1"/>
  <c r="B41" i="3" s="1"/>
  <c r="B42" i="3" s="1"/>
  <c r="B43" i="3" s="1"/>
  <c r="B44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7" i="3" s="1"/>
  <c r="B58" i="3" s="1"/>
  <c r="S25" i="3"/>
  <c r="R25" i="3"/>
  <c r="Q25" i="3"/>
  <c r="P25" i="3"/>
  <c r="O25" i="3"/>
  <c r="B25" i="3"/>
  <c r="S24" i="3"/>
  <c r="R24" i="3"/>
  <c r="Q24" i="3"/>
  <c r="P24" i="3"/>
  <c r="O24" i="3"/>
  <c r="L7" i="3"/>
  <c r="I43" i="3" l="1"/>
  <c r="Q54" i="3"/>
  <c r="V84" i="3"/>
  <c r="V85" i="3" s="1"/>
  <c r="V86" i="3" s="1"/>
  <c r="I52" i="3"/>
  <c r="V78" i="3"/>
  <c r="W78" i="3" s="1"/>
  <c r="T46" i="3"/>
  <c r="Z82" i="1"/>
  <c r="C86" i="3"/>
  <c r="I35" i="3"/>
  <c r="AB84" i="3" s="1"/>
  <c r="J35" i="3"/>
  <c r="AB85" i="3" s="1"/>
  <c r="AB86" i="3" s="1"/>
  <c r="J43" i="3"/>
  <c r="J54" i="3" s="1"/>
  <c r="E78" i="3"/>
  <c r="X77" i="3"/>
  <c r="X76" i="3"/>
  <c r="M46" i="3"/>
  <c r="M50" i="3" s="1"/>
  <c r="M35" i="3"/>
  <c r="S43" i="3"/>
  <c r="Y84" i="3"/>
  <c r="Y85" i="3" s="1"/>
  <c r="Y86" i="3" s="1"/>
  <c r="T47" i="3"/>
  <c r="AF84" i="3" l="1"/>
  <c r="I49" i="3"/>
  <c r="I46" i="3" s="1"/>
  <c r="I50" i="3" s="1"/>
  <c r="AF85" i="3"/>
  <c r="AF86" i="3" s="1"/>
  <c r="J49" i="3"/>
  <c r="J46" i="3" s="1"/>
  <c r="J50" i="3" s="1"/>
  <c r="P43" i="3"/>
  <c r="I54" i="3"/>
  <c r="O43" i="3"/>
  <c r="M51" i="3"/>
  <c r="M44" i="3" s="1"/>
  <c r="M36" i="3" s="1"/>
  <c r="M55" i="3" s="1"/>
  <c r="M58" i="3" s="1"/>
  <c r="M59" i="3" s="1"/>
  <c r="E79" i="3"/>
  <c r="X79" i="3" s="1"/>
  <c r="X78" i="3"/>
  <c r="D80" i="1"/>
  <c r="AB81" i="1"/>
  <c r="P81" i="1"/>
  <c r="O81" i="1"/>
  <c r="H81" i="1"/>
  <c r="G81" i="1"/>
  <c r="C81" i="1"/>
  <c r="Y82" i="1" l="1"/>
  <c r="Q57" i="3"/>
  <c r="Q64" i="3" s="1"/>
  <c r="AD84" i="3"/>
  <c r="J51" i="3"/>
  <c r="J44" i="3" s="1"/>
  <c r="AD85" i="3"/>
  <c r="AD86" i="3" s="1"/>
  <c r="R57" i="3"/>
  <c r="R64" i="3" s="1"/>
  <c r="I51" i="3"/>
  <c r="I44" i="3" s="1"/>
  <c r="U80" i="1"/>
  <c r="R80" i="1"/>
  <c r="S80" i="1"/>
  <c r="M66" i="1"/>
  <c r="M65" i="1"/>
  <c r="M64" i="1"/>
  <c r="G65" i="1"/>
  <c r="T80" i="1"/>
  <c r="P80" i="1"/>
  <c r="O80" i="1"/>
  <c r="N80" i="1"/>
  <c r="H80" i="1"/>
  <c r="G80" i="1"/>
  <c r="F80" i="1"/>
  <c r="E80" i="1"/>
  <c r="AC84" i="3" l="1"/>
  <c r="U76" i="3"/>
  <c r="I36" i="3"/>
  <c r="AC85" i="3"/>
  <c r="AC86" i="3" s="1"/>
  <c r="U77" i="3"/>
  <c r="J36" i="3"/>
  <c r="Z81" i="1"/>
  <c r="Q57" i="1"/>
  <c r="AA82" i="1" l="1"/>
  <c r="AC82" i="1" s="1"/>
  <c r="AE82" i="1" s="1"/>
  <c r="R56" i="3"/>
  <c r="R62" i="3" s="1"/>
  <c r="J55" i="3"/>
  <c r="Q56" i="3"/>
  <c r="Q62" i="3" s="1"/>
  <c r="I55" i="3"/>
  <c r="L7" i="1"/>
  <c r="T76" i="3" l="1"/>
  <c r="V76" i="3" s="1"/>
  <c r="W76" i="3" s="1"/>
  <c r="AE84" i="3"/>
  <c r="AG84" i="3" s="1"/>
  <c r="AI84" i="3" s="1"/>
  <c r="AI85" i="3" s="1"/>
  <c r="AI86" i="3" s="1"/>
  <c r="I58" i="3"/>
  <c r="I59" i="3" s="1"/>
  <c r="Q55" i="3"/>
  <c r="Q61" i="3" s="1"/>
  <c r="J58" i="3"/>
  <c r="R55" i="3"/>
  <c r="R61" i="3" s="1"/>
  <c r="AE85" i="3"/>
  <c r="AE86" i="3" s="1"/>
  <c r="T77" i="3"/>
  <c r="V77" i="3" s="1"/>
  <c r="W77" i="3" s="1"/>
  <c r="Y81" i="1"/>
  <c r="I45" i="1"/>
  <c r="I43" i="1"/>
  <c r="I37" i="1"/>
  <c r="I38" i="1" l="1"/>
  <c r="X80" i="1" s="1"/>
  <c r="J59" i="3"/>
  <c r="AG85" i="3"/>
  <c r="AG86" i="3" s="1"/>
  <c r="Q65" i="3"/>
  <c r="Q63" i="3"/>
  <c r="R65" i="3"/>
  <c r="R63" i="3"/>
  <c r="R58" i="1"/>
  <c r="AA81" i="1"/>
  <c r="I46" i="1"/>
  <c r="I57" i="1" s="1"/>
  <c r="M43" i="1"/>
  <c r="M45" i="1"/>
  <c r="M37" i="1"/>
  <c r="M38" i="1" s="1"/>
  <c r="M51" i="1"/>
  <c r="AC81" i="1" l="1"/>
  <c r="AE81" i="1" s="1"/>
  <c r="I52" i="1"/>
  <c r="I49" i="1" s="1"/>
  <c r="I53" i="1" s="1"/>
  <c r="AB80" i="1"/>
  <c r="M46" i="1"/>
  <c r="M52" i="1" s="1"/>
  <c r="M49" i="1" s="1"/>
  <c r="M53" i="1" s="1"/>
  <c r="M57" i="1" l="1"/>
  <c r="M54" i="1"/>
  <c r="M47" i="1" s="1"/>
  <c r="M39" i="1" s="1"/>
  <c r="M58" i="1" s="1"/>
  <c r="M61" i="1" s="1"/>
  <c r="M62" i="1" s="1"/>
  <c r="I54" i="1" l="1"/>
  <c r="I47" i="1" s="1"/>
  <c r="Z80" i="1"/>
  <c r="Q60" i="1"/>
  <c r="Q67" i="1" s="1"/>
  <c r="Y80" i="1" l="1"/>
  <c r="I39" i="1"/>
  <c r="I58" i="1" s="1"/>
  <c r="R61" i="1"/>
  <c r="S61" i="1" s="1"/>
  <c r="R63" i="1"/>
  <c r="S63" i="1" s="1"/>
  <c r="AA80" i="1" l="1"/>
  <c r="AC80" i="1" s="1"/>
  <c r="AE80" i="1" s="1"/>
  <c r="I61" i="1"/>
  <c r="I62" i="1" s="1"/>
  <c r="Q58" i="1"/>
  <c r="S60" i="1" l="1"/>
  <c r="S67" i="1" s="1"/>
  <c r="R60" i="1"/>
  <c r="R67" i="1" s="1"/>
  <c r="S50" i="1"/>
  <c r="R50" i="1"/>
  <c r="Q50" i="1"/>
  <c r="P50" i="1"/>
  <c r="S59" i="1" l="1"/>
  <c r="S65" i="1" s="1"/>
  <c r="S58" i="1" l="1"/>
  <c r="S64" i="1" s="1"/>
  <c r="S68" i="1" s="1"/>
  <c r="S66" i="1" l="1"/>
  <c r="S46" i="1" l="1"/>
  <c r="T50" i="1"/>
  <c r="T49" i="1"/>
  <c r="O50" i="1"/>
  <c r="R46" i="1"/>
  <c r="S35" i="1"/>
  <c r="R35" i="1"/>
  <c r="Q35" i="1"/>
  <c r="P35" i="1"/>
  <c r="O35" i="1"/>
  <c r="S28" i="1"/>
  <c r="R28" i="1"/>
  <c r="Q28" i="1"/>
  <c r="P28" i="1"/>
  <c r="B28" i="1"/>
  <c r="B29" i="1" s="1"/>
  <c r="B30" i="1" s="1"/>
  <c r="B31" i="1" s="1"/>
  <c r="B32" i="1" s="1"/>
  <c r="B33" i="1" s="1"/>
  <c r="B35" i="1" s="1"/>
  <c r="B36" i="1" s="1"/>
  <c r="B37" i="1" s="1"/>
  <c r="B38" i="1" s="1"/>
  <c r="B39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S27" i="1"/>
  <c r="R27" i="1"/>
  <c r="Q27" i="1"/>
  <c r="P27" i="1"/>
  <c r="Q46" i="1" l="1"/>
  <c r="P46" i="1"/>
  <c r="O46" i="1" l="1"/>
  <c r="Q59" i="1" l="1"/>
  <c r="Q65" i="1" s="1"/>
  <c r="R59" i="1"/>
  <c r="R65" i="1" s="1"/>
  <c r="Q64" i="1" l="1"/>
  <c r="R64" i="1"/>
  <c r="R66" i="1" l="1"/>
  <c r="R68" i="1"/>
  <c r="Q66" i="1"/>
  <c r="Q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Peralta Barreda, Bryan</author>
  </authors>
  <commentList>
    <comment ref="Q61" authorId="0" shapeId="0" xr:uid="{FA7F78FB-66B2-4C76-9477-1284AEC49DFC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% retenido según Método de Proctor</t>
        </r>
      </text>
    </comment>
    <comment ref="Q62" authorId="0" shapeId="0" xr:uid="{4A6102C8-6643-4642-B816-0C005FC3F0CD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Maxima Densidad Seca sin Corregir PROCTOR UTILIZADO</t>
        </r>
      </text>
    </comment>
    <comment ref="Q63" authorId="0" shapeId="0" xr:uid="{A5982DB9-30B4-4B68-BB7F-8C9A7DBD66B4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Maxima densidad seca Corregida (Proctor Utilizado)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Peralta Barreda, Bryan</author>
  </authors>
  <commentList>
    <comment ref="Q58" authorId="0" shapeId="0" xr:uid="{D7EFCE5E-C1C2-493E-BE5A-0AF9EF7241A1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% retenido según Método de Proctor</t>
        </r>
      </text>
    </comment>
    <comment ref="Q59" authorId="0" shapeId="0" xr:uid="{A5EB860F-40D8-4B7E-9EE7-70EBC77A1EB1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Maxima Densidad Seca sin Corregir PROCTOR UTILIZADO</t>
        </r>
      </text>
    </comment>
    <comment ref="Q60" authorId="0" shapeId="0" xr:uid="{8678C6E5-5514-4231-9CEE-2CE55F00033E}">
      <text>
        <r>
          <rPr>
            <b/>
            <sz val="9"/>
            <color indexed="81"/>
            <rFont val="Tahoma"/>
            <family val="2"/>
          </rPr>
          <t>Gregory:</t>
        </r>
        <r>
          <rPr>
            <sz val="9"/>
            <color indexed="81"/>
            <rFont val="Tahoma"/>
            <family val="2"/>
          </rPr>
          <t xml:space="preserve">
Maxima densidad seca Corregida (Proctor Utilizado)</t>
        </r>
      </text>
    </comment>
  </commentList>
</comments>
</file>

<file path=xl/sharedStrings.xml><?xml version="1.0" encoding="utf-8"?>
<sst xmlns="http://schemas.openxmlformats.org/spreadsheetml/2006/main" count="488" uniqueCount="233">
  <si>
    <t>SOCIEDAD MINERA CERRO VERDE S.A.A.</t>
  </si>
  <si>
    <t>ID del Documento:</t>
  </si>
  <si>
    <t>QC-C-019</t>
  </si>
  <si>
    <t>ASEGURAMIENTO DE CALIDAD</t>
  </si>
  <si>
    <t xml:space="preserve">Revisión: </t>
  </si>
  <si>
    <t>Fecha:</t>
  </si>
  <si>
    <t>Especialidad:</t>
  </si>
  <si>
    <t>Civil</t>
  </si>
  <si>
    <t>PROYECTO:</t>
  </si>
  <si>
    <t>N° SISTEMA:</t>
  </si>
  <si>
    <t>PRODUCTO ENTREGABLE:</t>
  </si>
  <si>
    <t>CÓDIGO FACILIDAD:</t>
  </si>
  <si>
    <t>CONTRATISTA:</t>
  </si>
  <si>
    <t>FECHA:</t>
  </si>
  <si>
    <t>ESPECIFICACION:</t>
  </si>
  <si>
    <t>N° REGISTRO:</t>
  </si>
  <si>
    <t>PLANOS:</t>
  </si>
  <si>
    <t xml:space="preserve">PÁGINA: </t>
  </si>
  <si>
    <t>DE</t>
  </si>
  <si>
    <t>ENSAYO DE CONO DE ARENA (ASTM D1556)</t>
  </si>
  <si>
    <t>Datos de la muestra</t>
  </si>
  <si>
    <t>FECHA DE ENSAYO:</t>
  </si>
  <si>
    <t>MATERIAL:</t>
  </si>
  <si>
    <t>TURNO:</t>
  </si>
  <si>
    <t>ENSAYADO POR:</t>
  </si>
  <si>
    <t>Número de Prueba</t>
  </si>
  <si>
    <t>Lado</t>
  </si>
  <si>
    <t>Espesor de Capa (cm)</t>
  </si>
  <si>
    <t>Número de Capa</t>
  </si>
  <si>
    <t>Coordenadas</t>
  </si>
  <si>
    <t>N:</t>
  </si>
  <si>
    <t>E:</t>
  </si>
  <si>
    <t>Cota:</t>
  </si>
  <si>
    <t>VOLUMEN DEL HOYO</t>
  </si>
  <si>
    <t>01</t>
  </si>
  <si>
    <t xml:space="preserve">Peso de la arena + frasco   </t>
  </si>
  <si>
    <t>(g)</t>
  </si>
  <si>
    <t xml:space="preserve">Peso de la arena remanente + frasco   </t>
  </si>
  <si>
    <t xml:space="preserve">Peso de la arena empleada (01-02)   </t>
  </si>
  <si>
    <t xml:space="preserve">Peso de la arena en el cono y plato   </t>
  </si>
  <si>
    <t xml:space="preserve">Peso de la arena en el hoyo (03-04)   </t>
  </si>
  <si>
    <t xml:space="preserve">Densidad de la arena  </t>
  </si>
  <si>
    <t>(g/cm3)</t>
  </si>
  <si>
    <t xml:space="preserve">Volumen del hoyo (05/06)  </t>
  </si>
  <si>
    <t>(cm3)</t>
  </si>
  <si>
    <t>DENSIDAD SECA EN SITU DE LA MUESTRA TOTAL</t>
  </si>
  <si>
    <t xml:space="preserve">Peso de la muestra húmeda extraída del hoyo + recipiente   </t>
  </si>
  <si>
    <t xml:space="preserve"> </t>
  </si>
  <si>
    <t xml:space="preserve">Peso del recipiente   </t>
  </si>
  <si>
    <t xml:space="preserve">Peso de la muestra húmeda extraída del hoyo (08-09)   </t>
  </si>
  <si>
    <t>Peso de la muestra húmeda + Tara</t>
  </si>
  <si>
    <t>Peso de la muestra seca + Tara</t>
  </si>
  <si>
    <t xml:space="preserve">Peso del agua (13-14)   </t>
  </si>
  <si>
    <t xml:space="preserve">Peso de la Tara   </t>
  </si>
  <si>
    <t xml:space="preserve">Peso de la muestra seca (14-16)   </t>
  </si>
  <si>
    <t xml:space="preserve">% de humedad de la fracción fina (15/17*100)  </t>
  </si>
  <si>
    <t>(%)</t>
  </si>
  <si>
    <t xml:space="preserve">% de humedad de la muestra total (27*24+28*25)/100 </t>
  </si>
  <si>
    <t xml:space="preserve">P. de la muestra seca extraída del hoyo (22+23)   </t>
  </si>
  <si>
    <t xml:space="preserve">P. del mat. extra dimensionado seco 21/(1+(27/100))   </t>
  </si>
  <si>
    <t xml:space="preserve">P. seco de la fracción fina  (10-21)/(1+18/100)   </t>
  </si>
  <si>
    <t xml:space="preserve">% del material extra dimensionado (22/20*100) </t>
  </si>
  <si>
    <t xml:space="preserve">% del material de la fracción fina (23/20*100) </t>
  </si>
  <si>
    <t xml:space="preserve">% de humedad de fracción fina (=18)  </t>
  </si>
  <si>
    <t>GRADO DE COMPACTACIÓN CORREGIDA</t>
  </si>
  <si>
    <t>Valores de Humedad</t>
  </si>
  <si>
    <t>mínimo</t>
  </si>
  <si>
    <t xml:space="preserve">% de compactación (29/30)*100  </t>
  </si>
  <si>
    <t>máximo</t>
  </si>
  <si>
    <t>CARACTERÍSTICAS FÍSICAS DEL MATERIAL</t>
  </si>
  <si>
    <t>% Mínimo de Compactación Especificado EETT</t>
  </si>
  <si>
    <t>Clasificación SUCS</t>
  </si>
  <si>
    <t>Límite Líquido</t>
  </si>
  <si>
    <t>Pasa Tamiz N° 200</t>
  </si>
  <si>
    <t>Limite Plástico</t>
  </si>
  <si>
    <t>Peso especif.  Piedra</t>
  </si>
  <si>
    <t>Índice Plástico</t>
  </si>
  <si>
    <t xml:space="preserve">Observaciones: </t>
  </si>
  <si>
    <t>ENSAYO DE DENSIDAD DE CAMPO CONO DE ARENA ASTM D1556</t>
  </si>
  <si>
    <t>TL SADDLE DAM 1, 2, 4, 5.</t>
  </si>
  <si>
    <t>UBICACIÓN DE LA MUESTRA:</t>
  </si>
  <si>
    <t>Item</t>
  </si>
  <si>
    <t>Código de Ensayo</t>
  </si>
  <si>
    <t>Registro
Nº</t>
  </si>
  <si>
    <t>Nº 
Ensayo</t>
  </si>
  <si>
    <t>Sistema</t>
  </si>
  <si>
    <t>Fecha de Ensayo</t>
  </si>
  <si>
    <t>Ubicación</t>
  </si>
  <si>
    <t>N°
Capa</t>
  </si>
  <si>
    <t>Espesor 
Capa
(mm)</t>
  </si>
  <si>
    <t>Profund.
Muestra
(mm)</t>
  </si>
  <si>
    <t>Procedencia</t>
  </si>
  <si>
    <t>Laboratorio</t>
  </si>
  <si>
    <t>Grado de
Compact. 
Especif.
(%)</t>
  </si>
  <si>
    <t>Campo</t>
  </si>
  <si>
    <t>¿Conforme o No Conforme?</t>
  </si>
  <si>
    <t>Equipo 
Utilizado</t>
  </si>
  <si>
    <t>Reg. Laboratorio (Proctor)</t>
  </si>
  <si>
    <t>Maxima 
Densidad Seca Corregida 
(gr/cm3)</t>
  </si>
  <si>
    <t>Humedad 
Óptima Corregida
(%)</t>
  </si>
  <si>
    <t xml:space="preserve">Densidad
Seca
(gr/cm3) </t>
  </si>
  <si>
    <t>Contenido 
Humedad 
(%)</t>
  </si>
  <si>
    <t>Grado
Compact.
(%)</t>
  </si>
  <si>
    <t>Sector</t>
  </si>
  <si>
    <t xml:space="preserve"> QC-C-19</t>
  </si>
  <si>
    <t>SD5</t>
  </si>
  <si>
    <t>BV-LAB-Z7TF-003</t>
  </si>
  <si>
    <t>REGISTRO DE ENSAYO:</t>
  </si>
  <si>
    <t>CONTENIDO DE HUMEDAD DE LA FRACCIÓN FINA (ASTM D2216)</t>
  </si>
  <si>
    <t>CORRECCIÓN DE LA DENSIDAD SECA Y CONTENIDO DE HUMEDAD (ASTM D4718)</t>
  </si>
  <si>
    <t xml:space="preserve">Densidad Seca de la fraccón fina (12*26*25/(100*26-12*24)) </t>
  </si>
  <si>
    <t xml:space="preserve">P. del mat. extra dimensionado </t>
  </si>
  <si>
    <t xml:space="preserve">Densidad húmeda in situ (10/07)  </t>
  </si>
  <si>
    <t>Densidad seca in situ  11/(1+(19/100))</t>
  </si>
  <si>
    <t>Máxima densidad seca Sin Corregir</t>
  </si>
  <si>
    <t>Peso Especifico del material extra dimensionado (ASTM C127)</t>
  </si>
  <si>
    <t>% de absorción del material extra dimensionado (ASTM C127)</t>
  </si>
  <si>
    <t>Método de Ensayo (ASTM D698 Proctor Estándar)</t>
  </si>
  <si>
    <t>Óptimo Contenido de Humedad (Corregido) %</t>
  </si>
  <si>
    <t>RELLENO DE MATERIAL DEL NÚCLEO</t>
  </si>
  <si>
    <t>ACEPTACIÓN DEL ENSAYO DE ACUERDO A EETT (CUMPLE)  /  (NO CUMPLE)</t>
  </si>
  <si>
    <t>Densidad seca in situ (Total)</t>
  </si>
  <si>
    <t xml:space="preserve">% del material extra dimensionado (De campo) </t>
  </si>
  <si>
    <t xml:space="preserve">% del material extra dimensionado (Del Proctor) </t>
  </si>
  <si>
    <t>Máxima densidad seca (Sin Corregir Proctor)</t>
  </si>
  <si>
    <t>Máxima densidad seca (Corregida Proctor)</t>
  </si>
  <si>
    <t>% de compactación (Fracción fina corregida)</t>
  </si>
  <si>
    <t>% de compactación (Muestra total)</t>
  </si>
  <si>
    <t>Difrencia en % compactado</t>
  </si>
  <si>
    <t>Difrencia en % Grava</t>
  </si>
  <si>
    <t>Método de Proctor Utilizado</t>
  </si>
  <si>
    <t>Código de Proctor Utilizado</t>
  </si>
  <si>
    <t>% DE COMPACTACIÓN CORREGIDA Y SIN CORREGIR</t>
  </si>
  <si>
    <t>STN-TF_Z3-SGS-061</t>
  </si>
  <si>
    <t>CAP220271490000-C2-4000-10-CS-112_0</t>
  </si>
  <si>
    <t>CAP22027-C2-4000-0505</t>
  </si>
  <si>
    <t>SC</t>
  </si>
  <si>
    <t>CAP22027-C2-4000-0505-02/01</t>
  </si>
  <si>
    <t>Ítem</t>
  </si>
  <si>
    <t>Código de Registro</t>
  </si>
  <si>
    <t>Fecha de Ensayo
(Muestreo)</t>
  </si>
  <si>
    <t>Procedencia de la Muestra</t>
  </si>
  <si>
    <t>N° Ciclos</t>
  </si>
  <si>
    <t>Equipo Utilizado para Compactación de la Capa</t>
  </si>
  <si>
    <t xml:space="preserve"> Progresivas</t>
  </si>
  <si>
    <t>Cota</t>
  </si>
  <si>
    <t>Ensayo realizado</t>
  </si>
  <si>
    <t>Datos Laboratorio (Proctor ASTM D698)</t>
  </si>
  <si>
    <t>Grado de
Compact. 
EETT.
(%)</t>
  </si>
  <si>
    <t>Datos Campo (Cono de Arena ADTM D1556)</t>
  </si>
  <si>
    <t>Cumplimiento EETT
(Cumple / No Cumple)</t>
  </si>
  <si>
    <t>Equipo de Densidad
Utilizado</t>
  </si>
  <si>
    <t>Procedencia de Material para la Capa</t>
  </si>
  <si>
    <t>Observaciones</t>
  </si>
  <si>
    <t>Rodillo Pata de Cabra 825h
(33 Tn)</t>
  </si>
  <si>
    <t>Rodillo Pata de Cabra Bomag
(13 Tn)</t>
  </si>
  <si>
    <t>Reg. Laboratorio</t>
  </si>
  <si>
    <t>Densidad Seca Sin Corregir 
(g/cm3)</t>
  </si>
  <si>
    <t>Humedad 
Óptima Sin Corregir
(%)</t>
  </si>
  <si>
    <t>Material Sobretamaño
(%)</t>
  </si>
  <si>
    <t>Método Utilizado para Corrección</t>
  </si>
  <si>
    <t xml:space="preserve">Densidad
Húmeda
(g/cm3) </t>
  </si>
  <si>
    <t>Contenido 
Humedad Total
(%)</t>
  </si>
  <si>
    <t xml:space="preserve">Densidad
Seca Sin Corregir
(g/cm3) </t>
  </si>
  <si>
    <t>Contenido 
Humedad Fracción Fina
(%)</t>
  </si>
  <si>
    <t>Inicio</t>
  </si>
  <si>
    <t>Final</t>
  </si>
  <si>
    <t>Ensayo</t>
  </si>
  <si>
    <t>Norte</t>
  </si>
  <si>
    <t>Este</t>
  </si>
  <si>
    <t>Cono de Arena</t>
  </si>
  <si>
    <t>Cono de Arena 6"</t>
  </si>
  <si>
    <t>Capa retirada, no cumple EETT</t>
  </si>
  <si>
    <t>Profundidad</t>
  </si>
  <si>
    <t>Maxima Densidad Seca(g/cc)</t>
  </si>
  <si>
    <t>OCH(%)</t>
  </si>
  <si>
    <t>Maxima Densidad Seca (g/cc)</t>
  </si>
  <si>
    <t>OCH Corregida(%)</t>
  </si>
  <si>
    <t>Greveda espicifica Bulk(g/cc)</t>
  </si>
  <si>
    <t>% de Absorcion</t>
  </si>
  <si>
    <t>Metodo de Proctor</t>
  </si>
  <si>
    <t>Codigo de Ensayo</t>
  </si>
  <si>
    <t>% Pasante Tamiz N°200</t>
  </si>
  <si>
    <t xml:space="preserve">Limite Liquido </t>
  </si>
  <si>
    <t>Limite Plastico</t>
  </si>
  <si>
    <t>Indice Deplasticidad</t>
  </si>
  <si>
    <t>Pila</t>
  </si>
  <si>
    <t>% Ret. de Material Extra Dimencioando</t>
  </si>
  <si>
    <t>Progresiva</t>
  </si>
  <si>
    <t>VOLUMEN</t>
  </si>
  <si>
    <t>M3</t>
  </si>
  <si>
    <t>Pila N°14</t>
  </si>
  <si>
    <t>OPEMIP</t>
  </si>
  <si>
    <t>La compactación para la capa se realizo con rodillo BOMAG pata de cabra 13 Tn en la capa 3 (9 ciclos) los puntos para la realización de las pruebas 21 y 22, las</t>
  </si>
  <si>
    <t>ha designado la contratista OPEMIP, los ensayos de densidad por el método cono de arena es en soporte a la contratista OPEMIP. En coordinación con QA STANTEC. Los datos para</t>
  </si>
  <si>
    <t>el caculo corresponden a los ensayos de la Pila N°14 con N° de Registro: (STN-SD5-Z7-123).</t>
  </si>
  <si>
    <t>SGS DEL PERÚ S.A.C.</t>
  </si>
  <si>
    <t>CAP22027-C2-4000-0505-02/02</t>
  </si>
  <si>
    <t>% Ret. En Tamiz N° 4</t>
  </si>
  <si>
    <t>Cono de Arena 12"</t>
  </si>
  <si>
    <t>N°</t>
  </si>
  <si>
    <t xml:space="preserve"> N° </t>
  </si>
  <si>
    <t xml:space="preserve">Pila </t>
  </si>
  <si>
    <t>% de Absorción</t>
  </si>
  <si>
    <t>% Ret. de Material Extradimencionado</t>
  </si>
  <si>
    <t>Valores Requeridos</t>
  </si>
  <si>
    <t>ZONA 3</t>
  </si>
  <si>
    <t>Zona 3 - Núcleo</t>
  </si>
  <si>
    <t>-</t>
  </si>
  <si>
    <t>Número de Cono</t>
  </si>
  <si>
    <t>(Nº)</t>
  </si>
  <si>
    <t>Profundidad de la Prueba</t>
  </si>
  <si>
    <t>(m)</t>
  </si>
  <si>
    <t>(cm)</t>
  </si>
  <si>
    <t>ENSAYO DE CONO DE ARENA 12" TOMANDO COMO REFERENCIA LA NORMA ASTM D1556</t>
  </si>
  <si>
    <r>
      <rPr>
        <i/>
        <sz val="10"/>
        <color rgb="FF002060"/>
        <rFont val="Verdana"/>
        <family val="2"/>
      </rPr>
      <t xml:space="preserve">1  </t>
    </r>
    <r>
      <rPr>
        <b/>
        <sz val="10"/>
        <rFont val="Arial"/>
        <family val="2"/>
      </rPr>
      <t xml:space="preserve">             DE</t>
    </r>
  </si>
  <si>
    <t>C</t>
  </si>
  <si>
    <t>Número de Ciclos Compactados</t>
  </si>
  <si>
    <t xml:space="preserve"> Aplica Site Instruction: STN-CAP22027-2001747037-IS-077.</t>
  </si>
  <si>
    <t>CA12" - 01</t>
  </si>
  <si>
    <t>STN-SD5-Z3-103</t>
  </si>
  <si>
    <t>SGS-C-Z3-015</t>
  </si>
  <si>
    <t>Referencia: Se realizó el ensayo cerca al Sector 2.</t>
  </si>
  <si>
    <t>Referencia: El ensayo se realizo en el Sector 2</t>
  </si>
  <si>
    <t>Día</t>
  </si>
  <si>
    <t>Percy Mollo</t>
  </si>
  <si>
    <t>SGS-CA12-Z3-045</t>
  </si>
  <si>
    <t>Inboard</t>
  </si>
  <si>
    <t>SGS-C-Z3-020</t>
  </si>
  <si>
    <t xml:space="preserve">QA STANTEC. Los datos utilizados corresponden alos ensayos de la Pila N° 20 con N° de Registro: (SGS-C-Z3-020). </t>
  </si>
  <si>
    <t>C-Z3-CA12-</t>
  </si>
  <si>
    <t xml:space="preserve">La compactación de la reparación de la capa N° 45, Lado Inboard zona central, se realizó con rodillo pata de cabra 825h - 33 Tn. (MBE) 12 ciclos. En coordinación con </t>
  </si>
  <si>
    <t xml:space="preserve">SD5 - COT - Capa Nº 45 (12 Ciclos)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</si>
</sst>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: &quot;mmmm\ \ yyyy"/>
    <numFmt numFmtId="165" formatCode="&quot;C-&quot;0#"/>
    <numFmt numFmtId="166" formatCode="#\ ##0.0&quot; g&quot;"/>
    <numFmt numFmtId="167" formatCode="&quot;BV-LAB-Z3-&quot;000"/>
    <numFmt numFmtId="168" formatCode="&quot;ARGILICO ZONA 3 (Z3) - PILA N°&quot;000"/>
    <numFmt numFmtId="169" formatCode="00"/>
    <numFmt numFmtId="170" formatCode="0.000"/>
    <numFmt numFmtId="171" formatCode="0.0"/>
    <numFmt numFmtId="172" formatCode="dd/mm/yy;@"/>
    <numFmt numFmtId="173" formatCode="00\+000"/>
    <numFmt numFmtId="174" formatCode="00\ &quot;%&quot;"/>
    <numFmt numFmtId="175" formatCode="&quot;SGS-CA6-Z7-&quot;000"/>
    <numFmt numFmtId="176" formatCode="dd\-mm\-yy"/>
    <numFmt numFmtId="177" formatCode="&quot;Km:&quot;\ 0\+000.0"/>
  </numFmts>
  <fonts count="65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 Narrow"/>
      <family val="2"/>
    </font>
    <font>
      <b/>
      <sz val="11"/>
      <name val="Arial"/>
      <family val="2"/>
    </font>
    <font>
      <b/>
      <sz val="18"/>
      <color rgb="FF4F6228"/>
      <name val="Brush Script MT"/>
      <family val="4"/>
    </font>
    <font>
      <b/>
      <sz val="10"/>
      <name val="Arial"/>
      <family val="2"/>
    </font>
    <font>
      <b/>
      <sz val="16"/>
      <name val="Arial Narrow"/>
      <family val="2"/>
    </font>
    <font>
      <sz val="8"/>
      <name val="Arial"/>
      <family val="2"/>
    </font>
    <font>
      <sz val="7"/>
      <name val="Arial Narrow"/>
      <family val="2"/>
    </font>
    <font>
      <sz val="14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name val="Arial Narrow"/>
      <family val="2"/>
    </font>
    <font>
      <b/>
      <sz val="9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1"/>
      <name val="Arial Narrow"/>
      <family val="2"/>
    </font>
    <font>
      <b/>
      <sz val="9"/>
      <name val="Arial"/>
      <family val="2"/>
    </font>
    <font>
      <i/>
      <sz val="9"/>
      <color rgb="FF002060"/>
      <name val="Verdana"/>
      <family val="2"/>
    </font>
    <font>
      <sz val="9"/>
      <name val="Arial"/>
      <family val="2"/>
    </font>
    <font>
      <sz val="9"/>
      <name val="Times New Roman"/>
      <family val="1"/>
    </font>
    <font>
      <b/>
      <i/>
      <sz val="11"/>
      <name val="Verdana"/>
      <family val="2"/>
    </font>
    <font>
      <b/>
      <u/>
      <sz val="11"/>
      <name val="Arial Narrow"/>
      <family val="2"/>
    </font>
    <font>
      <sz val="9"/>
      <name val="Arial Narrow"/>
      <family val="2"/>
    </font>
    <font>
      <sz val="10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b/>
      <sz val="10"/>
      <name val="Verdana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i/>
      <sz val="13"/>
      <name val="Arial"/>
      <family val="2"/>
    </font>
    <font>
      <b/>
      <sz val="10"/>
      <color rgb="FF0000FF"/>
      <name val="Arial"/>
      <family val="2"/>
    </font>
    <font>
      <i/>
      <sz val="10"/>
      <color rgb="FF002060"/>
      <name val="Arial"/>
      <family val="2"/>
    </font>
    <font>
      <i/>
      <sz val="10"/>
      <color rgb="FF002060"/>
      <name val="Verdana"/>
      <family val="2"/>
    </font>
    <font>
      <sz val="11"/>
      <color theme="1"/>
      <name val="Aptos Narrow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1"/>
      <name val="Arial"/>
      <family val="2"/>
    </font>
    <font>
      <i/>
      <sz val="9"/>
      <name val="Verdana"/>
      <family val="2"/>
    </font>
    <font>
      <i/>
      <sz val="9"/>
      <color theme="1"/>
      <name val="Verdana"/>
      <family val="2"/>
    </font>
    <font>
      <sz val="7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color theme="1"/>
      <name val="Arial"/>
      <family val="2"/>
    </font>
    <font>
      <b/>
      <sz val="8"/>
      <name val="Arial"/>
      <family val="2"/>
    </font>
    <font>
      <b/>
      <sz val="10"/>
      <color rgb="FF0033CC"/>
      <name val="Arial"/>
      <family val="2"/>
    </font>
    <font>
      <b/>
      <i/>
      <sz val="11"/>
      <name val="Arial"/>
      <family val="2"/>
    </font>
    <font>
      <i/>
      <sz val="9.6"/>
      <color rgb="FF002060"/>
      <name val="Verdana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i/>
      <sz val="9"/>
      <color theme="0"/>
      <name val="Verdana"/>
      <family val="2"/>
    </font>
    <font>
      <sz val="10"/>
      <color rgb="FF002060"/>
      <name val="Arial"/>
      <family val="2"/>
    </font>
    <font>
      <i/>
      <sz val="9.5"/>
      <color rgb="FF002060"/>
      <name val="Verdana"/>
      <family val="2"/>
    </font>
    <font>
      <b/>
      <sz val="8"/>
      <color theme="0"/>
      <name val="Verdana"/>
      <family val="2"/>
    </font>
    <font>
      <b/>
      <sz val="9"/>
      <color rgb="FFFF0000"/>
      <name val="Arial Narrow"/>
      <family val="2"/>
    </font>
    <font>
      <b/>
      <sz val="10"/>
      <color rgb="FFFF0000"/>
      <name val="Arial"/>
      <family val="2"/>
    </font>
    <font>
      <sz val="8"/>
      <color theme="1"/>
      <name val="Aptos Narrow"/>
      <family val="2"/>
      <scheme val="minor"/>
    </font>
    <font>
      <sz val="8"/>
      <color rgb="FF002060"/>
      <name val="Verdana"/>
      <family val="2"/>
    </font>
    <font>
      <i/>
      <sz val="9.6999999999999993"/>
      <color rgb="FF002060"/>
      <name val="Verdana"/>
      <family val="2"/>
    </font>
    <font>
      <sz val="10"/>
      <color rgb="FFFF0000"/>
      <name val="Arial"/>
      <family val="2"/>
    </font>
    <font>
      <sz val="8"/>
      <color rgb="FFFF0000"/>
      <name val="Verdana"/>
      <family val="2"/>
    </font>
    <font>
      <sz val="8"/>
      <color rgb="FFFF0000"/>
      <name val="Arial"/>
      <family val="2"/>
    </font>
    <font>
      <b/>
      <sz val="8"/>
      <color theme="1"/>
      <name val="Verdana"/>
      <family val="2"/>
    </font>
    <font>
      <sz val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theme="0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21" fillId="0" borderId="0"/>
    <xf numFmtId="0" fontId="25" fillId="0" borderId="0"/>
    <xf numFmtId="0" fontId="1" fillId="0" borderId="0"/>
    <xf numFmtId="0" fontId="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</cellStyleXfs>
  <cellXfs count="434">
    <xf numFmtId="0" fontId="0" fillId="0" borderId="0" xfId="0"/>
    <xf numFmtId="2" fontId="2" fillId="2" borderId="1" xfId="1" applyNumberFormat="1" applyFont="1" applyFill="1" applyBorder="1" applyAlignment="1" applyProtection="1">
      <alignment horizontal="left"/>
      <protection locked="0"/>
    </xf>
    <xf numFmtId="2" fontId="2" fillId="2" borderId="2" xfId="1" applyNumberFormat="1" applyFont="1" applyFill="1" applyBorder="1" applyProtection="1">
      <protection locked="0"/>
    </xf>
    <xf numFmtId="0" fontId="3" fillId="3" borderId="2" xfId="0" applyFont="1" applyFill="1" applyBorder="1" applyAlignment="1">
      <alignment horizontal="left"/>
    </xf>
    <xf numFmtId="0" fontId="2" fillId="2" borderId="2" xfId="1" applyFont="1" applyFill="1" applyBorder="1"/>
    <xf numFmtId="0" fontId="4" fillId="0" borderId="2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indent="1"/>
    </xf>
    <xf numFmtId="0" fontId="1" fillId="3" borderId="3" xfId="0" applyFont="1" applyFill="1" applyBorder="1" applyAlignment="1">
      <alignment horizontal="right"/>
    </xf>
    <xf numFmtId="0" fontId="4" fillId="0" borderId="0" xfId="1" applyFont="1" applyAlignment="1">
      <alignment horizontal="left" vertical="center" wrapText="1"/>
    </xf>
    <xf numFmtId="0" fontId="6" fillId="4" borderId="0" xfId="2" applyFont="1" applyFill="1" applyAlignment="1" applyProtection="1">
      <alignment horizontal="left" vertical="center"/>
      <protection hidden="1"/>
    </xf>
    <xf numFmtId="0" fontId="8" fillId="0" borderId="0" xfId="3" applyFont="1" applyAlignment="1" applyProtection="1">
      <alignment horizontal="left" vertical="center"/>
      <protection hidden="1"/>
    </xf>
    <xf numFmtId="0" fontId="9" fillId="0" borderId="0" xfId="1" applyFont="1" applyAlignment="1">
      <alignment horizontal="left" vertical="center"/>
    </xf>
    <xf numFmtId="2" fontId="2" fillId="2" borderId="4" xfId="1" applyNumberFormat="1" applyFont="1" applyFill="1" applyBorder="1" applyAlignment="1" applyProtection="1">
      <alignment horizontal="left"/>
      <protection locked="0"/>
    </xf>
    <xf numFmtId="2" fontId="2" fillId="2" borderId="0" xfId="1" applyNumberFormat="1" applyFont="1" applyFill="1" applyProtection="1">
      <protection locked="0"/>
    </xf>
    <xf numFmtId="0" fontId="3" fillId="3" borderId="0" xfId="0" applyFont="1" applyFill="1" applyAlignment="1">
      <alignment horizontal="left"/>
    </xf>
    <xf numFmtId="0" fontId="2" fillId="2" borderId="0" xfId="1" applyFont="1" applyFill="1"/>
    <xf numFmtId="0" fontId="6" fillId="0" borderId="0" xfId="2" applyFont="1" applyAlignment="1" applyProtection="1">
      <alignment horizontal="left"/>
      <protection hidden="1"/>
    </xf>
    <xf numFmtId="0" fontId="6" fillId="0" borderId="0" xfId="2" applyFont="1" applyAlignment="1" applyProtection="1">
      <alignment horizontal="left" vertical="center"/>
      <protection hidden="1"/>
    </xf>
    <xf numFmtId="0" fontId="6" fillId="0" borderId="5" xfId="2" applyFont="1" applyBorder="1" applyAlignment="1" applyProtection="1">
      <alignment horizontal="left" vertical="center"/>
      <protection hidden="1"/>
    </xf>
    <xf numFmtId="0" fontId="5" fillId="3" borderId="4" xfId="0" applyFont="1" applyFill="1" applyBorder="1" applyAlignment="1">
      <alignment horizontal="left" indent="1"/>
    </xf>
    <xf numFmtId="0" fontId="1" fillId="3" borderId="5" xfId="0" applyFont="1" applyFill="1" applyBorder="1" applyAlignment="1">
      <alignment horizontal="right"/>
    </xf>
    <xf numFmtId="0" fontId="10" fillId="0" borderId="0" xfId="2" applyFont="1" applyAlignment="1" applyProtection="1">
      <alignment horizontal="left"/>
      <protection hidden="1"/>
    </xf>
    <xf numFmtId="0" fontId="10" fillId="0" borderId="0" xfId="2" applyFont="1" applyAlignment="1" applyProtection="1">
      <alignment horizontal="left" vertical="center"/>
      <protection hidden="1"/>
    </xf>
    <xf numFmtId="0" fontId="10" fillId="0" borderId="5" xfId="2" applyFont="1" applyBorder="1" applyAlignment="1" applyProtection="1">
      <alignment horizontal="left" vertical="center"/>
      <protection hidden="1"/>
    </xf>
    <xf numFmtId="17" fontId="1" fillId="3" borderId="5" xfId="0" quotePrefix="1" applyNumberFormat="1" applyFont="1" applyFill="1" applyBorder="1" applyAlignment="1">
      <alignment horizontal="right"/>
    </xf>
    <xf numFmtId="0" fontId="11" fillId="0" borderId="6" xfId="1" applyFont="1" applyBorder="1" applyAlignment="1" applyProtection="1">
      <alignment horizontal="left" vertical="center"/>
      <protection hidden="1"/>
    </xf>
    <xf numFmtId="0" fontId="11" fillId="0" borderId="7" xfId="1" applyFont="1" applyBorder="1" applyAlignment="1" applyProtection="1">
      <alignment horizontal="left" vertical="center"/>
      <protection hidden="1"/>
    </xf>
    <xf numFmtId="0" fontId="12" fillId="0" borderId="7" xfId="1" applyFont="1" applyBorder="1" applyAlignment="1" applyProtection="1">
      <alignment horizontal="center" vertical="center"/>
      <protection hidden="1"/>
    </xf>
    <xf numFmtId="0" fontId="12" fillId="0" borderId="8" xfId="1" applyFont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>
      <alignment horizontal="left" indent="1"/>
    </xf>
    <xf numFmtId="15" fontId="1" fillId="3" borderId="8" xfId="0" quotePrefix="1" applyNumberFormat="1" applyFont="1" applyFill="1" applyBorder="1" applyAlignment="1">
      <alignment horizontal="right"/>
    </xf>
    <xf numFmtId="0" fontId="13" fillId="0" borderId="0" xfId="3" applyFont="1" applyAlignment="1" applyProtection="1">
      <alignment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164" fontId="13" fillId="0" borderId="0" xfId="1" applyNumberFormat="1" applyFont="1" applyAlignment="1" applyProtection="1">
      <alignment horizontal="left" vertical="center"/>
      <protection locked="0"/>
    </xf>
    <xf numFmtId="0" fontId="5" fillId="0" borderId="0" xfId="1" applyFont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2" fontId="5" fillId="4" borderId="0" xfId="1" applyNumberFormat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1" fontId="14" fillId="2" borderId="0" xfId="1" applyNumberFormat="1" applyFont="1" applyFill="1" applyAlignment="1">
      <alignment horizontal="center"/>
    </xf>
    <xf numFmtId="0" fontId="14" fillId="2" borderId="0" xfId="1" applyFont="1" applyFill="1" applyAlignment="1">
      <alignment horizontal="center" vertical="center" wrapText="1" shrinkToFit="1"/>
    </xf>
    <xf numFmtId="0" fontId="15" fillId="2" borderId="0" xfId="1" applyFont="1" applyFill="1" applyAlignment="1">
      <alignment horizontal="center"/>
    </xf>
    <xf numFmtId="0" fontId="1" fillId="0" borderId="0" xfId="1"/>
    <xf numFmtId="2" fontId="14" fillId="2" borderId="0" xfId="1" applyNumberFormat="1" applyFont="1" applyFill="1" applyAlignment="1">
      <alignment horizontal="center" vertical="center" wrapText="1" shrinkToFit="1"/>
    </xf>
    <xf numFmtId="0" fontId="16" fillId="2" borderId="0" xfId="1" applyFont="1" applyFill="1" applyAlignment="1">
      <alignment horizontal="center" vertical="center" wrapText="1"/>
    </xf>
    <xf numFmtId="0" fontId="17" fillId="0" borderId="1" xfId="1" applyFont="1" applyBorder="1" applyAlignment="1" applyProtection="1">
      <alignment horizontal="left" indent="3"/>
      <protection locked="0"/>
    </xf>
    <xf numFmtId="0" fontId="18" fillId="3" borderId="2" xfId="0" applyFont="1" applyFill="1" applyBorder="1" applyAlignment="1">
      <alignment horizontal="left"/>
    </xf>
    <xf numFmtId="0" fontId="20" fillId="3" borderId="9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left" indent="2"/>
    </xf>
    <xf numFmtId="15" fontId="1" fillId="3" borderId="10" xfId="0" quotePrefix="1" applyNumberFormat="1" applyFont="1" applyFill="1" applyBorder="1" applyAlignment="1">
      <alignment horizontal="right"/>
    </xf>
    <xf numFmtId="0" fontId="17" fillId="0" borderId="4" xfId="1" applyFont="1" applyBorder="1" applyAlignment="1" applyProtection="1">
      <alignment horizontal="left" indent="3"/>
      <protection locked="0"/>
    </xf>
    <xf numFmtId="0" fontId="18" fillId="3" borderId="0" xfId="0" applyFont="1" applyFill="1" applyAlignment="1">
      <alignment horizontal="left"/>
    </xf>
    <xf numFmtId="0" fontId="18" fillId="3" borderId="11" xfId="4" applyFont="1" applyFill="1" applyBorder="1" applyAlignment="1">
      <alignment wrapText="1"/>
    </xf>
    <xf numFmtId="0" fontId="18" fillId="3" borderId="0" xfId="0" applyFont="1" applyFill="1" applyAlignment="1">
      <alignment horizontal="left" indent="2"/>
    </xf>
    <xf numFmtId="15" fontId="1" fillId="3" borderId="12" xfId="0" quotePrefix="1" applyNumberFormat="1" applyFont="1" applyFill="1" applyBorder="1" applyAlignment="1">
      <alignment horizontal="right"/>
    </xf>
    <xf numFmtId="0" fontId="20" fillId="3" borderId="11" xfId="0" applyFont="1" applyFill="1" applyBorder="1" applyAlignment="1">
      <alignment horizontal="left"/>
    </xf>
    <xf numFmtId="0" fontId="18" fillId="3" borderId="11" xfId="0" applyFont="1" applyFill="1" applyBorder="1" applyAlignment="1">
      <alignment horizontal="left"/>
    </xf>
    <xf numFmtId="0" fontId="17" fillId="0" borderId="4" xfId="1" applyFont="1" applyBorder="1" applyAlignment="1" applyProtection="1">
      <alignment horizontal="left" indent="3"/>
      <protection hidden="1"/>
    </xf>
    <xf numFmtId="0" fontId="18" fillId="3" borderId="11" xfId="0" applyFont="1" applyFill="1" applyBorder="1" applyAlignment="1">
      <alignment horizontal="right" wrapText="1"/>
    </xf>
    <xf numFmtId="0" fontId="10" fillId="0" borderId="12" xfId="3" applyFont="1" applyBorder="1" applyProtection="1">
      <protection hidden="1"/>
    </xf>
    <xf numFmtId="0" fontId="13" fillId="0" borderId="0" xfId="3" applyFont="1" applyAlignment="1" applyProtection="1">
      <alignment vertical="top"/>
      <protection hidden="1"/>
    </xf>
    <xf numFmtId="0" fontId="17" fillId="0" borderId="6" xfId="1" applyFont="1" applyBorder="1" applyAlignment="1" applyProtection="1">
      <alignment horizontal="left" indent="3"/>
      <protection hidden="1"/>
    </xf>
    <xf numFmtId="0" fontId="13" fillId="0" borderId="7" xfId="3" applyFont="1" applyBorder="1" applyAlignment="1" applyProtection="1">
      <alignment vertical="center"/>
      <protection hidden="1"/>
    </xf>
    <xf numFmtId="0" fontId="17" fillId="0" borderId="7" xfId="3" applyFont="1" applyBorder="1" applyAlignment="1" applyProtection="1">
      <alignment horizontal="left" indent="1"/>
      <protection hidden="1"/>
    </xf>
    <xf numFmtId="0" fontId="11" fillId="0" borderId="13" xfId="3" applyFont="1" applyBorder="1" applyAlignment="1" applyProtection="1">
      <alignment horizontal="center"/>
      <protection hidden="1"/>
    </xf>
    <xf numFmtId="0" fontId="13" fillId="0" borderId="14" xfId="3" applyFont="1" applyBorder="1" applyAlignment="1" applyProtection="1">
      <alignment vertical="center"/>
      <protection hidden="1"/>
    </xf>
    <xf numFmtId="0" fontId="23" fillId="0" borderId="0" xfId="1" applyFont="1"/>
    <xf numFmtId="0" fontId="24" fillId="0" borderId="0" xfId="1" applyFont="1"/>
    <xf numFmtId="0" fontId="24" fillId="0" borderId="0" xfId="1" applyFont="1" applyAlignment="1">
      <alignment horizontal="left"/>
    </xf>
    <xf numFmtId="0" fontId="26" fillId="0" borderId="18" xfId="7" applyFont="1" applyBorder="1" applyAlignment="1">
      <alignment horizontal="left" vertical="center"/>
    </xf>
    <xf numFmtId="0" fontId="26" fillId="0" borderId="19" xfId="7" applyFont="1" applyBorder="1" applyAlignment="1">
      <alignment vertical="center"/>
    </xf>
    <xf numFmtId="165" fontId="27" fillId="0" borderId="19" xfId="6" applyNumberFormat="1" applyFont="1" applyBorder="1" applyAlignment="1">
      <alignment vertical="center"/>
    </xf>
    <xf numFmtId="165" fontId="19" fillId="0" borderId="19" xfId="6" applyNumberFormat="1" applyFont="1" applyBorder="1" applyAlignment="1">
      <alignment vertical="center"/>
    </xf>
    <xf numFmtId="0" fontId="26" fillId="0" borderId="19" xfId="7" applyFont="1" applyBorder="1" applyAlignment="1">
      <alignment horizontal="right" vertical="center"/>
    </xf>
    <xf numFmtId="14" fontId="19" fillId="0" borderId="20" xfId="7" applyNumberFormat="1" applyFont="1" applyBorder="1" applyAlignment="1">
      <alignment horizontal="left" vertical="center"/>
    </xf>
    <xf numFmtId="166" fontId="24" fillId="0" borderId="0" xfId="1" applyNumberFormat="1" applyFont="1" applyAlignment="1">
      <alignment horizontal="left"/>
    </xf>
    <xf numFmtId="0" fontId="26" fillId="0" borderId="21" xfId="7" applyFont="1" applyBorder="1" applyAlignment="1">
      <alignment vertical="center"/>
    </xf>
    <xf numFmtId="0" fontId="26" fillId="0" borderId="22" xfId="6" applyFont="1" applyBorder="1" applyAlignment="1">
      <alignment vertical="center"/>
    </xf>
    <xf numFmtId="167" fontId="19" fillId="0" borderId="22" xfId="6" applyNumberFormat="1" applyFont="1" applyBorder="1" applyAlignment="1">
      <alignment horizontal="center" vertical="center"/>
    </xf>
    <xf numFmtId="0" fontId="26" fillId="0" borderId="22" xfId="8" applyFont="1" applyBorder="1" applyAlignment="1">
      <alignment horizontal="right" vertical="center"/>
    </xf>
    <xf numFmtId="14" fontId="19" fillId="0" borderId="23" xfId="8" applyNumberFormat="1" applyFont="1" applyBorder="1" applyAlignment="1">
      <alignment horizontal="left" vertical="center"/>
    </xf>
    <xf numFmtId="0" fontId="26" fillId="0" borderId="24" xfId="7" applyFont="1" applyBorder="1" applyAlignment="1">
      <alignment vertical="center"/>
    </xf>
    <xf numFmtId="168" fontId="19" fillId="0" borderId="25" xfId="7" applyNumberFormat="1" applyFont="1" applyBorder="1" applyAlignment="1">
      <alignment vertical="center"/>
    </xf>
    <xf numFmtId="0" fontId="26" fillId="0" borderId="25" xfId="6" applyFont="1" applyBorder="1" applyAlignment="1">
      <alignment vertical="center"/>
    </xf>
    <xf numFmtId="167" fontId="19" fillId="0" borderId="25" xfId="6" applyNumberFormat="1" applyFont="1" applyBorder="1" applyAlignment="1">
      <alignment horizontal="center" vertical="center"/>
    </xf>
    <xf numFmtId="0" fontId="26" fillId="0" borderId="25" xfId="8" applyFont="1" applyBorder="1" applyAlignment="1">
      <alignment horizontal="right" vertical="center"/>
    </xf>
    <xf numFmtId="14" fontId="19" fillId="0" borderId="26" xfId="8" applyNumberFormat="1" applyFont="1" applyBorder="1" applyAlignment="1">
      <alignment horizontal="left" vertical="center"/>
    </xf>
    <xf numFmtId="0" fontId="1" fillId="0" borderId="0" xfId="9"/>
    <xf numFmtId="0" fontId="27" fillId="2" borderId="31" xfId="0" applyFont="1" applyFill="1" applyBorder="1" applyAlignment="1">
      <alignment horizontal="center" vertical="center" wrapText="1"/>
    </xf>
    <xf numFmtId="0" fontId="31" fillId="0" borderId="0" xfId="7" applyFont="1" applyAlignment="1">
      <alignment horizontal="left"/>
    </xf>
    <xf numFmtId="1" fontId="5" fillId="0" borderId="0" xfId="7" applyNumberFormat="1" applyFont="1" applyAlignment="1">
      <alignment horizontal="center"/>
    </xf>
    <xf numFmtId="2" fontId="32" fillId="0" borderId="0" xfId="7" applyNumberFormat="1" applyFont="1" applyAlignment="1">
      <alignment horizontal="center"/>
    </xf>
    <xf numFmtId="171" fontId="1" fillId="0" borderId="0" xfId="9" applyNumberFormat="1"/>
    <xf numFmtId="0" fontId="1" fillId="0" borderId="15" xfId="9" applyBorder="1" applyAlignment="1">
      <alignment vertical="center"/>
    </xf>
    <xf numFmtId="0" fontId="1" fillId="0" borderId="16" xfId="9" applyBorder="1" applyAlignment="1">
      <alignment vertical="center"/>
    </xf>
    <xf numFmtId="0" fontId="1" fillId="0" borderId="16" xfId="9" applyBorder="1" applyAlignment="1">
      <alignment horizontal="left" vertical="center" indent="1"/>
    </xf>
    <xf numFmtId="0" fontId="1" fillId="0" borderId="17" xfId="9" applyBorder="1" applyAlignment="1">
      <alignment horizontal="left" vertical="center" indent="1"/>
    </xf>
    <xf numFmtId="0" fontId="1" fillId="0" borderId="11" xfId="9" applyBorder="1"/>
    <xf numFmtId="0" fontId="1" fillId="0" borderId="13" xfId="9" applyBorder="1"/>
    <xf numFmtId="0" fontId="1" fillId="0" borderId="6" xfId="9" applyBorder="1"/>
    <xf numFmtId="0" fontId="1" fillId="0" borderId="7" xfId="9" applyBorder="1"/>
    <xf numFmtId="0" fontId="1" fillId="0" borderId="8" xfId="9" applyBorder="1"/>
    <xf numFmtId="171" fontId="33" fillId="7" borderId="31" xfId="9" applyNumberFormat="1" applyFont="1" applyFill="1" applyBorder="1" applyAlignment="1">
      <alignment horizontal="center" vertical="center"/>
    </xf>
    <xf numFmtId="170" fontId="33" fillId="0" borderId="31" xfId="9" applyNumberFormat="1" applyFont="1" applyBorder="1" applyAlignment="1">
      <alignment horizontal="center" vertical="center"/>
    </xf>
    <xf numFmtId="2" fontId="33" fillId="0" borderId="31" xfId="9" applyNumberFormat="1" applyFont="1" applyBorder="1" applyAlignment="1">
      <alignment horizontal="center" vertical="center"/>
    </xf>
    <xf numFmtId="169" fontId="33" fillId="0" borderId="27" xfId="9" applyNumberFormat="1" applyFont="1" applyBorder="1" applyAlignment="1">
      <alignment horizontal="center"/>
    </xf>
    <xf numFmtId="169" fontId="33" fillId="7" borderId="27" xfId="9" applyNumberFormat="1" applyFont="1" applyFill="1" applyBorder="1" applyAlignment="1">
      <alignment horizontal="center"/>
    </xf>
    <xf numFmtId="169" fontId="33" fillId="0" borderId="28" xfId="9" applyNumberFormat="1" applyFont="1" applyBorder="1" applyAlignment="1">
      <alignment horizontal="center"/>
    </xf>
    <xf numFmtId="1" fontId="33" fillId="7" borderId="29" xfId="9" applyNumberFormat="1" applyFont="1" applyFill="1" applyBorder="1" applyAlignment="1">
      <alignment horizontal="center"/>
    </xf>
    <xf numFmtId="1" fontId="33" fillId="7" borderId="30" xfId="9" applyNumberFormat="1" applyFont="1" applyFill="1" applyBorder="1" applyAlignment="1">
      <alignment horizontal="center"/>
    </xf>
    <xf numFmtId="0" fontId="1" fillId="8" borderId="0" xfId="4" applyFill="1" applyAlignment="1">
      <alignment horizontal="center" vertical="center" wrapText="1"/>
    </xf>
    <xf numFmtId="0" fontId="34" fillId="3" borderId="9" xfId="0" applyFont="1" applyFill="1" applyBorder="1" applyAlignment="1">
      <alignment horizontal="left"/>
    </xf>
    <xf numFmtId="0" fontId="34" fillId="3" borderId="11" xfId="0" applyFont="1" applyFill="1" applyBorder="1" applyAlignment="1">
      <alignment horizontal="left"/>
    </xf>
    <xf numFmtId="14" fontId="34" fillId="0" borderId="11" xfId="5" applyNumberFormat="1" applyFont="1" applyBorder="1" applyAlignment="1">
      <alignment horizontal="left" vertical="center"/>
    </xf>
    <xf numFmtId="169" fontId="1" fillId="0" borderId="27" xfId="9" applyNumberFormat="1" applyBorder="1" applyAlignment="1">
      <alignment horizontal="center"/>
    </xf>
    <xf numFmtId="0" fontId="1" fillId="0" borderId="38" xfId="9" applyBorder="1" applyAlignment="1">
      <alignment horizontal="left"/>
    </xf>
    <xf numFmtId="0" fontId="1" fillId="0" borderId="9" xfId="9" applyBorder="1" applyAlignment="1">
      <alignment horizontal="left" indent="1"/>
    </xf>
    <xf numFmtId="0" fontId="1" fillId="0" borderId="9" xfId="9" applyBorder="1"/>
    <xf numFmtId="0" fontId="1" fillId="0" borderId="10" xfId="9" applyBorder="1" applyAlignment="1">
      <alignment horizontal="center"/>
    </xf>
    <xf numFmtId="169" fontId="1" fillId="0" borderId="29" xfId="9" applyNumberFormat="1" applyBorder="1" applyAlignment="1">
      <alignment horizontal="center"/>
    </xf>
    <xf numFmtId="0" fontId="1" fillId="0" borderId="36" xfId="9" applyBorder="1" applyAlignment="1">
      <alignment horizontal="left"/>
    </xf>
    <xf numFmtId="0" fontId="1" fillId="0" borderId="11" xfId="9" applyBorder="1" applyAlignment="1">
      <alignment horizontal="left" indent="1"/>
    </xf>
    <xf numFmtId="0" fontId="1" fillId="0" borderId="12" xfId="9" applyBorder="1" applyAlignment="1">
      <alignment horizontal="center"/>
    </xf>
    <xf numFmtId="169" fontId="1" fillId="0" borderId="32" xfId="9" applyNumberFormat="1" applyBorder="1" applyAlignment="1">
      <alignment horizontal="center"/>
    </xf>
    <xf numFmtId="0" fontId="1" fillId="0" borderId="37" xfId="9" applyBorder="1" applyAlignment="1">
      <alignment horizontal="left"/>
    </xf>
    <xf numFmtId="0" fontId="1" fillId="0" borderId="13" xfId="9" applyBorder="1" applyAlignment="1">
      <alignment horizontal="left" indent="1"/>
    </xf>
    <xf numFmtId="0" fontId="1" fillId="0" borderId="14" xfId="9" applyBorder="1" applyAlignment="1">
      <alignment horizontal="center"/>
    </xf>
    <xf numFmtId="0" fontId="5" fillId="0" borderId="11" xfId="9" applyFont="1" applyBorder="1"/>
    <xf numFmtId="0" fontId="19" fillId="0" borderId="22" xfId="6" applyFont="1" applyBorder="1" applyAlignment="1">
      <alignment vertical="center"/>
    </xf>
    <xf numFmtId="0" fontId="36" fillId="7" borderId="31" xfId="4" applyFont="1" applyFill="1" applyBorder="1" applyAlignment="1">
      <alignment horizontal="center" vertical="center"/>
    </xf>
    <xf numFmtId="169" fontId="37" fillId="7" borderId="35" xfId="4" applyNumberFormat="1" applyFont="1" applyFill="1" applyBorder="1" applyAlignment="1">
      <alignment horizontal="center" vertical="center"/>
    </xf>
    <xf numFmtId="169" fontId="37" fillId="7" borderId="35" xfId="4" applyNumberFormat="1" applyFont="1" applyFill="1" applyBorder="1" applyAlignment="1">
      <alignment horizontal="center" vertical="center" wrapText="1"/>
    </xf>
    <xf numFmtId="169" fontId="37" fillId="7" borderId="31" xfId="4" applyNumberFormat="1" applyFont="1" applyFill="1" applyBorder="1" applyAlignment="1">
      <alignment horizontal="center" vertical="center"/>
    </xf>
    <xf numFmtId="172" fontId="37" fillId="7" borderId="35" xfId="4" applyNumberFormat="1" applyFont="1" applyFill="1" applyBorder="1" applyAlignment="1">
      <alignment horizontal="center" vertical="center"/>
    </xf>
    <xf numFmtId="173" fontId="37" fillId="7" borderId="35" xfId="4" applyNumberFormat="1" applyFont="1" applyFill="1" applyBorder="1" applyAlignment="1" applyProtection="1">
      <alignment horizontal="center" vertical="center"/>
      <protection locked="0" hidden="1"/>
    </xf>
    <xf numFmtId="1" fontId="37" fillId="7" borderId="35" xfId="4" applyNumberFormat="1" applyFont="1" applyFill="1" applyBorder="1" applyAlignment="1" applyProtection="1">
      <alignment horizontal="center" vertical="center"/>
      <protection locked="0" hidden="1"/>
    </xf>
    <xf numFmtId="0" fontId="37" fillId="7" borderId="35" xfId="4" applyFont="1" applyFill="1" applyBorder="1" applyAlignment="1" applyProtection="1">
      <alignment horizontal="center" vertical="center"/>
      <protection locked="0" hidden="1"/>
    </xf>
    <xf numFmtId="0" fontId="37" fillId="7" borderId="35" xfId="4" applyFont="1" applyFill="1" applyBorder="1" applyAlignment="1">
      <alignment horizontal="center" vertical="center" wrapText="1"/>
    </xf>
    <xf numFmtId="170" fontId="37" fillId="7" borderId="35" xfId="4" applyNumberFormat="1" applyFont="1" applyFill="1" applyBorder="1" applyAlignment="1">
      <alignment horizontal="center" vertical="center" wrapText="1"/>
    </xf>
    <xf numFmtId="170" fontId="37" fillId="7" borderId="35" xfId="4" applyNumberFormat="1" applyFont="1" applyFill="1" applyBorder="1" applyAlignment="1" applyProtection="1">
      <alignment horizontal="center" vertical="center"/>
      <protection locked="0" hidden="1"/>
    </xf>
    <xf numFmtId="171" fontId="37" fillId="7" borderId="35" xfId="4" applyNumberFormat="1" applyFont="1" applyFill="1" applyBorder="1" applyAlignment="1" applyProtection="1">
      <alignment horizontal="center" vertical="center"/>
      <protection locked="0" hidden="1"/>
    </xf>
    <xf numFmtId="174" fontId="37" fillId="7" borderId="35" xfId="10" applyNumberFormat="1" applyFont="1" applyFill="1" applyBorder="1" applyAlignment="1" applyProtection="1">
      <alignment horizontal="center" vertical="center"/>
      <protection locked="0" hidden="1"/>
    </xf>
    <xf numFmtId="171" fontId="36" fillId="7" borderId="31" xfId="4" applyNumberFormat="1" applyFont="1" applyFill="1" applyBorder="1" applyAlignment="1" applyProtection="1">
      <alignment horizontal="center" vertical="center"/>
      <protection locked="0" hidden="1"/>
    </xf>
    <xf numFmtId="171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0" fontId="38" fillId="0" borderId="39" xfId="0" applyFont="1" applyBorder="1" applyAlignment="1">
      <alignment horizontal="left" vertical="center" wrapText="1"/>
    </xf>
    <xf numFmtId="0" fontId="19" fillId="0" borderId="25" xfId="8" applyFont="1" applyBorder="1" applyAlignment="1">
      <alignment horizontal="left" vertical="center" indent="2"/>
    </xf>
    <xf numFmtId="14" fontId="19" fillId="0" borderId="19" xfId="7" applyNumberFormat="1" applyFont="1" applyBorder="1" applyAlignment="1">
      <alignment horizontal="left" vertical="center" indent="2"/>
    </xf>
    <xf numFmtId="14" fontId="19" fillId="0" borderId="22" xfId="8" applyNumberFormat="1" applyFont="1" applyBorder="1" applyAlignment="1">
      <alignment horizontal="left" vertical="center" indent="2"/>
    </xf>
    <xf numFmtId="1" fontId="32" fillId="0" borderId="0" xfId="7" applyNumberFormat="1" applyFont="1" applyAlignment="1">
      <alignment horizontal="center"/>
    </xf>
    <xf numFmtId="1" fontId="1" fillId="0" borderId="0" xfId="7" applyNumberFormat="1" applyFont="1" applyAlignment="1">
      <alignment horizontal="center"/>
    </xf>
    <xf numFmtId="170" fontId="32" fillId="0" borderId="0" xfId="7" applyNumberFormat="1" applyFont="1" applyAlignment="1">
      <alignment horizontal="center"/>
    </xf>
    <xf numFmtId="170" fontId="1" fillId="0" borderId="0" xfId="7" applyNumberFormat="1" applyFont="1" applyAlignment="1">
      <alignment horizontal="center"/>
    </xf>
    <xf numFmtId="171" fontId="5" fillId="0" borderId="0" xfId="7" applyNumberFormat="1" applyFont="1" applyAlignment="1">
      <alignment horizontal="center"/>
    </xf>
    <xf numFmtId="171" fontId="1" fillId="0" borderId="0" xfId="7" applyNumberFormat="1" applyFont="1" applyAlignment="1">
      <alignment horizontal="center"/>
    </xf>
    <xf numFmtId="170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"/>
    </xf>
    <xf numFmtId="2" fontId="1" fillId="0" borderId="0" xfId="7" applyNumberFormat="1" applyFont="1" applyAlignment="1">
      <alignment horizontal="center"/>
    </xf>
    <xf numFmtId="170" fontId="5" fillId="0" borderId="0" xfId="9" applyNumberFormat="1" applyFont="1" applyAlignment="1">
      <alignment horizontal="center"/>
    </xf>
    <xf numFmtId="171" fontId="5" fillId="0" borderId="0" xfId="9" applyNumberFormat="1" applyFont="1" applyAlignment="1">
      <alignment horizontal="center"/>
    </xf>
    <xf numFmtId="169" fontId="1" fillId="0" borderId="30" xfId="9" applyNumberFormat="1" applyBorder="1" applyAlignment="1">
      <alignment horizontal="center"/>
    </xf>
    <xf numFmtId="169" fontId="1" fillId="0" borderId="15" xfId="9" applyNumberFormat="1" applyBorder="1" applyAlignment="1">
      <alignment horizontal="center"/>
    </xf>
    <xf numFmtId="171" fontId="40" fillId="2" borderId="31" xfId="0" applyNumberFormat="1" applyFont="1" applyFill="1" applyBorder="1" applyAlignment="1">
      <alignment horizontal="center" vertical="center" shrinkToFit="1"/>
    </xf>
    <xf numFmtId="1" fontId="33" fillId="0" borderId="31" xfId="9" applyNumberFormat="1" applyFont="1" applyBorder="1" applyAlignment="1">
      <alignment horizontal="center" vertical="center"/>
    </xf>
    <xf numFmtId="0" fontId="34" fillId="3" borderId="9" xfId="0" applyFont="1" applyFill="1" applyBorder="1"/>
    <xf numFmtId="0" fontId="34" fillId="3" borderId="11" xfId="0" applyFont="1" applyFill="1" applyBorder="1"/>
    <xf numFmtId="0" fontId="1" fillId="8" borderId="0" xfId="4" applyFill="1" applyAlignment="1">
      <alignment vertical="center" wrapText="1"/>
    </xf>
    <xf numFmtId="0" fontId="41" fillId="0" borderId="0" xfId="9" applyFont="1"/>
    <xf numFmtId="170" fontId="29" fillId="0" borderId="31" xfId="7" applyNumberFormat="1" applyFont="1" applyBorder="1" applyAlignment="1">
      <alignment horizontal="center" vertical="center"/>
    </xf>
    <xf numFmtId="171" fontId="29" fillId="0" borderId="31" xfId="7" applyNumberFormat="1" applyFont="1" applyBorder="1" applyAlignment="1">
      <alignment horizontal="center" vertical="center"/>
    </xf>
    <xf numFmtId="171" fontId="44" fillId="7" borderId="32" xfId="9" applyNumberFormat="1" applyFont="1" applyFill="1" applyBorder="1" applyAlignment="1">
      <alignment horizontal="center"/>
    </xf>
    <xf numFmtId="171" fontId="5" fillId="8" borderId="31" xfId="9" applyNumberFormat="1" applyFont="1" applyFill="1" applyBorder="1" applyAlignment="1">
      <alignment horizontal="center" vertical="center"/>
    </xf>
    <xf numFmtId="171" fontId="45" fillId="8" borderId="31" xfId="9" applyNumberFormat="1" applyFont="1" applyFill="1" applyBorder="1" applyAlignment="1">
      <alignment horizontal="center" vertical="center"/>
    </xf>
    <xf numFmtId="170" fontId="46" fillId="8" borderId="31" xfId="9" applyNumberFormat="1" applyFont="1" applyFill="1" applyBorder="1" applyAlignment="1">
      <alignment horizontal="center" vertical="center"/>
    </xf>
    <xf numFmtId="170" fontId="29" fillId="7" borderId="31" xfId="9" applyNumberFormat="1" applyFont="1" applyFill="1" applyBorder="1" applyAlignment="1">
      <alignment horizontal="center" vertical="center"/>
    </xf>
    <xf numFmtId="171" fontId="46" fillId="8" borderId="31" xfId="9" applyNumberFormat="1" applyFont="1" applyFill="1" applyBorder="1" applyAlignment="1">
      <alignment horizontal="center"/>
    </xf>
    <xf numFmtId="0" fontId="1" fillId="0" borderId="31" xfId="9" applyBorder="1"/>
    <xf numFmtId="0" fontId="41" fillId="0" borderId="31" xfId="9" applyFont="1" applyBorder="1" applyAlignment="1">
      <alignment horizontal="left"/>
    </xf>
    <xf numFmtId="169" fontId="1" fillId="0" borderId="38" xfId="9" applyNumberFormat="1" applyBorder="1" applyAlignment="1">
      <alignment horizontal="center"/>
    </xf>
    <xf numFmtId="0" fontId="1" fillId="0" borderId="9" xfId="9" applyBorder="1" applyAlignment="1">
      <alignment horizontal="left"/>
    </xf>
    <xf numFmtId="169" fontId="1" fillId="0" borderId="36" xfId="9" applyNumberFormat="1" applyBorder="1" applyAlignment="1">
      <alignment horizontal="center"/>
    </xf>
    <xf numFmtId="0" fontId="1" fillId="0" borderId="11" xfId="9" applyBorder="1" applyAlignment="1">
      <alignment horizontal="left"/>
    </xf>
    <xf numFmtId="169" fontId="1" fillId="0" borderId="37" xfId="9" applyNumberFormat="1" applyBorder="1" applyAlignment="1">
      <alignment horizontal="center"/>
    </xf>
    <xf numFmtId="0" fontId="1" fillId="0" borderId="13" xfId="9" applyBorder="1" applyAlignment="1">
      <alignment horizontal="left"/>
    </xf>
    <xf numFmtId="0" fontId="36" fillId="0" borderId="33" xfId="4" applyFont="1" applyBorder="1" applyAlignment="1">
      <alignment horizontal="center" vertical="center" wrapText="1"/>
    </xf>
    <xf numFmtId="0" fontId="36" fillId="0" borderId="34" xfId="4" applyFont="1" applyBorder="1" applyAlignment="1">
      <alignment horizontal="center" vertical="center" wrapText="1"/>
    </xf>
    <xf numFmtId="0" fontId="36" fillId="0" borderId="35" xfId="4" applyFont="1" applyBorder="1" applyAlignment="1">
      <alignment horizontal="center" vertical="center" wrapText="1"/>
    </xf>
    <xf numFmtId="1" fontId="33" fillId="9" borderId="27" xfId="7" applyNumberFormat="1" applyFont="1" applyFill="1" applyBorder="1" applyAlignment="1">
      <alignment horizontal="center"/>
    </xf>
    <xf numFmtId="1" fontId="33" fillId="9" borderId="29" xfId="7" applyNumberFormat="1" applyFont="1" applyFill="1" applyBorder="1" applyAlignment="1">
      <alignment horizontal="center"/>
    </xf>
    <xf numFmtId="1" fontId="33" fillId="0" borderId="29" xfId="7" applyNumberFormat="1" applyFont="1" applyBorder="1" applyAlignment="1">
      <alignment horizontal="center"/>
    </xf>
    <xf numFmtId="170" fontId="33" fillId="9" borderId="29" xfId="7" applyNumberFormat="1" applyFont="1" applyFill="1" applyBorder="1" applyAlignment="1">
      <alignment horizontal="center"/>
    </xf>
    <xf numFmtId="1" fontId="33" fillId="0" borderId="32" xfId="7" applyNumberFormat="1" applyFont="1" applyBorder="1" applyAlignment="1">
      <alignment horizontal="center"/>
    </xf>
    <xf numFmtId="170" fontId="33" fillId="0" borderId="29" xfId="7" applyNumberFormat="1" applyFont="1" applyBorder="1" applyAlignment="1">
      <alignment horizontal="center"/>
    </xf>
    <xf numFmtId="170" fontId="33" fillId="0" borderId="32" xfId="7" applyNumberFormat="1" applyFont="1" applyBorder="1" applyAlignment="1">
      <alignment horizontal="center"/>
    </xf>
    <xf numFmtId="171" fontId="33" fillId="9" borderId="29" xfId="7" applyNumberFormat="1" applyFont="1" applyFill="1" applyBorder="1" applyAlignment="1">
      <alignment horizontal="center"/>
    </xf>
    <xf numFmtId="171" fontId="33" fillId="7" borderId="29" xfId="7" applyNumberFormat="1" applyFont="1" applyFill="1" applyBorder="1" applyAlignment="1">
      <alignment horizontal="center"/>
    </xf>
    <xf numFmtId="171" fontId="33" fillId="0" borderId="32" xfId="7" applyNumberFormat="1" applyFont="1" applyBorder="1" applyAlignment="1">
      <alignment horizontal="center"/>
    </xf>
    <xf numFmtId="1" fontId="33" fillId="0" borderId="27" xfId="7" applyNumberFormat="1" applyFont="1" applyBorder="1" applyAlignment="1">
      <alignment horizontal="center"/>
    </xf>
    <xf numFmtId="171" fontId="33" fillId="0" borderId="29" xfId="7" applyNumberFormat="1" applyFont="1" applyBorder="1" applyAlignment="1">
      <alignment horizontal="center"/>
    </xf>
    <xf numFmtId="2" fontId="33" fillId="9" borderId="29" xfId="7" applyNumberFormat="1" applyFont="1" applyFill="1" applyBorder="1" applyAlignment="1">
      <alignment horizontal="center"/>
    </xf>
    <xf numFmtId="2" fontId="33" fillId="0" borderId="29" xfId="7" applyNumberFormat="1" applyFont="1" applyBorder="1" applyAlignment="1">
      <alignment horizontal="center"/>
    </xf>
    <xf numFmtId="170" fontId="33" fillId="7" borderId="27" xfId="9" applyNumberFormat="1" applyFont="1" applyFill="1" applyBorder="1" applyAlignment="1">
      <alignment horizontal="center"/>
    </xf>
    <xf numFmtId="171" fontId="33" fillId="7" borderId="32" xfId="9" applyNumberFormat="1" applyFont="1" applyFill="1" applyBorder="1" applyAlignment="1">
      <alignment horizontal="center"/>
    </xf>
    <xf numFmtId="170" fontId="33" fillId="7" borderId="29" xfId="9" applyNumberFormat="1" applyFont="1" applyFill="1" applyBorder="1" applyAlignment="1">
      <alignment horizontal="center" vertical="center"/>
    </xf>
    <xf numFmtId="170" fontId="33" fillId="7" borderId="32" xfId="9" applyNumberFormat="1" applyFont="1" applyFill="1" applyBorder="1" applyAlignment="1">
      <alignment horizontal="center" vertical="center"/>
    </xf>
    <xf numFmtId="0" fontId="47" fillId="0" borderId="38" xfId="1" applyFont="1" applyBorder="1" applyProtection="1">
      <protection hidden="1"/>
    </xf>
    <xf numFmtId="1" fontId="50" fillId="9" borderId="27" xfId="7" applyNumberFormat="1" applyFont="1" applyFill="1" applyBorder="1" applyAlignment="1">
      <alignment horizontal="center"/>
    </xf>
    <xf numFmtId="1" fontId="50" fillId="9" borderId="29" xfId="7" applyNumberFormat="1" applyFont="1" applyFill="1" applyBorder="1" applyAlignment="1">
      <alignment horizontal="center"/>
    </xf>
    <xf numFmtId="1" fontId="49" fillId="0" borderId="29" xfId="7" applyNumberFormat="1" applyFont="1" applyBorder="1" applyAlignment="1">
      <alignment horizontal="center"/>
    </xf>
    <xf numFmtId="1" fontId="50" fillId="0" borderId="29" xfId="7" applyNumberFormat="1" applyFont="1" applyBorder="1" applyAlignment="1">
      <alignment horizontal="center"/>
    </xf>
    <xf numFmtId="170" fontId="50" fillId="9" borderId="29" xfId="7" applyNumberFormat="1" applyFont="1" applyFill="1" applyBorder="1" applyAlignment="1">
      <alignment horizontal="center"/>
    </xf>
    <xf numFmtId="1" fontId="50" fillId="0" borderId="32" xfId="7" applyNumberFormat="1" applyFont="1" applyBorder="1" applyAlignment="1">
      <alignment horizontal="center"/>
    </xf>
    <xf numFmtId="170" fontId="49" fillId="0" borderId="29" xfId="7" applyNumberFormat="1" applyFont="1" applyBorder="1" applyAlignment="1">
      <alignment horizontal="center"/>
    </xf>
    <xf numFmtId="170" fontId="49" fillId="0" borderId="32" xfId="7" applyNumberFormat="1" applyFont="1" applyBorder="1" applyAlignment="1">
      <alignment horizontal="center"/>
    </xf>
    <xf numFmtId="171" fontId="50" fillId="9" borderId="29" xfId="7" applyNumberFormat="1" applyFont="1" applyFill="1" applyBorder="1" applyAlignment="1">
      <alignment horizontal="center"/>
    </xf>
    <xf numFmtId="171" fontId="49" fillId="7" borderId="29" xfId="7" applyNumberFormat="1" applyFont="1" applyFill="1" applyBorder="1" applyAlignment="1">
      <alignment horizontal="center"/>
    </xf>
    <xf numFmtId="171" fontId="49" fillId="0" borderId="32" xfId="7" applyNumberFormat="1" applyFont="1" applyBorder="1" applyAlignment="1">
      <alignment horizontal="center"/>
    </xf>
    <xf numFmtId="1" fontId="49" fillId="0" borderId="27" xfId="7" applyNumberFormat="1" applyFont="1" applyBorder="1" applyAlignment="1">
      <alignment horizontal="center"/>
    </xf>
    <xf numFmtId="171" fontId="49" fillId="0" borderId="29" xfId="7" applyNumberFormat="1" applyFont="1" applyBorder="1" applyAlignment="1">
      <alignment horizontal="center"/>
    </xf>
    <xf numFmtId="2" fontId="50" fillId="9" borderId="29" xfId="7" applyNumberFormat="1" applyFont="1" applyFill="1" applyBorder="1" applyAlignment="1">
      <alignment horizontal="center"/>
    </xf>
    <xf numFmtId="2" fontId="49" fillId="0" borderId="29" xfId="7" applyNumberFormat="1" applyFont="1" applyBorder="1" applyAlignment="1">
      <alignment horizontal="center"/>
    </xf>
    <xf numFmtId="170" fontId="49" fillId="7" borderId="27" xfId="9" applyNumberFormat="1" applyFont="1" applyFill="1" applyBorder="1" applyAlignment="1">
      <alignment horizontal="center"/>
    </xf>
    <xf numFmtId="171" fontId="49" fillId="7" borderId="32" xfId="9" applyNumberFormat="1" applyFont="1" applyFill="1" applyBorder="1" applyAlignment="1">
      <alignment horizontal="center"/>
    </xf>
    <xf numFmtId="171" fontId="51" fillId="2" borderId="31" xfId="0" applyNumberFormat="1" applyFont="1" applyFill="1" applyBorder="1" applyAlignment="1">
      <alignment horizontal="center" vertical="center" shrinkToFit="1"/>
    </xf>
    <xf numFmtId="1" fontId="52" fillId="9" borderId="27" xfId="7" applyNumberFormat="1" applyFont="1" applyFill="1" applyBorder="1" applyAlignment="1">
      <alignment horizontal="center"/>
    </xf>
    <xf numFmtId="1" fontId="52" fillId="9" borderId="29" xfId="7" applyNumberFormat="1" applyFont="1" applyFill="1" applyBorder="1" applyAlignment="1">
      <alignment horizontal="center"/>
    </xf>
    <xf numFmtId="170" fontId="52" fillId="9" borderId="29" xfId="7" applyNumberFormat="1" applyFont="1" applyFill="1" applyBorder="1" applyAlignment="1">
      <alignment horizontal="center"/>
    </xf>
    <xf numFmtId="0" fontId="54" fillId="10" borderId="41" xfId="4" applyFont="1" applyFill="1" applyBorder="1" applyAlignment="1">
      <alignment vertical="center" wrapText="1"/>
    </xf>
    <xf numFmtId="0" fontId="54" fillId="10" borderId="41" xfId="4" applyFont="1" applyFill="1" applyBorder="1" applyAlignment="1">
      <alignment vertical="center"/>
    </xf>
    <xf numFmtId="0" fontId="54" fillId="10" borderId="56" xfId="4" applyFont="1" applyFill="1" applyBorder="1" applyAlignment="1">
      <alignment horizontal="center" vertical="center"/>
    </xf>
    <xf numFmtId="0" fontId="54" fillId="10" borderId="56" xfId="4" applyFont="1" applyFill="1" applyBorder="1" applyAlignment="1">
      <alignment horizontal="center" vertical="center" wrapText="1"/>
    </xf>
    <xf numFmtId="0" fontId="54" fillId="10" borderId="56" xfId="4" applyFont="1" applyFill="1" applyBorder="1" applyAlignment="1">
      <alignment vertical="center"/>
    </xf>
    <xf numFmtId="175" fontId="37" fillId="7" borderId="31" xfId="0" applyNumberFormat="1" applyFont="1" applyFill="1" applyBorder="1" applyAlignment="1">
      <alignment horizontal="center" vertical="center"/>
    </xf>
    <xf numFmtId="172" fontId="37" fillId="7" borderId="31" xfId="4" applyNumberFormat="1" applyFont="1" applyFill="1" applyBorder="1" applyAlignment="1">
      <alignment horizontal="center" vertical="center"/>
    </xf>
    <xf numFmtId="176" fontId="37" fillId="0" borderId="31" xfId="0" applyNumberFormat="1" applyFont="1" applyBorder="1" applyAlignment="1">
      <alignment horizontal="center" vertical="center" wrapText="1"/>
    </xf>
    <xf numFmtId="0" fontId="37" fillId="7" borderId="35" xfId="4" applyFont="1" applyFill="1" applyBorder="1" applyAlignment="1" applyProtection="1">
      <alignment horizontal="center" vertical="center" wrapText="1"/>
      <protection locked="0" hidden="1"/>
    </xf>
    <xf numFmtId="176" fontId="37" fillId="7" borderId="35" xfId="0" applyNumberFormat="1" applyFont="1" applyFill="1" applyBorder="1" applyAlignment="1">
      <alignment horizontal="center" vertical="center" wrapText="1"/>
    </xf>
    <xf numFmtId="170" fontId="37" fillId="7" borderId="35" xfId="0" applyNumberFormat="1" applyFont="1" applyFill="1" applyBorder="1" applyAlignment="1">
      <alignment horizontal="center" vertical="center" wrapText="1"/>
    </xf>
    <xf numFmtId="174" fontId="37" fillId="7" borderId="35" xfId="11" applyNumberFormat="1" applyFont="1" applyFill="1" applyBorder="1" applyAlignment="1" applyProtection="1">
      <alignment horizontal="center" vertical="center"/>
      <protection locked="0" hidden="1"/>
    </xf>
    <xf numFmtId="170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0" fontId="38" fillId="7" borderId="39" xfId="0" applyFont="1" applyFill="1" applyBorder="1" applyAlignment="1">
      <alignment horizontal="center" vertical="center" wrapText="1"/>
    </xf>
    <xf numFmtId="0" fontId="38" fillId="7" borderId="58" xfId="0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center" vertical="center" wrapText="1"/>
    </xf>
    <xf numFmtId="0" fontId="55" fillId="0" borderId="0" xfId="1" applyFont="1" applyAlignment="1">
      <alignment horizontal="center" vertical="center"/>
    </xf>
    <xf numFmtId="2" fontId="24" fillId="0" borderId="0" xfId="1" applyNumberFormat="1" applyFont="1" applyAlignment="1" applyProtection="1">
      <alignment horizontal="left"/>
      <protection hidden="1"/>
    </xf>
    <xf numFmtId="170" fontId="29" fillId="0" borderId="15" xfId="7" applyNumberFormat="1" applyFont="1" applyBorder="1" applyAlignment="1">
      <alignment horizontal="center" vertical="center"/>
    </xf>
    <xf numFmtId="170" fontId="29" fillId="7" borderId="15" xfId="9" applyNumberFormat="1" applyFont="1" applyFill="1" applyBorder="1" applyAlignment="1">
      <alignment horizontal="center" vertical="center"/>
    </xf>
    <xf numFmtId="171" fontId="29" fillId="0" borderId="15" xfId="7" applyNumberFormat="1" applyFont="1" applyBorder="1" applyAlignment="1">
      <alignment horizontal="center" vertical="center"/>
    </xf>
    <xf numFmtId="171" fontId="46" fillId="8" borderId="15" xfId="9" applyNumberFormat="1" applyFont="1" applyFill="1" applyBorder="1" applyAlignment="1">
      <alignment horizontal="center"/>
    </xf>
    <xf numFmtId="170" fontId="46" fillId="8" borderId="15" xfId="9" applyNumberFormat="1" applyFont="1" applyFill="1" applyBorder="1" applyAlignment="1">
      <alignment horizontal="center" vertical="center"/>
    </xf>
    <xf numFmtId="171" fontId="44" fillId="7" borderId="37" xfId="9" applyNumberFormat="1" applyFont="1" applyFill="1" applyBorder="1" applyAlignment="1">
      <alignment horizontal="center"/>
    </xf>
    <xf numFmtId="171" fontId="5" fillId="8" borderId="15" xfId="9" applyNumberFormat="1" applyFont="1" applyFill="1" applyBorder="1" applyAlignment="1">
      <alignment horizontal="center" vertical="center"/>
    </xf>
    <xf numFmtId="171" fontId="45" fillId="8" borderId="15" xfId="9" applyNumberFormat="1" applyFont="1" applyFill="1" applyBorder="1" applyAlignment="1">
      <alignment horizontal="center" vertical="center"/>
    </xf>
    <xf numFmtId="2" fontId="56" fillId="0" borderId="59" xfId="7" applyNumberFormat="1" applyFont="1" applyBorder="1" applyAlignment="1">
      <alignment horizontal="center" vertical="center"/>
    </xf>
    <xf numFmtId="170" fontId="56" fillId="0" borderId="59" xfId="7" applyNumberFormat="1" applyFont="1" applyBorder="1" applyAlignment="1">
      <alignment horizontal="center" vertical="center"/>
    </xf>
    <xf numFmtId="0" fontId="56" fillId="0" borderId="59" xfId="9" applyFont="1" applyBorder="1" applyAlignment="1">
      <alignment horizontal="center" vertical="center"/>
    </xf>
    <xf numFmtId="171" fontId="56" fillId="0" borderId="59" xfId="9" applyNumberFormat="1" applyFont="1" applyBorder="1" applyAlignment="1">
      <alignment horizontal="center" vertical="center"/>
    </xf>
    <xf numFmtId="171" fontId="56" fillId="0" borderId="59" xfId="7" applyNumberFormat="1" applyFont="1" applyBorder="1" applyAlignment="1">
      <alignment horizontal="center" vertical="center"/>
    </xf>
    <xf numFmtId="1" fontId="56" fillId="0" borderId="59" xfId="7" applyNumberFormat="1" applyFont="1" applyBorder="1" applyAlignment="1">
      <alignment horizontal="center" vertical="center"/>
    </xf>
    <xf numFmtId="0" fontId="1" fillId="0" borderId="0" xfId="9" applyAlignment="1">
      <alignment horizontal="center" vertical="center" wrapText="1"/>
    </xf>
    <xf numFmtId="0" fontId="1" fillId="0" borderId="0" xfId="9" applyAlignment="1">
      <alignment horizontal="center" vertical="center"/>
    </xf>
    <xf numFmtId="169" fontId="1" fillId="0" borderId="0" xfId="9" applyNumberFormat="1" applyAlignment="1">
      <alignment horizontal="center" vertical="center"/>
    </xf>
    <xf numFmtId="172" fontId="1" fillId="0" borderId="0" xfId="9" applyNumberFormat="1" applyAlignment="1">
      <alignment horizontal="center" vertical="center"/>
    </xf>
    <xf numFmtId="169" fontId="37" fillId="7" borderId="35" xfId="4" applyNumberFormat="1" applyFont="1" applyFill="1" applyBorder="1" applyAlignment="1" applyProtection="1">
      <alignment horizontal="center" vertical="center"/>
      <protection locked="0" hidden="1"/>
    </xf>
    <xf numFmtId="169" fontId="37" fillId="7" borderId="35" xfId="4" applyNumberFormat="1" applyFont="1" applyFill="1" applyBorder="1" applyAlignment="1" applyProtection="1">
      <alignment horizontal="center" vertical="center" wrapText="1"/>
      <protection locked="0" hidden="1"/>
    </xf>
    <xf numFmtId="169" fontId="38" fillId="7" borderId="39" xfId="0" applyNumberFormat="1" applyFont="1" applyFill="1" applyBorder="1" applyAlignment="1">
      <alignment horizontal="center" vertical="center" wrapText="1"/>
    </xf>
    <xf numFmtId="169" fontId="38" fillId="7" borderId="58" xfId="0" applyNumberFormat="1" applyFont="1" applyFill="1" applyBorder="1" applyAlignment="1">
      <alignment horizontal="center" vertical="center" wrapText="1"/>
    </xf>
    <xf numFmtId="169" fontId="38" fillId="7" borderId="31" xfId="0" applyNumberFormat="1" applyFont="1" applyFill="1" applyBorder="1" applyAlignment="1">
      <alignment horizontal="center" vertical="center" wrapText="1"/>
    </xf>
    <xf numFmtId="177" fontId="58" fillId="11" borderId="35" xfId="0" applyNumberFormat="1" applyFont="1" applyFill="1" applyBorder="1" applyAlignment="1">
      <alignment horizontal="center" vertical="center" wrapText="1"/>
    </xf>
    <xf numFmtId="0" fontId="56" fillId="0" borderId="0" xfId="9" applyFont="1" applyAlignment="1">
      <alignment horizontal="center" vertical="center"/>
    </xf>
    <xf numFmtId="14" fontId="19" fillId="0" borderId="25" xfId="8" applyNumberFormat="1" applyFont="1" applyBorder="1" applyAlignment="1">
      <alignment horizontal="left" vertical="center" indent="2"/>
    </xf>
    <xf numFmtId="1" fontId="56" fillId="0" borderId="59" xfId="9" applyNumberFormat="1" applyFont="1" applyBorder="1" applyAlignment="1">
      <alignment horizontal="center" vertical="center"/>
    </xf>
    <xf numFmtId="0" fontId="55" fillId="7" borderId="31" xfId="1" applyFont="1" applyFill="1" applyBorder="1" applyAlignment="1">
      <alignment horizontal="center" vertical="center"/>
    </xf>
    <xf numFmtId="0" fontId="1" fillId="0" borderId="31" xfId="9" applyBorder="1" applyAlignment="1">
      <alignment horizontal="center" vertical="center" wrapText="1"/>
    </xf>
    <xf numFmtId="0" fontId="24" fillId="0" borderId="31" xfId="1" applyFont="1" applyBorder="1"/>
    <xf numFmtId="0" fontId="60" fillId="7" borderId="31" xfId="9" applyFont="1" applyFill="1" applyBorder="1" applyAlignment="1">
      <alignment horizontal="center" vertical="center"/>
    </xf>
    <xf numFmtId="1" fontId="38" fillId="7" borderId="31" xfId="0" applyNumberFormat="1" applyFont="1" applyFill="1" applyBorder="1" applyAlignment="1">
      <alignment horizontal="center" vertical="center" wrapText="1"/>
    </xf>
    <xf numFmtId="171" fontId="51" fillId="7" borderId="31" xfId="0" applyNumberFormat="1" applyFont="1" applyFill="1" applyBorder="1" applyAlignment="1">
      <alignment horizontal="center" vertical="center" shrinkToFit="1"/>
    </xf>
    <xf numFmtId="2" fontId="1" fillId="0" borderId="60" xfId="7" applyNumberFormat="1" applyFont="1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173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1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0" fontId="37" fillId="7" borderId="31" xfId="4" applyFont="1" applyFill="1" applyBorder="1" applyAlignment="1" applyProtection="1">
      <alignment horizontal="center" vertical="center"/>
      <protection locked="0" hidden="1"/>
    </xf>
    <xf numFmtId="0" fontId="61" fillId="7" borderId="31" xfId="4" applyFont="1" applyFill="1" applyBorder="1" applyAlignment="1" applyProtection="1">
      <alignment horizontal="center" vertical="center"/>
      <protection locked="0" hidden="1"/>
    </xf>
    <xf numFmtId="0" fontId="61" fillId="7" borderId="31" xfId="4" applyFont="1" applyFill="1" applyBorder="1" applyAlignment="1" applyProtection="1">
      <alignment horizontal="center" vertical="center" wrapText="1"/>
      <protection locked="0" hidden="1"/>
    </xf>
    <xf numFmtId="170" fontId="37" fillId="7" borderId="31" xfId="0" applyNumberFormat="1" applyFont="1" applyFill="1" applyBorder="1" applyAlignment="1">
      <alignment horizontal="center" vertical="center" wrapText="1"/>
    </xf>
    <xf numFmtId="176" fontId="61" fillId="7" borderId="31" xfId="0" applyNumberFormat="1" applyFont="1" applyFill="1" applyBorder="1" applyAlignment="1">
      <alignment horizontal="center" vertical="center" wrapText="1"/>
    </xf>
    <xf numFmtId="170" fontId="37" fillId="7" borderId="31" xfId="4" applyNumberFormat="1" applyFont="1" applyFill="1" applyBorder="1" applyAlignment="1">
      <alignment horizontal="center" vertical="center" wrapText="1"/>
    </xf>
    <xf numFmtId="174" fontId="37" fillId="7" borderId="31" xfId="11" applyNumberFormat="1" applyFont="1" applyFill="1" applyBorder="1" applyAlignment="1" applyProtection="1">
      <alignment horizontal="center" vertical="center"/>
      <protection locked="0" hidden="1"/>
    </xf>
    <xf numFmtId="0" fontId="62" fillId="7" borderId="31" xfId="0" applyFont="1" applyFill="1" applyBorder="1" applyAlignment="1">
      <alignment horizontal="center" vertical="center" wrapText="1"/>
    </xf>
    <xf numFmtId="2" fontId="38" fillId="7" borderId="31" xfId="0" applyNumberFormat="1" applyFont="1" applyFill="1" applyBorder="1" applyAlignment="1">
      <alignment horizontal="center" vertical="center" wrapText="1"/>
    </xf>
    <xf numFmtId="169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169" fontId="62" fillId="7" borderId="31" xfId="0" applyNumberFormat="1" applyFont="1" applyFill="1" applyBorder="1" applyAlignment="1">
      <alignment horizontal="center" vertical="center" wrapText="1"/>
    </xf>
    <xf numFmtId="0" fontId="1" fillId="0" borderId="2" xfId="9" applyBorder="1"/>
    <xf numFmtId="0" fontId="37" fillId="7" borderId="2" xfId="4" applyFont="1" applyFill="1" applyBorder="1" applyAlignment="1" applyProtection="1">
      <alignment horizontal="center" vertical="center"/>
      <protection locked="0" hidden="1"/>
    </xf>
    <xf numFmtId="0" fontId="37" fillId="7" borderId="2" xfId="4" applyFont="1" applyFill="1" applyBorder="1" applyAlignment="1" applyProtection="1">
      <alignment horizontal="center" vertical="center" wrapText="1"/>
      <protection locked="0" hidden="1"/>
    </xf>
    <xf numFmtId="0" fontId="37" fillId="7" borderId="0" xfId="4" applyFont="1" applyFill="1" applyAlignment="1" applyProtection="1">
      <alignment horizontal="center" vertical="center"/>
      <protection locked="0" hidden="1"/>
    </xf>
    <xf numFmtId="0" fontId="37" fillId="7" borderId="0" xfId="4" applyFont="1" applyFill="1" applyAlignment="1" applyProtection="1">
      <alignment horizontal="center" vertical="center" wrapText="1"/>
      <protection locked="0" hidden="1"/>
    </xf>
    <xf numFmtId="171" fontId="1" fillId="0" borderId="59" xfId="7" applyNumberFormat="1" applyFont="1" applyBorder="1" applyAlignment="1">
      <alignment horizontal="center"/>
    </xf>
    <xf numFmtId="0" fontId="63" fillId="10" borderId="31" xfId="4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vertical="center"/>
    </xf>
    <xf numFmtId="0" fontId="28" fillId="6" borderId="16" xfId="0" applyFont="1" applyFill="1" applyBorder="1" applyAlignment="1">
      <alignment vertical="center"/>
    </xf>
    <xf numFmtId="0" fontId="64" fillId="6" borderId="17" xfId="0" applyFont="1" applyFill="1" applyBorder="1" applyAlignment="1">
      <alignment horizontal="center" vertical="center"/>
    </xf>
    <xf numFmtId="169" fontId="33" fillId="7" borderId="28" xfId="9" applyNumberFormat="1" applyFont="1" applyFill="1" applyBorder="1" applyAlignment="1">
      <alignment horizontal="center"/>
    </xf>
    <xf numFmtId="2" fontId="37" fillId="7" borderId="31" xfId="4" applyNumberFormat="1" applyFont="1" applyFill="1" applyBorder="1" applyAlignment="1" applyProtection="1">
      <alignment horizontal="center" vertical="center"/>
      <protection locked="0" hidden="1"/>
    </xf>
    <xf numFmtId="0" fontId="5" fillId="3" borderId="11" xfId="0" applyFont="1" applyFill="1" applyBorder="1" applyAlignment="1">
      <alignment horizontal="right" wrapText="1"/>
    </xf>
    <xf numFmtId="0" fontId="34" fillId="0" borderId="12" xfId="3" applyFont="1" applyBorder="1" applyAlignment="1" applyProtection="1">
      <alignment horizontal="center"/>
      <protection hidden="1"/>
    </xf>
    <xf numFmtId="171" fontId="33" fillId="0" borderId="31" xfId="9" applyNumberFormat="1" applyFont="1" applyBorder="1" applyAlignment="1">
      <alignment horizontal="center" vertical="center"/>
    </xf>
    <xf numFmtId="2" fontId="33" fillId="0" borderId="28" xfId="9" applyNumberFormat="1" applyFont="1" applyBorder="1" applyAlignment="1">
      <alignment horizontal="center"/>
    </xf>
    <xf numFmtId="171" fontId="33" fillId="7" borderId="29" xfId="9" applyNumberFormat="1" applyFont="1" applyFill="1" applyBorder="1" applyAlignment="1">
      <alignment horizontal="center"/>
    </xf>
    <xf numFmtId="0" fontId="63" fillId="10" borderId="31" xfId="4" applyFont="1" applyFill="1" applyBorder="1" applyAlignment="1">
      <alignment horizontal="center" vertical="center" wrapText="1"/>
    </xf>
    <xf numFmtId="0" fontId="1" fillId="0" borderId="59" xfId="9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171" fontId="5" fillId="0" borderId="59" xfId="9" applyNumberFormat="1" applyFont="1" applyBorder="1" applyAlignment="1">
      <alignment horizontal="left" vertical="center"/>
    </xf>
    <xf numFmtId="2" fontId="1" fillId="0" borderId="15" xfId="9" applyNumberFormat="1" applyBorder="1" applyAlignment="1">
      <alignment horizontal="left" vertical="center" indent="1"/>
    </xf>
    <xf numFmtId="2" fontId="1" fillId="0" borderId="17" xfId="9" applyNumberFormat="1" applyBorder="1" applyAlignment="1">
      <alignment horizontal="left" vertical="center" indent="1"/>
    </xf>
    <xf numFmtId="0" fontId="30" fillId="8" borderId="6" xfId="9" applyFont="1" applyFill="1" applyBorder="1" applyAlignment="1">
      <alignment horizontal="center" vertical="center"/>
    </xf>
    <xf numFmtId="0" fontId="30" fillId="8" borderId="16" xfId="9" applyFont="1" applyFill="1" applyBorder="1" applyAlignment="1">
      <alignment horizontal="center" vertical="center"/>
    </xf>
    <xf numFmtId="0" fontId="30" fillId="8" borderId="17" xfId="9" applyFont="1" applyFill="1" applyBorder="1" applyAlignment="1">
      <alignment horizontal="center" vertical="center"/>
    </xf>
    <xf numFmtId="0" fontId="1" fillId="0" borderId="15" xfId="9" applyBorder="1" applyAlignment="1">
      <alignment horizontal="left" vertical="center" indent="1"/>
    </xf>
    <xf numFmtId="0" fontId="1" fillId="0" borderId="17" xfId="9" applyBorder="1" applyAlignment="1">
      <alignment horizontal="left" vertical="center" indent="1"/>
    </xf>
    <xf numFmtId="0" fontId="39" fillId="2" borderId="16" xfId="0" applyFont="1" applyFill="1" applyBorder="1" applyAlignment="1">
      <alignment horizontal="left" vertical="center" wrapText="1" shrinkToFit="1"/>
    </xf>
    <xf numFmtId="0" fontId="39" fillId="2" borderId="17" xfId="0" applyFont="1" applyFill="1" applyBorder="1" applyAlignment="1">
      <alignment horizontal="left" vertical="center" wrapText="1" shrinkToFit="1"/>
    </xf>
    <xf numFmtId="0" fontId="48" fillId="0" borderId="36" xfId="9" applyFont="1" applyBorder="1" applyAlignment="1">
      <alignment horizontal="left"/>
    </xf>
    <xf numFmtId="0" fontId="48" fillId="0" borderId="11" xfId="9" applyFont="1" applyBorder="1" applyAlignment="1">
      <alignment horizontal="left"/>
    </xf>
    <xf numFmtId="0" fontId="48" fillId="0" borderId="12" xfId="9" applyFont="1" applyBorder="1" applyAlignment="1">
      <alignment horizontal="left"/>
    </xf>
    <xf numFmtId="0" fontId="1" fillId="8" borderId="0" xfId="4" applyFill="1" applyAlignment="1">
      <alignment horizontal="center" vertical="center" wrapText="1"/>
    </xf>
    <xf numFmtId="0" fontId="48" fillId="0" borderId="18" xfId="9" applyFont="1" applyBorder="1" applyAlignment="1">
      <alignment horizontal="left"/>
    </xf>
    <xf numFmtId="1" fontId="32" fillId="0" borderId="0" xfId="7" applyNumberFormat="1" applyFont="1" applyAlignment="1">
      <alignment horizontal="center" vertical="center" textRotation="255"/>
    </xf>
    <xf numFmtId="0" fontId="30" fillId="8" borderId="15" xfId="9" applyFont="1" applyFill="1" applyBorder="1" applyAlignment="1">
      <alignment horizontal="center" vertical="center"/>
    </xf>
    <xf numFmtId="170" fontId="1" fillId="0" borderId="15" xfId="9" applyNumberFormat="1" applyBorder="1" applyAlignment="1">
      <alignment horizontal="center"/>
    </xf>
    <xf numFmtId="0" fontId="1" fillId="0" borderId="16" xfId="9" applyBorder="1" applyAlignment="1">
      <alignment horizontal="center"/>
    </xf>
    <xf numFmtId="0" fontId="1" fillId="0" borderId="15" xfId="9" applyBorder="1" applyAlignment="1">
      <alignment horizontal="center"/>
    </xf>
    <xf numFmtId="0" fontId="1" fillId="0" borderId="17" xfId="9" applyBorder="1" applyAlignment="1">
      <alignment horizontal="center"/>
    </xf>
    <xf numFmtId="170" fontId="1" fillId="0" borderId="59" xfId="7" applyNumberFormat="1" applyFont="1" applyBorder="1" applyAlignment="1">
      <alignment horizontal="left" vertical="center"/>
    </xf>
    <xf numFmtId="170" fontId="5" fillId="0" borderId="59" xfId="9" applyNumberFormat="1" applyFont="1" applyBorder="1" applyAlignment="1">
      <alignment horizontal="left" vertical="center"/>
    </xf>
    <xf numFmtId="171" fontId="1" fillId="0" borderId="63" xfId="7" applyNumberFormat="1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71" fontId="1" fillId="0" borderId="60" xfId="7" applyNumberFormat="1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7" fillId="0" borderId="31" xfId="9" applyFont="1" applyBorder="1" applyAlignment="1">
      <alignment horizontal="center" vertical="center" wrapText="1"/>
    </xf>
    <xf numFmtId="0" fontId="57" fillId="0" borderId="31" xfId="0" applyFont="1" applyBorder="1" applyAlignment="1">
      <alignment wrapText="1"/>
    </xf>
    <xf numFmtId="0" fontId="53" fillId="0" borderId="18" xfId="9" applyFont="1" applyBorder="1" applyAlignment="1">
      <alignment horizontal="left"/>
    </xf>
    <xf numFmtId="0" fontId="53" fillId="0" borderId="11" xfId="9" applyFont="1" applyBorder="1" applyAlignment="1">
      <alignment horizontal="left"/>
    </xf>
    <xf numFmtId="0" fontId="53" fillId="0" borderId="12" xfId="9" applyFont="1" applyBorder="1" applyAlignment="1">
      <alignment horizontal="left"/>
    </xf>
    <xf numFmtId="0" fontId="3" fillId="0" borderId="1" xfId="9" applyFont="1" applyBorder="1" applyAlignment="1">
      <alignment horizontal="center" vertical="center"/>
    </xf>
    <xf numFmtId="0" fontId="3" fillId="0" borderId="2" xfId="9" applyFont="1" applyBorder="1" applyAlignment="1">
      <alignment horizontal="center" vertical="center"/>
    </xf>
    <xf numFmtId="0" fontId="3" fillId="0" borderId="4" xfId="9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6" xfId="9" applyFont="1" applyBorder="1" applyAlignment="1">
      <alignment horizontal="center" vertical="center"/>
    </xf>
    <xf numFmtId="0" fontId="3" fillId="0" borderId="7" xfId="9" applyFont="1" applyBorder="1" applyAlignment="1">
      <alignment horizontal="center" vertical="center"/>
    </xf>
    <xf numFmtId="0" fontId="53" fillId="0" borderId="9" xfId="9" applyFont="1" applyBorder="1" applyAlignment="1">
      <alignment horizontal="left"/>
    </xf>
    <xf numFmtId="0" fontId="53" fillId="0" borderId="10" xfId="9" applyFont="1" applyBorder="1" applyAlignment="1">
      <alignment horizontal="left"/>
    </xf>
    <xf numFmtId="164" fontId="13" fillId="0" borderId="0" xfId="1" applyNumberFormat="1" applyFont="1" applyAlignment="1" applyProtection="1">
      <alignment horizontal="left" vertical="center"/>
      <protection locked="0"/>
    </xf>
    <xf numFmtId="0" fontId="22" fillId="5" borderId="15" xfId="6" applyFont="1" applyFill="1" applyBorder="1" applyAlignment="1">
      <alignment horizontal="center" vertical="center"/>
    </xf>
    <xf numFmtId="0" fontId="22" fillId="5" borderId="16" xfId="6" applyFont="1" applyFill="1" applyBorder="1" applyAlignment="1">
      <alignment horizontal="center" vertical="center"/>
    </xf>
    <xf numFmtId="0" fontId="22" fillId="5" borderId="17" xfId="6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0" fillId="0" borderId="31" xfId="0" applyBorder="1"/>
    <xf numFmtId="0" fontId="24" fillId="0" borderId="31" xfId="1" applyFont="1" applyBorder="1"/>
    <xf numFmtId="0" fontId="13" fillId="0" borderId="31" xfId="1" applyFont="1" applyBorder="1" applyAlignment="1">
      <alignment horizontal="center" vertical="center" wrapText="1"/>
    </xf>
    <xf numFmtId="0" fontId="63" fillId="10" borderId="33" xfId="4" applyFont="1" applyFill="1" applyBorder="1" applyAlignment="1">
      <alignment horizontal="center" vertical="center"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7" fillId="0" borderId="0" xfId="9" applyFont="1" applyAlignment="1">
      <alignment horizontal="center" vertical="center" wrapText="1"/>
    </xf>
    <xf numFmtId="0" fontId="57" fillId="0" borderId="0" xfId="0" applyFont="1" applyAlignment="1">
      <alignment wrapText="1"/>
    </xf>
    <xf numFmtId="0" fontId="28" fillId="6" borderId="15" xfId="0" applyFont="1" applyFill="1" applyBorder="1" applyAlignment="1">
      <alignment horizontal="left" vertical="center"/>
    </xf>
    <xf numFmtId="0" fontId="28" fillId="6" borderId="16" xfId="0" applyFont="1" applyFill="1" applyBorder="1" applyAlignment="1">
      <alignment horizontal="left" vertical="center"/>
    </xf>
    <xf numFmtId="0" fontId="28" fillId="6" borderId="17" xfId="0" applyFont="1" applyFill="1" applyBorder="1" applyAlignment="1">
      <alignment horizontal="left" vertical="center"/>
    </xf>
    <xf numFmtId="0" fontId="13" fillId="0" borderId="0" xfId="1" applyFont="1" applyAlignment="1">
      <alignment horizontal="center" vertical="center" wrapText="1"/>
    </xf>
    <xf numFmtId="2" fontId="1" fillId="0" borderId="60" xfId="7" applyNumberFormat="1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170" fontId="1" fillId="0" borderId="59" xfId="7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" fillId="0" borderId="59" xfId="9" applyBorder="1" applyAlignment="1">
      <alignment horizontal="center" vertical="center"/>
    </xf>
    <xf numFmtId="170" fontId="5" fillId="0" borderId="59" xfId="9" applyNumberFormat="1" applyFont="1" applyBorder="1" applyAlignment="1">
      <alignment horizontal="center" vertical="center"/>
    </xf>
    <xf numFmtId="171" fontId="5" fillId="0" borderId="59" xfId="9" applyNumberFormat="1" applyFont="1" applyBorder="1" applyAlignment="1">
      <alignment horizontal="center" vertical="center"/>
    </xf>
    <xf numFmtId="0" fontId="59" fillId="0" borderId="9" xfId="9" applyFont="1" applyBorder="1" applyAlignment="1">
      <alignment horizontal="left"/>
    </xf>
    <xf numFmtId="0" fontId="59" fillId="0" borderId="10" xfId="9" applyFont="1" applyBorder="1" applyAlignment="1">
      <alignment horizontal="left"/>
    </xf>
    <xf numFmtId="0" fontId="36" fillId="0" borderId="33" xfId="4" applyFont="1" applyBorder="1" applyAlignment="1">
      <alignment horizontal="center" vertical="center" wrapText="1"/>
    </xf>
    <xf numFmtId="0" fontId="36" fillId="0" borderId="34" xfId="4" applyFont="1" applyBorder="1" applyAlignment="1">
      <alignment horizontal="center" vertical="center" wrapText="1"/>
    </xf>
    <xf numFmtId="0" fontId="36" fillId="0" borderId="35" xfId="4" applyFont="1" applyBorder="1" applyAlignment="1">
      <alignment horizontal="center" vertical="center" wrapText="1"/>
    </xf>
    <xf numFmtId="0" fontId="36" fillId="7" borderId="33" xfId="4" applyFont="1" applyFill="1" applyBorder="1" applyAlignment="1">
      <alignment horizontal="center" vertical="center"/>
    </xf>
    <xf numFmtId="0" fontId="36" fillId="7" borderId="34" xfId="4" applyFont="1" applyFill="1" applyBorder="1" applyAlignment="1">
      <alignment horizontal="center" vertical="center"/>
    </xf>
    <xf numFmtId="0" fontId="36" fillId="7" borderId="35" xfId="4" applyFont="1" applyFill="1" applyBorder="1" applyAlignment="1">
      <alignment horizontal="center" vertical="center"/>
    </xf>
    <xf numFmtId="0" fontId="36" fillId="7" borderId="33" xfId="4" applyFont="1" applyFill="1" applyBorder="1" applyAlignment="1">
      <alignment horizontal="center" vertical="center" wrapText="1"/>
    </xf>
    <xf numFmtId="0" fontId="36" fillId="7" borderId="34" xfId="4" applyFont="1" applyFill="1" applyBorder="1" applyAlignment="1">
      <alignment horizontal="center" vertical="center" wrapText="1"/>
    </xf>
    <xf numFmtId="0" fontId="36" fillId="7" borderId="35" xfId="4" applyFont="1" applyFill="1" applyBorder="1" applyAlignment="1">
      <alignment horizontal="center" vertical="center" wrapText="1"/>
    </xf>
    <xf numFmtId="0" fontId="36" fillId="7" borderId="1" xfId="4" applyFont="1" applyFill="1" applyBorder="1" applyAlignment="1">
      <alignment horizontal="center" vertical="center"/>
    </xf>
    <xf numFmtId="0" fontId="36" fillId="7" borderId="3" xfId="4" applyFont="1" applyFill="1" applyBorder="1" applyAlignment="1">
      <alignment horizontal="center" vertical="center"/>
    </xf>
    <xf numFmtId="0" fontId="36" fillId="7" borderId="6" xfId="4" applyFont="1" applyFill="1" applyBorder="1" applyAlignment="1">
      <alignment horizontal="center" vertical="center"/>
    </xf>
    <xf numFmtId="0" fontId="36" fillId="7" borderId="8" xfId="4" applyFont="1" applyFill="1" applyBorder="1" applyAlignment="1">
      <alignment horizontal="center" vertical="center"/>
    </xf>
    <xf numFmtId="0" fontId="36" fillId="7" borderId="15" xfId="4" applyFont="1" applyFill="1" applyBorder="1" applyAlignment="1">
      <alignment horizontal="center" vertical="center"/>
    </xf>
    <xf numFmtId="0" fontId="36" fillId="7" borderId="16" xfId="4" applyFont="1" applyFill="1" applyBorder="1" applyAlignment="1">
      <alignment horizontal="center" vertical="center"/>
    </xf>
    <xf numFmtId="0" fontId="36" fillId="7" borderId="17" xfId="4" applyFont="1" applyFill="1" applyBorder="1" applyAlignment="1">
      <alignment horizontal="center" vertical="center"/>
    </xf>
    <xf numFmtId="0" fontId="54" fillId="10" borderId="41" xfId="4" applyFont="1" applyFill="1" applyBorder="1" applyAlignment="1">
      <alignment horizontal="center" vertical="center" wrapText="1"/>
    </xf>
    <xf numFmtId="0" fontId="54" fillId="10" borderId="56" xfId="4" applyFont="1" applyFill="1" applyBorder="1" applyAlignment="1">
      <alignment horizontal="center" vertical="center" wrapText="1"/>
    </xf>
    <xf numFmtId="0" fontId="54" fillId="10" borderId="42" xfId="4" applyFont="1" applyFill="1" applyBorder="1" applyAlignment="1">
      <alignment horizontal="center" vertical="center" wrapText="1"/>
    </xf>
    <xf numFmtId="0" fontId="54" fillId="10" borderId="50" xfId="4" applyFont="1" applyFill="1" applyBorder="1" applyAlignment="1">
      <alignment horizontal="center" vertical="center" wrapText="1"/>
    </xf>
    <xf numFmtId="0" fontId="54" fillId="10" borderId="57" xfId="4" applyFont="1" applyFill="1" applyBorder="1" applyAlignment="1">
      <alignment horizontal="center" vertical="center" wrapText="1"/>
    </xf>
    <xf numFmtId="0" fontId="54" fillId="10" borderId="43" xfId="4" applyFont="1" applyFill="1" applyBorder="1" applyAlignment="1">
      <alignment horizontal="center" vertical="center" wrapText="1"/>
    </xf>
    <xf numFmtId="0" fontId="54" fillId="10" borderId="44" xfId="4" applyFont="1" applyFill="1" applyBorder="1" applyAlignment="1">
      <alignment horizontal="center" vertical="center" wrapText="1"/>
    </xf>
    <xf numFmtId="0" fontId="54" fillId="10" borderId="45" xfId="4" applyFont="1" applyFill="1" applyBorder="1" applyAlignment="1">
      <alignment horizontal="center" vertical="center" wrapText="1"/>
    </xf>
    <xf numFmtId="0" fontId="54" fillId="10" borderId="51" xfId="4" applyFont="1" applyFill="1" applyBorder="1" applyAlignment="1">
      <alignment horizontal="center" vertical="center" wrapText="1"/>
    </xf>
    <xf numFmtId="0" fontId="54" fillId="10" borderId="52" xfId="4" applyFont="1" applyFill="1" applyBorder="1" applyAlignment="1">
      <alignment horizontal="center" vertical="center" wrapText="1"/>
    </xf>
    <xf numFmtId="0" fontId="54" fillId="10" borderId="53" xfId="4" applyFont="1" applyFill="1" applyBorder="1" applyAlignment="1">
      <alignment horizontal="center" vertical="center" wrapText="1"/>
    </xf>
    <xf numFmtId="0" fontId="54" fillId="10" borderId="40" xfId="4" applyFont="1" applyFill="1" applyBorder="1" applyAlignment="1">
      <alignment horizontal="center" vertical="center" wrapText="1"/>
    </xf>
    <xf numFmtId="0" fontId="54" fillId="10" borderId="55" xfId="4" applyFont="1" applyFill="1" applyBorder="1" applyAlignment="1">
      <alignment horizontal="center" vertical="center" wrapText="1"/>
    </xf>
    <xf numFmtId="0" fontId="54" fillId="10" borderId="41" xfId="4" applyFont="1" applyFill="1" applyBorder="1" applyAlignment="1">
      <alignment horizontal="center" vertical="center"/>
    </xf>
    <xf numFmtId="0" fontId="54" fillId="10" borderId="56" xfId="4" applyFont="1" applyFill="1" applyBorder="1" applyAlignment="1">
      <alignment horizontal="center" vertical="center"/>
    </xf>
    <xf numFmtId="0" fontId="54" fillId="10" borderId="46" xfId="4" applyFont="1" applyFill="1" applyBorder="1" applyAlignment="1">
      <alignment horizontal="center" vertical="center" wrapText="1"/>
    </xf>
    <xf numFmtId="0" fontId="54" fillId="10" borderId="49" xfId="4" applyFont="1" applyFill="1" applyBorder="1" applyAlignment="1">
      <alignment horizontal="center" vertical="center" wrapText="1"/>
    </xf>
    <xf numFmtId="0" fontId="54" fillId="10" borderId="54" xfId="4" applyFont="1" applyFill="1" applyBorder="1" applyAlignment="1">
      <alignment horizontal="center" vertical="center" wrapText="1"/>
    </xf>
    <xf numFmtId="0" fontId="54" fillId="10" borderId="46" xfId="4" applyFont="1" applyFill="1" applyBorder="1" applyAlignment="1">
      <alignment horizontal="center" vertical="center"/>
    </xf>
    <xf numFmtId="0" fontId="54" fillId="10" borderId="47" xfId="4" applyFont="1" applyFill="1" applyBorder="1" applyAlignment="1">
      <alignment horizontal="center" vertical="center"/>
    </xf>
    <xf numFmtId="0" fontId="54" fillId="10" borderId="48" xfId="4" applyFont="1" applyFill="1" applyBorder="1" applyAlignment="1">
      <alignment horizontal="center" vertical="center"/>
    </xf>
    <xf numFmtId="0" fontId="54" fillId="10" borderId="42" xfId="4" applyFont="1" applyFill="1" applyBorder="1" applyAlignment="1">
      <alignment horizontal="center" vertical="center"/>
    </xf>
    <xf numFmtId="169" fontId="1" fillId="12" borderId="37" xfId="9" applyNumberFormat="1" applyFill="1" applyBorder="1" applyAlignment="1">
      <alignment horizontal="center"/>
    </xf>
    <xf numFmtId="0" fontId="1" fillId="12" borderId="37" xfId="9" applyFill="1" applyBorder="1" applyAlignment="1">
      <alignment horizontal="left"/>
    </xf>
    <xf numFmtId="0" fontId="1" fillId="12" borderId="13" xfId="9" applyFill="1" applyBorder="1" applyAlignment="1">
      <alignment horizontal="left"/>
    </xf>
    <xf numFmtId="0" fontId="1" fillId="12" borderId="13" xfId="9" applyFill="1" applyBorder="1" applyAlignment="1">
      <alignment horizontal="left" indent="1"/>
    </xf>
    <xf numFmtId="0" fontId="1" fillId="12" borderId="13" xfId="9" applyFill="1" applyBorder="1"/>
    <xf numFmtId="0" fontId="1" fillId="12" borderId="14" xfId="9" applyFill="1" applyBorder="1" applyAlignment="1">
      <alignment horizontal="center"/>
    </xf>
    <xf numFmtId="170" fontId="33" fillId="12" borderId="32" xfId="7" applyNumberFormat="1" applyFont="1" applyFill="1" applyBorder="1" applyAlignment="1">
      <alignment horizontal="center"/>
    </xf>
    <xf numFmtId="170" fontId="49" fillId="12" borderId="32" xfId="7" applyNumberFormat="1" applyFont="1" applyFill="1" applyBorder="1" applyAlignment="1">
      <alignment horizontal="center"/>
    </xf>
  </cellXfs>
  <cellStyles count="12">
    <cellStyle name="Normal" xfId="0" builtinId="0"/>
    <cellStyle name="Normal 2" xfId="1" xr:uid="{278D2EF2-3B7B-4CF3-B92A-B6BB08425B18}"/>
    <cellStyle name="Normal 2 2 2" xfId="4" xr:uid="{6EEEE946-F01F-4DD4-87A5-B7BFA1839E0E}"/>
    <cellStyle name="Normal 3 2" xfId="7" xr:uid="{D5F54765-DB9A-47B6-B952-F6BACC2CE63A}"/>
    <cellStyle name="Normal 3 3" xfId="5" xr:uid="{0C858EA5-249A-4EA7-8AEF-707E46BCB776}"/>
    <cellStyle name="Normal_abr" xfId="6" xr:uid="{155A2C78-D750-413B-AABB-BC8C705EE60D}"/>
    <cellStyle name="Normal_Badén Dens. Km. 77+491 2" xfId="9" xr:uid="{4DFE715E-63A8-4DA4-A270-1FAB0FD4B084}"/>
    <cellStyle name="Normal_ENSAYOS 2 2" xfId="8" xr:uid="{8915EC28-C97D-4ED8-9FB3-E4AFD2B9CACC}"/>
    <cellStyle name="Normal_ESPECIFICACIONES" xfId="3" xr:uid="{2F4FCACC-3462-48E7-A529-016A86FD7ED6}"/>
    <cellStyle name="Normal_Produc. 07-09-99 2" xfId="2" xr:uid="{8566621A-24B6-4403-A77F-BCBB70A72CD4}"/>
    <cellStyle name="Porcentaje" xfId="10" builtinId="5"/>
    <cellStyle name="Porcentaje 2" xfId="11" xr:uid="{775385A6-6DD5-4387-A81A-A4C5F045E25F}"/>
  </cellStyles>
  <dxfs count="13">
    <dxf>
      <font>
        <b/>
        <i val="0"/>
        <strike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b/>
        <i val="0"/>
        <strike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189809</xdr:colOff>
      <xdr:row>29</xdr:row>
      <xdr:rowOff>71921</xdr:rowOff>
    </xdr:from>
    <xdr:to>
      <xdr:col>20</xdr:col>
      <xdr:colOff>189809</xdr:colOff>
      <xdr:row>38</xdr:row>
      <xdr:rowOff>52872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4D561A6-93C9-4700-B991-6A2B74CA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68" t="34441" r="23055" b="34743"/>
        <a:stretch>
          <a:fillRect/>
        </a:stretch>
      </xdr:blipFill>
      <xdr:spPr bwMode="auto">
        <a:xfrm>
          <a:off x="12270684" y="5691671"/>
          <a:ext cx="4810125" cy="1909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157852</xdr:colOff>
      <xdr:row>38</xdr:row>
      <xdr:rowOff>137865</xdr:rowOff>
    </xdr:from>
    <xdr:to>
      <xdr:col>20</xdr:col>
      <xdr:colOff>738877</xdr:colOff>
      <xdr:row>51</xdr:row>
      <xdr:rowOff>102043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76C93771-EA5C-4D73-8D50-A3BD7E26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64" t="24168" r="28320" b="38670"/>
        <a:stretch>
          <a:fillRect/>
        </a:stretch>
      </xdr:blipFill>
      <xdr:spPr bwMode="auto">
        <a:xfrm>
          <a:off x="12238727" y="7686428"/>
          <a:ext cx="5391150" cy="275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179004</xdr:colOff>
      <xdr:row>0</xdr:row>
      <xdr:rowOff>99191</xdr:rowOff>
    </xdr:from>
    <xdr:to>
      <xdr:col>3</xdr:col>
      <xdr:colOff>254148</xdr:colOff>
      <xdr:row>3</xdr:row>
      <xdr:rowOff>89666</xdr:rowOff>
    </xdr:to>
    <xdr:pic>
      <xdr:nvPicPr>
        <xdr:cNvPr id="4" name="Picture 2" descr="Cerro Verde">
          <a:extLst>
            <a:ext uri="{FF2B5EF4-FFF2-40B4-BE49-F238E27FC236}">
              <a16:creationId xmlns:a16="http://schemas.microsoft.com/office/drawing/2014/main" id="{064B107B-EDC3-494B-8599-AB0ACB3D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079" y="99191"/>
          <a:ext cx="969251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836543</xdr:colOff>
      <xdr:row>0</xdr:row>
      <xdr:rowOff>33130</xdr:rowOff>
    </xdr:from>
    <xdr:to>
      <xdr:col>9</xdr:col>
      <xdr:colOff>722698</xdr:colOff>
      <xdr:row>2</xdr:row>
      <xdr:rowOff>133521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D2EF2DE-72EC-4560-A68F-99D4446B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1543" y="33130"/>
          <a:ext cx="1121229" cy="557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8916</xdr:colOff>
      <xdr:row>8</xdr:row>
      <xdr:rowOff>100219</xdr:rowOff>
    </xdr:from>
    <xdr:to>
      <xdr:col>7</xdr:col>
      <xdr:colOff>724456</xdr:colOff>
      <xdr:row>8</xdr:row>
      <xdr:rowOff>100220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A3B4AC87-39F6-A977-5752-33777DE4C283}"/>
            </a:ext>
          </a:extLst>
        </xdr:cNvPr>
        <xdr:cNvCxnSpPr/>
      </xdr:nvCxnSpPr>
      <xdr:spPr>
        <a:xfrm flipV="1">
          <a:off x="1961541" y="2119519"/>
          <a:ext cx="2972965" cy="1"/>
        </a:xfrm>
        <a:prstGeom prst="line">
          <a:avLst/>
        </a:prstGeom>
        <a:ln w="9525"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725294</xdr:colOff>
      <xdr:row>8</xdr:row>
      <xdr:rowOff>100825</xdr:rowOff>
    </xdr:from>
    <xdr:to>
      <xdr:col>8</xdr:col>
      <xdr:colOff>654326</xdr:colOff>
      <xdr:row>8</xdr:row>
      <xdr:rowOff>260488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FA2C711D-59FE-4850-A79F-FEBF2D07B179}"/>
            </a:ext>
          </a:extLst>
        </xdr:cNvPr>
        <xdr:cNvCxnSpPr/>
      </xdr:nvCxnSpPr>
      <xdr:spPr>
        <a:xfrm>
          <a:off x="4935344" y="2120125"/>
          <a:ext cx="710082" cy="159663"/>
        </a:xfrm>
        <a:prstGeom prst="line">
          <a:avLst/>
        </a:prstGeom>
        <a:ln w="9525"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15</xdr:row>
      <xdr:rowOff>124240</xdr:rowOff>
    </xdr:from>
    <xdr:to>
      <xdr:col>12</xdr:col>
      <xdr:colOff>971551</xdr:colOff>
      <xdr:row>24</xdr:row>
      <xdr:rowOff>128796</xdr:rowOff>
    </xdr:to>
    <xdr:grpSp>
      <xdr:nvGrpSpPr>
        <xdr:cNvPr id="27" name="36 Grupo">
          <a:extLst>
            <a:ext uri="{FF2B5EF4-FFF2-40B4-BE49-F238E27FC236}">
              <a16:creationId xmlns:a16="http://schemas.microsoft.com/office/drawing/2014/main" id="{0BF90127-20DD-48D1-9701-17E2AA96796B}"/>
            </a:ext>
          </a:extLst>
        </xdr:cNvPr>
        <xdr:cNvGrpSpPr/>
      </xdr:nvGrpSpPr>
      <xdr:grpSpPr>
        <a:xfrm>
          <a:off x="7841796" y="3389954"/>
          <a:ext cx="4940755" cy="1963985"/>
          <a:chOff x="71438" y="6592573"/>
          <a:chExt cx="8748220" cy="814568"/>
        </a:xfrm>
      </xdr:grpSpPr>
      <xdr:cxnSp macro="">
        <xdr:nvCxnSpPr>
          <xdr:cNvPr id="29" name="32 Conector recto">
            <a:extLst>
              <a:ext uri="{FF2B5EF4-FFF2-40B4-BE49-F238E27FC236}">
                <a16:creationId xmlns:a16="http://schemas.microsoft.com/office/drawing/2014/main" id="{FED2FFEB-659F-EDBB-325B-29809CD6C686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33 Conector recto">
            <a:extLst>
              <a:ext uri="{FF2B5EF4-FFF2-40B4-BE49-F238E27FC236}">
                <a16:creationId xmlns:a16="http://schemas.microsoft.com/office/drawing/2014/main" id="{BF4C5E35-6700-F740-CBD4-B3AC6DA92124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104775</xdr:colOff>
      <xdr:row>26</xdr:row>
      <xdr:rowOff>108099</xdr:rowOff>
    </xdr:from>
    <xdr:to>
      <xdr:col>12</xdr:col>
      <xdr:colOff>979829</xdr:colOff>
      <xdr:row>32</xdr:row>
      <xdr:rowOff>189259</xdr:rowOff>
    </xdr:to>
    <xdr:grpSp>
      <xdr:nvGrpSpPr>
        <xdr:cNvPr id="32" name="36 Grupo">
          <a:extLst>
            <a:ext uri="{FF2B5EF4-FFF2-40B4-BE49-F238E27FC236}">
              <a16:creationId xmlns:a16="http://schemas.microsoft.com/office/drawing/2014/main" id="{074C00B1-8C86-43B5-AF8B-EC0E770CF02D}"/>
            </a:ext>
          </a:extLst>
        </xdr:cNvPr>
        <xdr:cNvGrpSpPr/>
      </xdr:nvGrpSpPr>
      <xdr:grpSpPr>
        <a:xfrm>
          <a:off x="7822746" y="5768670"/>
          <a:ext cx="4968083" cy="1387446"/>
          <a:chOff x="71438" y="6592573"/>
          <a:chExt cx="8748220" cy="814568"/>
        </a:xfrm>
      </xdr:grpSpPr>
      <xdr:cxnSp macro="">
        <xdr:nvCxnSpPr>
          <xdr:cNvPr id="33" name="32 Conector recto">
            <a:extLst>
              <a:ext uri="{FF2B5EF4-FFF2-40B4-BE49-F238E27FC236}">
                <a16:creationId xmlns:a16="http://schemas.microsoft.com/office/drawing/2014/main" id="{9960A5F4-2C4E-A374-B3DD-A677B49617A8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33 Conector recto">
            <a:extLst>
              <a:ext uri="{FF2B5EF4-FFF2-40B4-BE49-F238E27FC236}">
                <a16:creationId xmlns:a16="http://schemas.microsoft.com/office/drawing/2014/main" id="{DBF405BA-5137-B352-5956-AFEA1308B733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76200</xdr:colOff>
      <xdr:row>34</xdr:row>
      <xdr:rowOff>137307</xdr:rowOff>
    </xdr:from>
    <xdr:to>
      <xdr:col>12</xdr:col>
      <xdr:colOff>947112</xdr:colOff>
      <xdr:row>38</xdr:row>
      <xdr:rowOff>153644</xdr:rowOff>
    </xdr:to>
    <xdr:grpSp>
      <xdr:nvGrpSpPr>
        <xdr:cNvPr id="35" name="36 Grupo">
          <a:extLst>
            <a:ext uri="{FF2B5EF4-FFF2-40B4-BE49-F238E27FC236}">
              <a16:creationId xmlns:a16="http://schemas.microsoft.com/office/drawing/2014/main" id="{DD906A3F-B9C0-4845-AB75-638F535B66F5}"/>
            </a:ext>
          </a:extLst>
        </xdr:cNvPr>
        <xdr:cNvGrpSpPr/>
      </xdr:nvGrpSpPr>
      <xdr:grpSpPr>
        <a:xfrm>
          <a:off x="7794171" y="7539593"/>
          <a:ext cx="4963941" cy="887194"/>
          <a:chOff x="71438" y="6592573"/>
          <a:chExt cx="8748220" cy="814568"/>
        </a:xfrm>
      </xdr:grpSpPr>
      <xdr:cxnSp macro="">
        <xdr:nvCxnSpPr>
          <xdr:cNvPr id="36" name="32 Conector recto">
            <a:extLst>
              <a:ext uri="{FF2B5EF4-FFF2-40B4-BE49-F238E27FC236}">
                <a16:creationId xmlns:a16="http://schemas.microsoft.com/office/drawing/2014/main" id="{4C4C86D4-E24A-2253-9F39-5F9DDF2EEF92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33 Conector recto">
            <a:extLst>
              <a:ext uri="{FF2B5EF4-FFF2-40B4-BE49-F238E27FC236}">
                <a16:creationId xmlns:a16="http://schemas.microsoft.com/office/drawing/2014/main" id="{D02F2077-773A-0F37-0E4E-D30DBE689E44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95250</xdr:colOff>
      <xdr:row>40</xdr:row>
      <xdr:rowOff>152679</xdr:rowOff>
    </xdr:from>
    <xdr:to>
      <xdr:col>12</xdr:col>
      <xdr:colOff>971548</xdr:colOff>
      <xdr:row>46</xdr:row>
      <xdr:rowOff>153645</xdr:rowOff>
    </xdr:to>
    <xdr:grpSp>
      <xdr:nvGrpSpPr>
        <xdr:cNvPr id="38" name="36 Grupo">
          <a:extLst>
            <a:ext uri="{FF2B5EF4-FFF2-40B4-BE49-F238E27FC236}">
              <a16:creationId xmlns:a16="http://schemas.microsoft.com/office/drawing/2014/main" id="{8210C5B3-61C7-4CFA-A9E9-3F5574662C70}"/>
            </a:ext>
          </a:extLst>
        </xdr:cNvPr>
        <xdr:cNvGrpSpPr/>
      </xdr:nvGrpSpPr>
      <xdr:grpSpPr>
        <a:xfrm>
          <a:off x="7813221" y="8861250"/>
          <a:ext cx="4969327" cy="1307252"/>
          <a:chOff x="71438" y="6592573"/>
          <a:chExt cx="8748220" cy="814568"/>
        </a:xfrm>
      </xdr:grpSpPr>
      <xdr:cxnSp macro="">
        <xdr:nvCxnSpPr>
          <xdr:cNvPr id="39" name="32 Conector recto">
            <a:extLst>
              <a:ext uri="{FF2B5EF4-FFF2-40B4-BE49-F238E27FC236}">
                <a16:creationId xmlns:a16="http://schemas.microsoft.com/office/drawing/2014/main" id="{51C62B0C-9F7E-449B-5C23-F8778EC0C49D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33 Conector recto">
            <a:extLst>
              <a:ext uri="{FF2B5EF4-FFF2-40B4-BE49-F238E27FC236}">
                <a16:creationId xmlns:a16="http://schemas.microsoft.com/office/drawing/2014/main" id="{9779009E-2B9A-65AC-BA6C-9CE7D592CF3F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114300</xdr:colOff>
      <xdr:row>48</xdr:row>
      <xdr:rowOff>138727</xdr:rowOff>
    </xdr:from>
    <xdr:to>
      <xdr:col>12</xdr:col>
      <xdr:colOff>963403</xdr:colOff>
      <xdr:row>57</xdr:row>
      <xdr:rowOff>145362</xdr:rowOff>
    </xdr:to>
    <xdr:grpSp>
      <xdr:nvGrpSpPr>
        <xdr:cNvPr id="41" name="36 Grupo">
          <a:extLst>
            <a:ext uri="{FF2B5EF4-FFF2-40B4-BE49-F238E27FC236}">
              <a16:creationId xmlns:a16="http://schemas.microsoft.com/office/drawing/2014/main" id="{87A56B01-6E6F-4178-9271-78B19462F062}"/>
            </a:ext>
          </a:extLst>
        </xdr:cNvPr>
        <xdr:cNvGrpSpPr/>
      </xdr:nvGrpSpPr>
      <xdr:grpSpPr>
        <a:xfrm>
          <a:off x="7832271" y="10589013"/>
          <a:ext cx="4942132" cy="1966063"/>
          <a:chOff x="71438" y="6592573"/>
          <a:chExt cx="8748220" cy="814568"/>
        </a:xfrm>
      </xdr:grpSpPr>
      <xdr:cxnSp macro="">
        <xdr:nvCxnSpPr>
          <xdr:cNvPr id="42" name="32 Conector recto">
            <a:extLst>
              <a:ext uri="{FF2B5EF4-FFF2-40B4-BE49-F238E27FC236}">
                <a16:creationId xmlns:a16="http://schemas.microsoft.com/office/drawing/2014/main" id="{6A291DC3-54D3-9BD7-1CE5-9A8CA294E8EE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33 Conector recto">
            <a:extLst>
              <a:ext uri="{FF2B5EF4-FFF2-40B4-BE49-F238E27FC236}">
                <a16:creationId xmlns:a16="http://schemas.microsoft.com/office/drawing/2014/main" id="{463890E7-1119-F78A-D231-BDD3CE5DC79C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115207</xdr:colOff>
      <xdr:row>59</xdr:row>
      <xdr:rowOff>103883</xdr:rowOff>
    </xdr:from>
    <xdr:to>
      <xdr:col>12</xdr:col>
      <xdr:colOff>927867</xdr:colOff>
      <xdr:row>61</xdr:row>
      <xdr:rowOff>161926</xdr:rowOff>
    </xdr:to>
    <xdr:grpSp>
      <xdr:nvGrpSpPr>
        <xdr:cNvPr id="44" name="36 Grupo">
          <a:extLst>
            <a:ext uri="{FF2B5EF4-FFF2-40B4-BE49-F238E27FC236}">
              <a16:creationId xmlns:a16="http://schemas.microsoft.com/office/drawing/2014/main" id="{604577EF-5681-4C99-A753-73ADC89B0A0C}"/>
            </a:ext>
          </a:extLst>
        </xdr:cNvPr>
        <xdr:cNvGrpSpPr/>
      </xdr:nvGrpSpPr>
      <xdr:grpSpPr>
        <a:xfrm>
          <a:off x="7833178" y="12949026"/>
          <a:ext cx="4905689" cy="493471"/>
          <a:chOff x="71438" y="6592573"/>
          <a:chExt cx="8748220" cy="814568"/>
        </a:xfrm>
      </xdr:grpSpPr>
      <xdr:cxnSp macro="">
        <xdr:nvCxnSpPr>
          <xdr:cNvPr id="45" name="32 Conector recto">
            <a:extLst>
              <a:ext uri="{FF2B5EF4-FFF2-40B4-BE49-F238E27FC236}">
                <a16:creationId xmlns:a16="http://schemas.microsoft.com/office/drawing/2014/main" id="{D9E61619-33C4-79F9-D187-1508D2B378A9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33 Conector recto">
            <a:extLst>
              <a:ext uri="{FF2B5EF4-FFF2-40B4-BE49-F238E27FC236}">
                <a16:creationId xmlns:a16="http://schemas.microsoft.com/office/drawing/2014/main" id="{A7CBA00C-D8B3-3310-6567-AD00F4A11C9A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25</xdr:col>
      <xdr:colOff>263438</xdr:colOff>
      <xdr:row>50</xdr:row>
      <xdr:rowOff>57640</xdr:rowOff>
    </xdr:from>
    <xdr:to>
      <xdr:col>31</xdr:col>
      <xdr:colOff>413285</xdr:colOff>
      <xdr:row>67</xdr:row>
      <xdr:rowOff>71096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9956AE4F-7F3E-4B07-C7A9-C5CAD028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170938" y="10820890"/>
          <a:ext cx="4959972" cy="3696456"/>
        </a:xfrm>
        <a:prstGeom prst="rect">
          <a:avLst/>
        </a:prstGeom>
      </xdr:spPr>
    </xdr:pic>
    <xdr:clientData/>
  </xdr:twoCellAnchor>
  <xdr:twoCellAnchor>
    <xdr:from>
      <xdr:col>1</xdr:col>
      <xdr:colOff>16220</xdr:colOff>
      <xdr:row>69</xdr:row>
      <xdr:rowOff>0</xdr:rowOff>
    </xdr:from>
    <xdr:to>
      <xdr:col>13</xdr:col>
      <xdr:colOff>0</xdr:colOff>
      <xdr:row>71</xdr:row>
      <xdr:rowOff>1361383</xdr:rowOff>
    </xdr:to>
    <xdr:grpSp>
      <xdr:nvGrpSpPr>
        <xdr:cNvPr id="50" name="Group 324">
          <a:extLst>
            <a:ext uri="{FF2B5EF4-FFF2-40B4-BE49-F238E27FC236}">
              <a16:creationId xmlns:a16="http://schemas.microsoft.com/office/drawing/2014/main" id="{E5373359-0991-4103-9118-F79E0D6C8089}"/>
            </a:ext>
          </a:extLst>
        </xdr:cNvPr>
        <xdr:cNvGrpSpPr>
          <a:grpSpLocks/>
        </xdr:cNvGrpSpPr>
      </xdr:nvGrpSpPr>
      <xdr:grpSpPr bwMode="auto">
        <a:xfrm>
          <a:off x="92420" y="15120257"/>
          <a:ext cx="13101066" cy="1600869"/>
          <a:chOff x="0" y="1211"/>
          <a:chExt cx="928" cy="145"/>
        </a:xfrm>
      </xdr:grpSpPr>
      <xdr:sp macro="" textlink="">
        <xdr:nvSpPr>
          <xdr:cNvPr id="51" name="Rectangle 325">
            <a:extLst>
              <a:ext uri="{FF2B5EF4-FFF2-40B4-BE49-F238E27FC236}">
                <a16:creationId xmlns:a16="http://schemas.microsoft.com/office/drawing/2014/main" id="{FC9ED840-B4FF-6F5B-AD92-94A6E9D1A396}"/>
              </a:ext>
            </a:extLst>
          </xdr:cNvPr>
          <xdr:cNvSpPr>
            <a:spLocks noChangeArrowheads="1"/>
          </xdr:cNvSpPr>
        </xdr:nvSpPr>
        <xdr:spPr bwMode="auto">
          <a:xfrm>
            <a:off x="0" y="1211"/>
            <a:ext cx="226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Elaborado por Técnico Laboratorio QC: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52" name="Rectangle 326">
            <a:extLst>
              <a:ext uri="{FF2B5EF4-FFF2-40B4-BE49-F238E27FC236}">
                <a16:creationId xmlns:a16="http://schemas.microsoft.com/office/drawing/2014/main" id="{DEEA32A0-5F8B-48AD-0AEF-74E0933BF3A9}"/>
              </a:ext>
            </a:extLst>
          </xdr:cNvPr>
          <xdr:cNvSpPr>
            <a:spLocks noChangeArrowheads="1"/>
          </xdr:cNvSpPr>
        </xdr:nvSpPr>
        <xdr:spPr bwMode="auto">
          <a:xfrm>
            <a:off x="464" y="1211"/>
            <a:ext cx="229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Revisado por Jefe de Laboratorio QA: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53" name="Rectangle 327">
            <a:extLst>
              <a:ext uri="{FF2B5EF4-FFF2-40B4-BE49-F238E27FC236}">
                <a16:creationId xmlns:a16="http://schemas.microsoft.com/office/drawing/2014/main" id="{A974268F-89AE-0C64-DA7C-F86EE4C865B0}"/>
              </a:ext>
            </a:extLst>
          </xdr:cNvPr>
          <xdr:cNvSpPr>
            <a:spLocks noChangeArrowheads="1"/>
          </xdr:cNvSpPr>
        </xdr:nvSpPr>
        <xdr:spPr bwMode="auto">
          <a:xfrm>
            <a:off x="226" y="1211"/>
            <a:ext cx="238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Revisado por Jefe de Laboratorio QC: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54" name="Rectangle 328">
            <a:extLst>
              <a:ext uri="{FF2B5EF4-FFF2-40B4-BE49-F238E27FC236}">
                <a16:creationId xmlns:a16="http://schemas.microsoft.com/office/drawing/2014/main" id="{64824C98-0510-3A4B-1287-DE89D83BADEE}"/>
              </a:ext>
            </a:extLst>
          </xdr:cNvPr>
          <xdr:cNvSpPr>
            <a:spLocks noChangeArrowheads="1"/>
          </xdr:cNvSpPr>
        </xdr:nvSpPr>
        <xdr:spPr bwMode="auto">
          <a:xfrm>
            <a:off x="693" y="1211"/>
            <a:ext cx="235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Aprobado por SMCV:</a:t>
            </a:r>
          </a:p>
          <a:p>
            <a:pPr algn="l" rtl="0">
              <a:defRPr sz="1000"/>
            </a:pPr>
            <a:b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Nombre:</a:t>
            </a:r>
          </a:p>
          <a:p>
            <a:pPr algn="l" rtl="0">
              <a:defRPr sz="1000"/>
            </a:pP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Fecha:</a:t>
            </a:r>
          </a:p>
          <a:p>
            <a:pPr algn="l" rtl="0">
              <a:defRPr sz="1000"/>
            </a:pP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grpSp>
        <xdr:nvGrpSpPr>
          <xdr:cNvPr id="55" name="Group 329">
            <a:extLst>
              <a:ext uri="{FF2B5EF4-FFF2-40B4-BE49-F238E27FC236}">
                <a16:creationId xmlns:a16="http://schemas.microsoft.com/office/drawing/2014/main" id="{794CAFBC-51E7-2CEE-E527-82FE3B80A482}"/>
              </a:ext>
            </a:extLst>
          </xdr:cNvPr>
          <xdr:cNvGrpSpPr>
            <a:grpSpLocks/>
          </xdr:cNvGrpSpPr>
        </xdr:nvGrpSpPr>
        <xdr:grpSpPr bwMode="auto">
          <a:xfrm>
            <a:off x="58" y="1271"/>
            <a:ext cx="165" cy="56"/>
            <a:chOff x="58" y="1271"/>
            <a:chExt cx="165" cy="56"/>
          </a:xfrm>
        </xdr:grpSpPr>
        <xdr:sp macro="" textlink="">
          <xdr:nvSpPr>
            <xdr:cNvPr id="68" name="Line 330">
              <a:extLst>
                <a:ext uri="{FF2B5EF4-FFF2-40B4-BE49-F238E27FC236}">
                  <a16:creationId xmlns:a16="http://schemas.microsoft.com/office/drawing/2014/main" id="{52D0F66F-EB8C-C92C-5506-62EAF9D048E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0" y="1271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9" name="Line 331">
              <a:extLst>
                <a:ext uri="{FF2B5EF4-FFF2-40B4-BE49-F238E27FC236}">
                  <a16:creationId xmlns:a16="http://schemas.microsoft.com/office/drawing/2014/main" id="{0804B717-5EEA-8B74-A8CE-9D27FFB83B2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9" y="1300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70" name="Line 332">
              <a:extLst>
                <a:ext uri="{FF2B5EF4-FFF2-40B4-BE49-F238E27FC236}">
                  <a16:creationId xmlns:a16="http://schemas.microsoft.com/office/drawing/2014/main" id="{D3E009C4-E9A7-C8F8-DCD2-6A58E5D40E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8" y="1327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6" name="Group 333">
            <a:extLst>
              <a:ext uri="{FF2B5EF4-FFF2-40B4-BE49-F238E27FC236}">
                <a16:creationId xmlns:a16="http://schemas.microsoft.com/office/drawing/2014/main" id="{FD7D94D9-F5CB-9054-9A42-3BF9EF84A1B4}"/>
              </a:ext>
            </a:extLst>
          </xdr:cNvPr>
          <xdr:cNvGrpSpPr>
            <a:grpSpLocks/>
          </xdr:cNvGrpSpPr>
        </xdr:nvGrpSpPr>
        <xdr:grpSpPr bwMode="auto">
          <a:xfrm>
            <a:off x="281" y="1272"/>
            <a:ext cx="181" cy="56"/>
            <a:chOff x="49" y="1270"/>
            <a:chExt cx="181" cy="56"/>
          </a:xfrm>
        </xdr:grpSpPr>
        <xdr:sp macro="" textlink="">
          <xdr:nvSpPr>
            <xdr:cNvPr id="65" name="Line 334">
              <a:extLst>
                <a:ext uri="{FF2B5EF4-FFF2-40B4-BE49-F238E27FC236}">
                  <a16:creationId xmlns:a16="http://schemas.microsoft.com/office/drawing/2014/main" id="{D82A5BE0-9EB9-EC1D-F447-22CC38A8180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1" y="1270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66" name="Line 335">
              <a:extLst>
                <a:ext uri="{FF2B5EF4-FFF2-40B4-BE49-F238E27FC236}">
                  <a16:creationId xmlns:a16="http://schemas.microsoft.com/office/drawing/2014/main" id="{B90C6D72-587D-68FD-6700-28F31F46206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9" y="1297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67" name="Line 336">
              <a:extLst>
                <a:ext uri="{FF2B5EF4-FFF2-40B4-BE49-F238E27FC236}">
                  <a16:creationId xmlns:a16="http://schemas.microsoft.com/office/drawing/2014/main" id="{BC5295D2-861B-1EE6-AB9E-68194CE1F1F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0" y="1326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7" name="Group 337">
            <a:extLst>
              <a:ext uri="{FF2B5EF4-FFF2-40B4-BE49-F238E27FC236}">
                <a16:creationId xmlns:a16="http://schemas.microsoft.com/office/drawing/2014/main" id="{F4E67FEC-DA78-636E-4728-7DF525795B26}"/>
              </a:ext>
            </a:extLst>
          </xdr:cNvPr>
          <xdr:cNvGrpSpPr>
            <a:grpSpLocks/>
          </xdr:cNvGrpSpPr>
        </xdr:nvGrpSpPr>
        <xdr:grpSpPr bwMode="auto">
          <a:xfrm>
            <a:off x="521" y="1272"/>
            <a:ext cx="164" cy="55"/>
            <a:chOff x="64" y="1271"/>
            <a:chExt cx="164" cy="55"/>
          </a:xfrm>
        </xdr:grpSpPr>
        <xdr:sp macro="" textlink="">
          <xdr:nvSpPr>
            <xdr:cNvPr id="62" name="Line 338">
              <a:extLst>
                <a:ext uri="{FF2B5EF4-FFF2-40B4-BE49-F238E27FC236}">
                  <a16:creationId xmlns:a16="http://schemas.microsoft.com/office/drawing/2014/main" id="{79E845CB-737B-B81E-A1B7-1A3EAD5B680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4" y="1271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3" name="Line 339">
              <a:extLst>
                <a:ext uri="{FF2B5EF4-FFF2-40B4-BE49-F238E27FC236}">
                  <a16:creationId xmlns:a16="http://schemas.microsoft.com/office/drawing/2014/main" id="{D1671941-E64C-14BB-6D7A-F9C687F8F6F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5" y="1298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4" name="Line 340">
              <a:extLst>
                <a:ext uri="{FF2B5EF4-FFF2-40B4-BE49-F238E27FC236}">
                  <a16:creationId xmlns:a16="http://schemas.microsoft.com/office/drawing/2014/main" id="{5AF4A555-91B7-3235-EC1D-AA8E9EAF777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5" y="1326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8" name="Group 341">
            <a:extLst>
              <a:ext uri="{FF2B5EF4-FFF2-40B4-BE49-F238E27FC236}">
                <a16:creationId xmlns:a16="http://schemas.microsoft.com/office/drawing/2014/main" id="{82E79840-8C0C-4AAF-66EA-64B2DB5431D1}"/>
              </a:ext>
            </a:extLst>
          </xdr:cNvPr>
          <xdr:cNvGrpSpPr>
            <a:grpSpLocks/>
          </xdr:cNvGrpSpPr>
        </xdr:nvGrpSpPr>
        <xdr:grpSpPr bwMode="auto">
          <a:xfrm>
            <a:off x="751" y="1269"/>
            <a:ext cx="165" cy="57"/>
            <a:chOff x="62" y="1269"/>
            <a:chExt cx="165" cy="57"/>
          </a:xfrm>
        </xdr:grpSpPr>
        <xdr:sp macro="" textlink="">
          <xdr:nvSpPr>
            <xdr:cNvPr id="59" name="Line 342">
              <a:extLst>
                <a:ext uri="{FF2B5EF4-FFF2-40B4-BE49-F238E27FC236}">
                  <a16:creationId xmlns:a16="http://schemas.microsoft.com/office/drawing/2014/main" id="{82D94132-F15F-150E-D4C5-A6E71F25A53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4" y="1269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" name="Line 343">
              <a:extLst>
                <a:ext uri="{FF2B5EF4-FFF2-40B4-BE49-F238E27FC236}">
                  <a16:creationId xmlns:a16="http://schemas.microsoft.com/office/drawing/2014/main" id="{6643DC98-DAA4-C4E0-41A9-6F9C3803B3D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3" y="1297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61" name="Line 344">
              <a:extLst>
                <a:ext uri="{FF2B5EF4-FFF2-40B4-BE49-F238E27FC236}">
                  <a16:creationId xmlns:a16="http://schemas.microsoft.com/office/drawing/2014/main" id="{23A1D627-55E6-DB5F-5F62-4E8EA36710C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2" y="1326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269184</xdr:colOff>
      <xdr:row>32</xdr:row>
      <xdr:rowOff>40171</xdr:rowOff>
    </xdr:from>
    <xdr:to>
      <xdr:col>20</xdr:col>
      <xdr:colOff>269184</xdr:colOff>
      <xdr:row>41</xdr:row>
      <xdr:rowOff>21121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2F5DFE8F-3FFD-4932-8788-81642612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68" t="34441" r="23055" b="34743"/>
        <a:stretch>
          <a:fillRect/>
        </a:stretch>
      </xdr:blipFill>
      <xdr:spPr bwMode="auto">
        <a:xfrm>
          <a:off x="12048434" y="6987071"/>
          <a:ext cx="48006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7040</xdr:colOff>
      <xdr:row>20</xdr:row>
      <xdr:rowOff>53355</xdr:rowOff>
    </xdr:from>
    <xdr:to>
      <xdr:col>20</xdr:col>
      <xdr:colOff>588065</xdr:colOff>
      <xdr:row>33</xdr:row>
      <xdr:rowOff>17533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8B39D564-0FD9-4C16-B142-B06F17C6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64" t="24168" r="28320" b="38670"/>
        <a:stretch>
          <a:fillRect/>
        </a:stretch>
      </xdr:blipFill>
      <xdr:spPr bwMode="auto">
        <a:xfrm>
          <a:off x="11786290" y="4409455"/>
          <a:ext cx="5381625" cy="2770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179004</xdr:colOff>
      <xdr:row>0</xdr:row>
      <xdr:rowOff>99191</xdr:rowOff>
    </xdr:from>
    <xdr:to>
      <xdr:col>3</xdr:col>
      <xdr:colOff>254148</xdr:colOff>
      <xdr:row>3</xdr:row>
      <xdr:rowOff>89666</xdr:rowOff>
    </xdr:to>
    <xdr:pic>
      <xdr:nvPicPr>
        <xdr:cNvPr id="4" name="Picture 2" descr="Cerro Verde">
          <a:extLst>
            <a:ext uri="{FF2B5EF4-FFF2-40B4-BE49-F238E27FC236}">
              <a16:creationId xmlns:a16="http://schemas.microsoft.com/office/drawing/2014/main" id="{B62BDDEF-6358-4676-BA68-2303E044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454" y="99191"/>
          <a:ext cx="101494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836543</xdr:colOff>
      <xdr:row>0</xdr:row>
      <xdr:rowOff>33130</xdr:rowOff>
    </xdr:from>
    <xdr:to>
      <xdr:col>9</xdr:col>
      <xdr:colOff>881446</xdr:colOff>
      <xdr:row>2</xdr:row>
      <xdr:rowOff>133521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02CD01-5ABE-4673-9C4B-BB170464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4193" y="33130"/>
          <a:ext cx="1175203" cy="570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8916</xdr:colOff>
      <xdr:row>8</xdr:row>
      <xdr:rowOff>100219</xdr:rowOff>
    </xdr:from>
    <xdr:to>
      <xdr:col>7</xdr:col>
      <xdr:colOff>724456</xdr:colOff>
      <xdr:row>8</xdr:row>
      <xdr:rowOff>100220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715E911-10CF-4017-ACDA-99EC33AF55F6}"/>
            </a:ext>
          </a:extLst>
        </xdr:cNvPr>
        <xdr:cNvCxnSpPr/>
      </xdr:nvCxnSpPr>
      <xdr:spPr>
        <a:xfrm flipV="1">
          <a:off x="2155216" y="2157619"/>
          <a:ext cx="3077740" cy="1"/>
        </a:xfrm>
        <a:prstGeom prst="line">
          <a:avLst/>
        </a:prstGeom>
        <a:ln w="9525"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725294</xdr:colOff>
      <xdr:row>8</xdr:row>
      <xdr:rowOff>100825</xdr:rowOff>
    </xdr:from>
    <xdr:to>
      <xdr:col>8</xdr:col>
      <xdr:colOff>654326</xdr:colOff>
      <xdr:row>8</xdr:row>
      <xdr:rowOff>260488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4F4BFD0-6B7D-4575-A707-E994330CA15A}"/>
            </a:ext>
          </a:extLst>
        </xdr:cNvPr>
        <xdr:cNvCxnSpPr/>
      </xdr:nvCxnSpPr>
      <xdr:spPr>
        <a:xfrm>
          <a:off x="5233794" y="2158225"/>
          <a:ext cx="748182" cy="159663"/>
        </a:xfrm>
        <a:prstGeom prst="line">
          <a:avLst/>
        </a:prstGeom>
        <a:ln w="9525">
          <a:solidFill>
            <a:srgbClr val="00206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70556</xdr:colOff>
      <xdr:row>15</xdr:row>
      <xdr:rowOff>124240</xdr:rowOff>
    </xdr:from>
    <xdr:to>
      <xdr:col>12</xdr:col>
      <xdr:colOff>971551</xdr:colOff>
      <xdr:row>21</xdr:row>
      <xdr:rowOff>128796</xdr:rowOff>
    </xdr:to>
    <xdr:grpSp>
      <xdr:nvGrpSpPr>
        <xdr:cNvPr id="8" name="36 Grupo">
          <a:extLst>
            <a:ext uri="{FF2B5EF4-FFF2-40B4-BE49-F238E27FC236}">
              <a16:creationId xmlns:a16="http://schemas.microsoft.com/office/drawing/2014/main" id="{5569F77B-BD64-49A6-A59E-7C6E624050FB}"/>
            </a:ext>
          </a:extLst>
        </xdr:cNvPr>
        <xdr:cNvGrpSpPr/>
      </xdr:nvGrpSpPr>
      <xdr:grpSpPr>
        <a:xfrm>
          <a:off x="8362909" y="3378428"/>
          <a:ext cx="3375254" cy="1295474"/>
          <a:chOff x="71438" y="6592573"/>
          <a:chExt cx="8748220" cy="814568"/>
        </a:xfrm>
      </xdr:grpSpPr>
      <xdr:cxnSp macro="">
        <xdr:nvCxnSpPr>
          <xdr:cNvPr id="9" name="32 Conector recto">
            <a:extLst>
              <a:ext uri="{FF2B5EF4-FFF2-40B4-BE49-F238E27FC236}">
                <a16:creationId xmlns:a16="http://schemas.microsoft.com/office/drawing/2014/main" id="{AEC0271F-132E-2148-CF9E-08956C3EFDE3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33 Conector recto">
            <a:extLst>
              <a:ext uri="{FF2B5EF4-FFF2-40B4-BE49-F238E27FC236}">
                <a16:creationId xmlns:a16="http://schemas.microsoft.com/office/drawing/2014/main" id="{9490406C-4397-EEA1-DC01-426566FD0F2D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105833</xdr:colOff>
      <xdr:row>23</xdr:row>
      <xdr:rowOff>108099</xdr:rowOff>
    </xdr:from>
    <xdr:to>
      <xdr:col>12</xdr:col>
      <xdr:colOff>979830</xdr:colOff>
      <xdr:row>29</xdr:row>
      <xdr:rowOff>189259</xdr:rowOff>
    </xdr:to>
    <xdr:grpSp>
      <xdr:nvGrpSpPr>
        <xdr:cNvPr id="11" name="36 Grupo">
          <a:extLst>
            <a:ext uri="{FF2B5EF4-FFF2-40B4-BE49-F238E27FC236}">
              <a16:creationId xmlns:a16="http://schemas.microsoft.com/office/drawing/2014/main" id="{EB389D18-7410-4D42-BD01-FC40D8509987}"/>
            </a:ext>
          </a:extLst>
        </xdr:cNvPr>
        <xdr:cNvGrpSpPr/>
      </xdr:nvGrpSpPr>
      <xdr:grpSpPr>
        <a:xfrm>
          <a:off x="8398186" y="5083511"/>
          <a:ext cx="3348256" cy="1372077"/>
          <a:chOff x="71438" y="6592573"/>
          <a:chExt cx="8748220" cy="814568"/>
        </a:xfrm>
      </xdr:grpSpPr>
      <xdr:cxnSp macro="">
        <xdr:nvCxnSpPr>
          <xdr:cNvPr id="12" name="32 Conector recto">
            <a:extLst>
              <a:ext uri="{FF2B5EF4-FFF2-40B4-BE49-F238E27FC236}">
                <a16:creationId xmlns:a16="http://schemas.microsoft.com/office/drawing/2014/main" id="{01FE4379-3EAF-EFBF-4EE3-4FFD3CF56E50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33 Conector recto">
            <a:extLst>
              <a:ext uri="{FF2B5EF4-FFF2-40B4-BE49-F238E27FC236}">
                <a16:creationId xmlns:a16="http://schemas.microsoft.com/office/drawing/2014/main" id="{5231D3A8-A1F6-3E93-D767-FA9EB61302EC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126999</xdr:colOff>
      <xdr:row>31</xdr:row>
      <xdr:rowOff>137307</xdr:rowOff>
    </xdr:from>
    <xdr:to>
      <xdr:col>12</xdr:col>
      <xdr:colOff>947112</xdr:colOff>
      <xdr:row>35</xdr:row>
      <xdr:rowOff>153644</xdr:rowOff>
    </xdr:to>
    <xdr:grpSp>
      <xdr:nvGrpSpPr>
        <xdr:cNvPr id="14" name="36 Grupo">
          <a:extLst>
            <a:ext uri="{FF2B5EF4-FFF2-40B4-BE49-F238E27FC236}">
              <a16:creationId xmlns:a16="http://schemas.microsoft.com/office/drawing/2014/main" id="{10F1E520-1DF0-475C-AAE6-DBD9131791AF}"/>
            </a:ext>
          </a:extLst>
        </xdr:cNvPr>
        <xdr:cNvGrpSpPr/>
      </xdr:nvGrpSpPr>
      <xdr:grpSpPr>
        <a:xfrm>
          <a:off x="8419352" y="6833942"/>
          <a:ext cx="3294372" cy="876949"/>
          <a:chOff x="71438" y="6592573"/>
          <a:chExt cx="8748220" cy="814568"/>
        </a:xfrm>
      </xdr:grpSpPr>
      <xdr:cxnSp macro="">
        <xdr:nvCxnSpPr>
          <xdr:cNvPr id="15" name="32 Conector recto">
            <a:extLst>
              <a:ext uri="{FF2B5EF4-FFF2-40B4-BE49-F238E27FC236}">
                <a16:creationId xmlns:a16="http://schemas.microsoft.com/office/drawing/2014/main" id="{1BD2D973-CB05-C458-B730-EF1548E6ED8D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33 Conector recto">
            <a:extLst>
              <a:ext uri="{FF2B5EF4-FFF2-40B4-BE49-F238E27FC236}">
                <a16:creationId xmlns:a16="http://schemas.microsoft.com/office/drawing/2014/main" id="{63053CB8-0C88-4152-18F5-262EC9AF1AC8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91722</xdr:colOff>
      <xdr:row>37</xdr:row>
      <xdr:rowOff>152679</xdr:rowOff>
    </xdr:from>
    <xdr:to>
      <xdr:col>12</xdr:col>
      <xdr:colOff>971548</xdr:colOff>
      <xdr:row>43</xdr:row>
      <xdr:rowOff>153645</xdr:rowOff>
    </xdr:to>
    <xdr:grpSp>
      <xdr:nvGrpSpPr>
        <xdr:cNvPr id="17" name="36 Grupo">
          <a:extLst>
            <a:ext uri="{FF2B5EF4-FFF2-40B4-BE49-F238E27FC236}">
              <a16:creationId xmlns:a16="http://schemas.microsoft.com/office/drawing/2014/main" id="{FBBDCCF0-B06A-4E0D-8919-39EE46389DA2}"/>
            </a:ext>
          </a:extLst>
        </xdr:cNvPr>
        <xdr:cNvGrpSpPr/>
      </xdr:nvGrpSpPr>
      <xdr:grpSpPr>
        <a:xfrm>
          <a:off x="8384075" y="8140232"/>
          <a:ext cx="3354085" cy="1291884"/>
          <a:chOff x="71438" y="6592573"/>
          <a:chExt cx="8748220" cy="814568"/>
        </a:xfrm>
      </xdr:grpSpPr>
      <xdr:cxnSp macro="">
        <xdr:nvCxnSpPr>
          <xdr:cNvPr id="18" name="32 Conector recto">
            <a:extLst>
              <a:ext uri="{FF2B5EF4-FFF2-40B4-BE49-F238E27FC236}">
                <a16:creationId xmlns:a16="http://schemas.microsoft.com/office/drawing/2014/main" id="{B484C1E4-97F9-8BAF-854C-5918CACAC017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33 Conector recto">
            <a:extLst>
              <a:ext uri="{FF2B5EF4-FFF2-40B4-BE49-F238E27FC236}">
                <a16:creationId xmlns:a16="http://schemas.microsoft.com/office/drawing/2014/main" id="{898B7DD3-37F6-6096-9E26-EB517320762D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63500</xdr:colOff>
      <xdr:row>45</xdr:row>
      <xdr:rowOff>138727</xdr:rowOff>
    </xdr:from>
    <xdr:to>
      <xdr:col>12</xdr:col>
      <xdr:colOff>963403</xdr:colOff>
      <xdr:row>54</xdr:row>
      <xdr:rowOff>145362</xdr:rowOff>
    </xdr:to>
    <xdr:grpSp>
      <xdr:nvGrpSpPr>
        <xdr:cNvPr id="20" name="36 Grupo">
          <a:extLst>
            <a:ext uri="{FF2B5EF4-FFF2-40B4-BE49-F238E27FC236}">
              <a16:creationId xmlns:a16="http://schemas.microsoft.com/office/drawing/2014/main" id="{FE3A5906-BB63-414D-99AB-19322D9FF139}"/>
            </a:ext>
          </a:extLst>
        </xdr:cNvPr>
        <xdr:cNvGrpSpPr/>
      </xdr:nvGrpSpPr>
      <xdr:grpSpPr>
        <a:xfrm>
          <a:off x="8355853" y="9847503"/>
          <a:ext cx="3374162" cy="1943012"/>
          <a:chOff x="71438" y="6592573"/>
          <a:chExt cx="8748220" cy="814568"/>
        </a:xfrm>
      </xdr:grpSpPr>
      <xdr:cxnSp macro="">
        <xdr:nvCxnSpPr>
          <xdr:cNvPr id="21" name="32 Conector recto">
            <a:extLst>
              <a:ext uri="{FF2B5EF4-FFF2-40B4-BE49-F238E27FC236}">
                <a16:creationId xmlns:a16="http://schemas.microsoft.com/office/drawing/2014/main" id="{4F4D26F3-CF56-148A-78B7-843F4F40D2F6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33 Conector recto">
            <a:extLst>
              <a:ext uri="{FF2B5EF4-FFF2-40B4-BE49-F238E27FC236}">
                <a16:creationId xmlns:a16="http://schemas.microsoft.com/office/drawing/2014/main" id="{E2EB3A10-4EAB-A653-D91A-3D26E6503978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162278</xdr:colOff>
      <xdr:row>56</xdr:row>
      <xdr:rowOff>103883</xdr:rowOff>
    </xdr:from>
    <xdr:to>
      <xdr:col>12</xdr:col>
      <xdr:colOff>971410</xdr:colOff>
      <xdr:row>58</xdr:row>
      <xdr:rowOff>161926</xdr:rowOff>
    </xdr:to>
    <xdr:grpSp>
      <xdr:nvGrpSpPr>
        <xdr:cNvPr id="23" name="36 Grupo">
          <a:extLst>
            <a:ext uri="{FF2B5EF4-FFF2-40B4-BE49-F238E27FC236}">
              <a16:creationId xmlns:a16="http://schemas.microsoft.com/office/drawing/2014/main" id="{819324E4-F716-41D0-825C-935B1A7F842E}"/>
            </a:ext>
          </a:extLst>
        </xdr:cNvPr>
        <xdr:cNvGrpSpPr/>
      </xdr:nvGrpSpPr>
      <xdr:grpSpPr>
        <a:xfrm>
          <a:off x="8454631" y="12179342"/>
          <a:ext cx="3283391" cy="488349"/>
          <a:chOff x="71438" y="6592573"/>
          <a:chExt cx="8748220" cy="814568"/>
        </a:xfrm>
      </xdr:grpSpPr>
      <xdr:cxnSp macro="">
        <xdr:nvCxnSpPr>
          <xdr:cNvPr id="24" name="32 Conector recto">
            <a:extLst>
              <a:ext uri="{FF2B5EF4-FFF2-40B4-BE49-F238E27FC236}">
                <a16:creationId xmlns:a16="http://schemas.microsoft.com/office/drawing/2014/main" id="{FAD0C4B3-A061-C7B7-B947-FEBFD4011116}"/>
              </a:ext>
            </a:extLst>
          </xdr:cNvPr>
          <xdr:cNvCxnSpPr/>
        </xdr:nvCxnSpPr>
        <xdr:spPr>
          <a:xfrm>
            <a:off x="71438" y="6598526"/>
            <a:ext cx="7546879" cy="0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33 Conector recto">
            <a:extLst>
              <a:ext uri="{FF2B5EF4-FFF2-40B4-BE49-F238E27FC236}">
                <a16:creationId xmlns:a16="http://schemas.microsoft.com/office/drawing/2014/main" id="{27E5E349-D060-7E7F-169A-72EDC1A9E0C2}"/>
              </a:ext>
            </a:extLst>
          </xdr:cNvPr>
          <xdr:cNvCxnSpPr/>
        </xdr:nvCxnSpPr>
        <xdr:spPr>
          <a:xfrm>
            <a:off x="7618317" y="6592573"/>
            <a:ext cx="1201341" cy="814568"/>
          </a:xfrm>
          <a:prstGeom prst="line">
            <a:avLst/>
          </a:prstGeom>
          <a:ln w="9525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26</xdr:col>
      <xdr:colOff>616366</xdr:colOff>
      <xdr:row>36</xdr:row>
      <xdr:rowOff>56252</xdr:rowOff>
    </xdr:from>
    <xdr:to>
      <xdr:col>32</xdr:col>
      <xdr:colOff>678529</xdr:colOff>
      <xdr:row>51</xdr:row>
      <xdr:rowOff>114231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7298873-55A2-445C-951A-37E6E1D6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96816" y="7866752"/>
          <a:ext cx="4862763" cy="3296479"/>
        </a:xfrm>
        <a:prstGeom prst="rect">
          <a:avLst/>
        </a:prstGeom>
      </xdr:spPr>
    </xdr:pic>
    <xdr:clientData/>
  </xdr:twoCellAnchor>
  <xdr:twoCellAnchor editAs="oneCell">
    <xdr:from>
      <xdr:col>23</xdr:col>
      <xdr:colOff>221558</xdr:colOff>
      <xdr:row>50</xdr:row>
      <xdr:rowOff>174972</xdr:rowOff>
    </xdr:from>
    <xdr:to>
      <xdr:col>29</xdr:col>
      <xdr:colOff>65356</xdr:colOff>
      <xdr:row>65</xdr:row>
      <xdr:rowOff>1036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08667A2-C8D5-40A8-9F31-5CE8A615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01708" y="11008072"/>
          <a:ext cx="4644398" cy="3140764"/>
        </a:xfrm>
        <a:prstGeom prst="rect">
          <a:avLst/>
        </a:prstGeom>
      </xdr:spPr>
    </xdr:pic>
    <xdr:clientData/>
  </xdr:twoCellAnchor>
  <xdr:twoCellAnchor>
    <xdr:from>
      <xdr:col>1</xdr:col>
      <xdr:colOff>8283</xdr:colOff>
      <xdr:row>66</xdr:row>
      <xdr:rowOff>1421</xdr:rowOff>
    </xdr:from>
    <xdr:to>
      <xdr:col>13</xdr:col>
      <xdr:colOff>5443</xdr:colOff>
      <xdr:row>69</xdr:row>
      <xdr:rowOff>12010</xdr:rowOff>
    </xdr:to>
    <xdr:grpSp>
      <xdr:nvGrpSpPr>
        <xdr:cNvPr id="28" name="Group 324">
          <a:extLst>
            <a:ext uri="{FF2B5EF4-FFF2-40B4-BE49-F238E27FC236}">
              <a16:creationId xmlns:a16="http://schemas.microsoft.com/office/drawing/2014/main" id="{13361B78-FEDE-4D10-BA99-EAD960F0081D}"/>
            </a:ext>
          </a:extLst>
        </xdr:cNvPr>
        <xdr:cNvGrpSpPr>
          <a:grpSpLocks/>
        </xdr:cNvGrpSpPr>
      </xdr:nvGrpSpPr>
      <xdr:grpSpPr bwMode="auto">
        <a:xfrm>
          <a:off x="88965" y="14334565"/>
          <a:ext cx="11920219" cy="1625657"/>
          <a:chOff x="0" y="1211"/>
          <a:chExt cx="928" cy="145"/>
        </a:xfrm>
      </xdr:grpSpPr>
      <xdr:sp macro="" textlink="">
        <xdr:nvSpPr>
          <xdr:cNvPr id="29" name="Rectangle 325">
            <a:extLst>
              <a:ext uri="{FF2B5EF4-FFF2-40B4-BE49-F238E27FC236}">
                <a16:creationId xmlns:a16="http://schemas.microsoft.com/office/drawing/2014/main" id="{C0C1CD4A-660B-1F87-D9FE-A72127A6DD87}"/>
              </a:ext>
            </a:extLst>
          </xdr:cNvPr>
          <xdr:cNvSpPr>
            <a:spLocks noChangeArrowheads="1"/>
          </xdr:cNvSpPr>
        </xdr:nvSpPr>
        <xdr:spPr bwMode="auto">
          <a:xfrm>
            <a:off x="0" y="1211"/>
            <a:ext cx="226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Elaborado por Técnico Laboratorio QC: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30" name="Rectangle 326">
            <a:extLst>
              <a:ext uri="{FF2B5EF4-FFF2-40B4-BE49-F238E27FC236}">
                <a16:creationId xmlns:a16="http://schemas.microsoft.com/office/drawing/2014/main" id="{A7D22C3B-9737-FD0D-0628-A9424276CF26}"/>
              </a:ext>
            </a:extLst>
          </xdr:cNvPr>
          <xdr:cNvSpPr>
            <a:spLocks noChangeArrowheads="1"/>
          </xdr:cNvSpPr>
        </xdr:nvSpPr>
        <xdr:spPr bwMode="auto">
          <a:xfrm>
            <a:off x="464" y="1211"/>
            <a:ext cx="229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Revisado por Jefe de Laboratorio QA: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31" name="Rectangle 327">
            <a:extLst>
              <a:ext uri="{FF2B5EF4-FFF2-40B4-BE49-F238E27FC236}">
                <a16:creationId xmlns:a16="http://schemas.microsoft.com/office/drawing/2014/main" id="{1CF01F2D-9624-9F5B-1678-DFB66CA5969E}"/>
              </a:ext>
            </a:extLst>
          </xdr:cNvPr>
          <xdr:cNvSpPr>
            <a:spLocks noChangeArrowheads="1"/>
          </xdr:cNvSpPr>
        </xdr:nvSpPr>
        <xdr:spPr bwMode="auto">
          <a:xfrm>
            <a:off x="226" y="1211"/>
            <a:ext cx="238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Revisado por Jefe de Laboratorio QC:</a:t>
            </a:r>
            <a:b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Nombre: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Fecha:	</a:t>
            </a:r>
          </a:p>
          <a:p>
            <a:pPr algn="l" rtl="0">
              <a:defRPr sz="1000"/>
            </a:pPr>
            <a:endParaRPr lang="es-PE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sp macro="" textlink="">
        <xdr:nvSpPr>
          <xdr:cNvPr id="32" name="Rectangle 328">
            <a:extLst>
              <a:ext uri="{FF2B5EF4-FFF2-40B4-BE49-F238E27FC236}">
                <a16:creationId xmlns:a16="http://schemas.microsoft.com/office/drawing/2014/main" id="{1A8E39DE-1EB8-16B4-A5DB-763412612866}"/>
              </a:ext>
            </a:extLst>
          </xdr:cNvPr>
          <xdr:cNvSpPr>
            <a:spLocks noChangeArrowheads="1"/>
          </xdr:cNvSpPr>
        </xdr:nvSpPr>
        <xdr:spPr bwMode="auto">
          <a:xfrm>
            <a:off x="693" y="1211"/>
            <a:ext cx="235" cy="14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Aprobado por SMCV:</a:t>
            </a:r>
          </a:p>
          <a:p>
            <a:pPr algn="l" rtl="0">
              <a:defRPr sz="1000"/>
            </a:pPr>
            <a:b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</a:b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Nombre:</a:t>
            </a:r>
          </a:p>
          <a:p>
            <a:pPr algn="l" rtl="0">
              <a:defRPr sz="1000"/>
            </a:pP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Fecha:</a:t>
            </a:r>
          </a:p>
          <a:p>
            <a:pPr algn="l" rtl="0">
              <a:defRPr sz="1000"/>
            </a:pPr>
            <a:endParaRPr lang="es-PE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1000" b="0" i="0" strike="noStrike">
                <a:solidFill>
                  <a:srgbClr val="000000"/>
                </a:solidFill>
                <a:latin typeface="Arial"/>
                <a:cs typeface="Arial"/>
              </a:rPr>
              <a:t>Firma:</a:t>
            </a:r>
          </a:p>
        </xdr:txBody>
      </xdr:sp>
      <xdr:grpSp>
        <xdr:nvGrpSpPr>
          <xdr:cNvPr id="33" name="Group 329">
            <a:extLst>
              <a:ext uri="{FF2B5EF4-FFF2-40B4-BE49-F238E27FC236}">
                <a16:creationId xmlns:a16="http://schemas.microsoft.com/office/drawing/2014/main" id="{ECF73663-9521-AD1C-5AA9-846526EE9363}"/>
              </a:ext>
            </a:extLst>
          </xdr:cNvPr>
          <xdr:cNvGrpSpPr>
            <a:grpSpLocks/>
          </xdr:cNvGrpSpPr>
        </xdr:nvGrpSpPr>
        <xdr:grpSpPr bwMode="auto">
          <a:xfrm>
            <a:off x="58" y="1271"/>
            <a:ext cx="165" cy="56"/>
            <a:chOff x="58" y="1271"/>
            <a:chExt cx="165" cy="56"/>
          </a:xfrm>
        </xdr:grpSpPr>
        <xdr:sp macro="" textlink="">
          <xdr:nvSpPr>
            <xdr:cNvPr id="46" name="Line 330">
              <a:extLst>
                <a:ext uri="{FF2B5EF4-FFF2-40B4-BE49-F238E27FC236}">
                  <a16:creationId xmlns:a16="http://schemas.microsoft.com/office/drawing/2014/main" id="{FB711620-54D4-6C5D-C75F-7BC5547799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0" y="1271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" name="Line 331">
              <a:extLst>
                <a:ext uri="{FF2B5EF4-FFF2-40B4-BE49-F238E27FC236}">
                  <a16:creationId xmlns:a16="http://schemas.microsoft.com/office/drawing/2014/main" id="{F68EF159-C27F-9D6B-043C-68DC1457E0C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9" y="1300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48" name="Line 332">
              <a:extLst>
                <a:ext uri="{FF2B5EF4-FFF2-40B4-BE49-F238E27FC236}">
                  <a16:creationId xmlns:a16="http://schemas.microsoft.com/office/drawing/2014/main" id="{55292E33-CF18-A5B1-A94A-5C4C23DC0E1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8" y="1327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4" name="Group 333">
            <a:extLst>
              <a:ext uri="{FF2B5EF4-FFF2-40B4-BE49-F238E27FC236}">
                <a16:creationId xmlns:a16="http://schemas.microsoft.com/office/drawing/2014/main" id="{52F43F88-F45E-B4E8-C87B-020E30F7FC9A}"/>
              </a:ext>
            </a:extLst>
          </xdr:cNvPr>
          <xdr:cNvGrpSpPr>
            <a:grpSpLocks/>
          </xdr:cNvGrpSpPr>
        </xdr:nvGrpSpPr>
        <xdr:grpSpPr bwMode="auto">
          <a:xfrm>
            <a:off x="281" y="1272"/>
            <a:ext cx="181" cy="56"/>
            <a:chOff x="49" y="1270"/>
            <a:chExt cx="181" cy="56"/>
          </a:xfrm>
        </xdr:grpSpPr>
        <xdr:sp macro="" textlink="">
          <xdr:nvSpPr>
            <xdr:cNvPr id="43" name="Line 334">
              <a:extLst>
                <a:ext uri="{FF2B5EF4-FFF2-40B4-BE49-F238E27FC236}">
                  <a16:creationId xmlns:a16="http://schemas.microsoft.com/office/drawing/2014/main" id="{4170C85A-AC64-9AF8-B010-6587649015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1" y="1270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44" name="Line 335">
              <a:extLst>
                <a:ext uri="{FF2B5EF4-FFF2-40B4-BE49-F238E27FC236}">
                  <a16:creationId xmlns:a16="http://schemas.microsoft.com/office/drawing/2014/main" id="{6081A009-E4DA-B678-8DA4-ED7344B96A3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9" y="1297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45" name="Line 336">
              <a:extLst>
                <a:ext uri="{FF2B5EF4-FFF2-40B4-BE49-F238E27FC236}">
                  <a16:creationId xmlns:a16="http://schemas.microsoft.com/office/drawing/2014/main" id="{AF1019FA-A3D7-D766-3E7D-CA30928418F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50" y="1326"/>
              <a:ext cx="17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5" name="Group 337">
            <a:extLst>
              <a:ext uri="{FF2B5EF4-FFF2-40B4-BE49-F238E27FC236}">
                <a16:creationId xmlns:a16="http://schemas.microsoft.com/office/drawing/2014/main" id="{1373794D-9F0D-A63B-25C3-B01A683BF630}"/>
              </a:ext>
            </a:extLst>
          </xdr:cNvPr>
          <xdr:cNvGrpSpPr>
            <a:grpSpLocks/>
          </xdr:cNvGrpSpPr>
        </xdr:nvGrpSpPr>
        <xdr:grpSpPr bwMode="auto">
          <a:xfrm>
            <a:off x="521" y="1272"/>
            <a:ext cx="164" cy="55"/>
            <a:chOff x="64" y="1271"/>
            <a:chExt cx="164" cy="55"/>
          </a:xfrm>
        </xdr:grpSpPr>
        <xdr:sp macro="" textlink="">
          <xdr:nvSpPr>
            <xdr:cNvPr id="40" name="Line 338">
              <a:extLst>
                <a:ext uri="{FF2B5EF4-FFF2-40B4-BE49-F238E27FC236}">
                  <a16:creationId xmlns:a16="http://schemas.microsoft.com/office/drawing/2014/main" id="{FF71ABEB-AE31-2889-E406-42F9E201CA0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4" y="1271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Line 339">
              <a:extLst>
                <a:ext uri="{FF2B5EF4-FFF2-40B4-BE49-F238E27FC236}">
                  <a16:creationId xmlns:a16="http://schemas.microsoft.com/office/drawing/2014/main" id="{071CB0B3-030B-E86F-35D9-A267CC0D367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5" y="1298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" name="Line 340">
              <a:extLst>
                <a:ext uri="{FF2B5EF4-FFF2-40B4-BE49-F238E27FC236}">
                  <a16:creationId xmlns:a16="http://schemas.microsoft.com/office/drawing/2014/main" id="{A235C32A-05E7-0442-EA2C-4E7C2DB216B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5" y="1326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36" name="Group 341">
            <a:extLst>
              <a:ext uri="{FF2B5EF4-FFF2-40B4-BE49-F238E27FC236}">
                <a16:creationId xmlns:a16="http://schemas.microsoft.com/office/drawing/2014/main" id="{8365692D-7B08-14B3-148A-F7B44B5FCD13}"/>
              </a:ext>
            </a:extLst>
          </xdr:cNvPr>
          <xdr:cNvGrpSpPr>
            <a:grpSpLocks/>
          </xdr:cNvGrpSpPr>
        </xdr:nvGrpSpPr>
        <xdr:grpSpPr bwMode="auto">
          <a:xfrm>
            <a:off x="751" y="1269"/>
            <a:ext cx="165" cy="57"/>
            <a:chOff x="62" y="1269"/>
            <a:chExt cx="165" cy="57"/>
          </a:xfrm>
        </xdr:grpSpPr>
        <xdr:sp macro="" textlink="">
          <xdr:nvSpPr>
            <xdr:cNvPr id="37" name="Line 342">
              <a:extLst>
                <a:ext uri="{FF2B5EF4-FFF2-40B4-BE49-F238E27FC236}">
                  <a16:creationId xmlns:a16="http://schemas.microsoft.com/office/drawing/2014/main" id="{3804FC98-4844-891B-5F90-9F1A34DCF8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4" y="1269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8" name="Line 343">
              <a:extLst>
                <a:ext uri="{FF2B5EF4-FFF2-40B4-BE49-F238E27FC236}">
                  <a16:creationId xmlns:a16="http://schemas.microsoft.com/office/drawing/2014/main" id="{E2CCAB1F-B3DF-B6DE-19A7-D8921297CFF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3" y="1297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es-PE"/>
            </a:p>
          </xdr:txBody>
        </xdr:sp>
        <xdr:sp macro="" textlink="">
          <xdr:nvSpPr>
            <xdr:cNvPr id="39" name="Line 344">
              <a:extLst>
                <a:ext uri="{FF2B5EF4-FFF2-40B4-BE49-F238E27FC236}">
                  <a16:creationId xmlns:a16="http://schemas.microsoft.com/office/drawing/2014/main" id="{AEACCFAE-8790-9CB7-9F19-159EDBD82DC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2" y="1326"/>
              <a:ext cx="16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9BD7-5E78-41D6-8BBC-E85AA17E7221}">
  <sheetPr>
    <pageSetUpPr fitToPage="1"/>
  </sheetPr>
  <dimension ref="B1:CJ84"/>
  <sheetViews>
    <sheetView showGridLines="0" tabSelected="1" view="pageBreakPreview" zoomScale="70" zoomScaleNormal="80" zoomScaleSheetLayoutView="70" workbookViewId="0">
      <selection activeCell="K30" sqref="K30"/>
    </sheetView>
  </sheetViews>
  <sheetFormatPr baseColWidth="10" defaultColWidth="11.5" defaultRowHeight="13.2"/>
  <cols>
    <col min="1" max="1" width="1" style="89" customWidth="1"/>
    <col min="2" max="2" width="3.19921875" style="89" customWidth="1"/>
    <col min="3" max="3" width="13.5" style="89" customWidth="1"/>
    <col min="4" max="4" width="16.296875" style="89" customWidth="1"/>
    <col min="5" max="5" width="14.09765625" style="89" customWidth="1"/>
    <col min="6" max="6" width="8.5" style="89" customWidth="1"/>
    <col min="7" max="7" width="13.796875" style="89" customWidth="1"/>
    <col min="8" max="8" width="12.3984375" style="89" customWidth="1"/>
    <col min="9" max="9" width="18.296875" style="89" customWidth="1"/>
    <col min="10" max="10" width="17.796875" style="89" customWidth="1"/>
    <col min="11" max="11" width="18" style="89" customWidth="1"/>
    <col min="12" max="12" width="17.8984375" style="89" customWidth="1"/>
    <col min="13" max="13" width="18.09765625" style="89" customWidth="1"/>
    <col min="14" max="22" width="11.5" style="89"/>
    <col min="23" max="23" width="16.19921875" style="89" customWidth="1"/>
    <col min="24" max="24" width="14.5" style="89" customWidth="1"/>
    <col min="25" max="26" width="11.5" style="89"/>
    <col min="27" max="27" width="11.5" style="89" customWidth="1"/>
    <col min="28" max="34" width="11.5" style="89"/>
    <col min="35" max="35" width="20.5" style="89" customWidth="1"/>
    <col min="36" max="16384" width="11.5" style="89"/>
  </cols>
  <sheetData>
    <row r="1" spans="2:88" s="13" customFormat="1" ht="18.75" customHeight="1">
      <c r="B1" s="1"/>
      <c r="C1" s="2"/>
      <c r="D1" s="2"/>
      <c r="E1" s="3" t="s">
        <v>0</v>
      </c>
      <c r="F1" s="4"/>
      <c r="G1" s="5"/>
      <c r="H1" s="6"/>
      <c r="I1" s="6"/>
      <c r="J1" s="7"/>
      <c r="K1" s="8" t="s">
        <v>1</v>
      </c>
      <c r="L1" s="6"/>
      <c r="M1" s="9" t="s">
        <v>2</v>
      </c>
      <c r="N1" s="10"/>
      <c r="O1" s="11"/>
      <c r="P1" s="11"/>
      <c r="Q1" s="11"/>
      <c r="R1" s="12"/>
    </row>
    <row r="2" spans="2:88" s="12" customFormat="1" ht="18.75" customHeight="1">
      <c r="B2" s="14"/>
      <c r="C2" s="15"/>
      <c r="D2" s="15"/>
      <c r="E2" s="16" t="s">
        <v>3</v>
      </c>
      <c r="F2" s="17"/>
      <c r="G2" s="18"/>
      <c r="H2" s="19"/>
      <c r="I2" s="19"/>
      <c r="J2" s="20"/>
      <c r="K2" s="21" t="s">
        <v>4</v>
      </c>
      <c r="L2" s="19"/>
      <c r="M2" s="22">
        <v>2</v>
      </c>
      <c r="N2" s="11"/>
      <c r="O2" s="11"/>
      <c r="P2" s="11"/>
      <c r="Q2" s="11"/>
      <c r="R2" s="11"/>
    </row>
    <row r="3" spans="2:88" s="12" customFormat="1" ht="18.75" customHeight="1">
      <c r="B3" s="14"/>
      <c r="C3" s="15"/>
      <c r="D3" s="15"/>
      <c r="E3" s="16" t="s">
        <v>78</v>
      </c>
      <c r="F3" s="17"/>
      <c r="G3" s="23"/>
      <c r="H3" s="24"/>
      <c r="I3" s="24"/>
      <c r="J3" s="25"/>
      <c r="K3" s="21" t="s">
        <v>5</v>
      </c>
      <c r="L3" s="24"/>
      <c r="M3" s="26">
        <v>45659</v>
      </c>
      <c r="N3" s="24"/>
      <c r="O3" s="24"/>
      <c r="P3" s="24"/>
      <c r="Q3" s="24"/>
      <c r="R3" s="24"/>
    </row>
    <row r="4" spans="2:88" s="33" customFormat="1" ht="18.75" customHeight="1">
      <c r="B4" s="27"/>
      <c r="C4" s="28"/>
      <c r="D4" s="28"/>
      <c r="E4" s="28"/>
      <c r="F4" s="28"/>
      <c r="G4" s="29"/>
      <c r="H4" s="29"/>
      <c r="I4" s="29"/>
      <c r="J4" s="30"/>
      <c r="K4" s="31" t="s">
        <v>6</v>
      </c>
      <c r="L4" s="29"/>
      <c r="M4" s="32" t="s">
        <v>7</v>
      </c>
      <c r="O4" s="34"/>
      <c r="P4" s="359"/>
      <c r="Q4" s="359"/>
      <c r="R4" s="359"/>
      <c r="AL4" s="36"/>
      <c r="AM4" s="37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7"/>
      <c r="BJ4" s="37"/>
      <c r="BK4" s="37"/>
      <c r="BL4" s="37"/>
      <c r="BM4" s="37"/>
      <c r="BN4" s="39"/>
      <c r="BO4" s="39"/>
      <c r="BP4" s="39"/>
      <c r="BQ4" s="39"/>
      <c r="BR4" s="39"/>
      <c r="BS4" s="39"/>
      <c r="BT4" s="40"/>
      <c r="BU4" s="40"/>
      <c r="BV4" s="40"/>
      <c r="BW4" s="39"/>
      <c r="BX4" s="41"/>
      <c r="BY4" s="42"/>
      <c r="BZ4" s="42"/>
      <c r="CA4" s="42"/>
      <c r="CB4" s="42"/>
      <c r="CC4" s="42"/>
      <c r="CD4" s="42"/>
      <c r="CE4" s="41"/>
      <c r="CF4" s="43"/>
      <c r="CG4" s="44"/>
      <c r="CH4" s="45"/>
      <c r="CI4" s="45"/>
      <c r="CJ4" s="41"/>
    </row>
    <row r="5" spans="2:88" s="33" customFormat="1" ht="22.05" customHeight="1">
      <c r="B5" s="46" t="s">
        <v>8</v>
      </c>
      <c r="C5" s="47" t="s">
        <v>8</v>
      </c>
      <c r="D5" s="47"/>
      <c r="E5" s="113" t="s">
        <v>79</v>
      </c>
      <c r="F5" s="48"/>
      <c r="G5" s="49"/>
      <c r="H5" s="49"/>
      <c r="I5" s="49"/>
      <c r="J5" s="50" t="s">
        <v>9</v>
      </c>
      <c r="L5" s="165" t="s">
        <v>135</v>
      </c>
      <c r="M5" s="51"/>
      <c r="O5" s="34"/>
      <c r="P5" s="35"/>
      <c r="Q5" s="35"/>
      <c r="R5" s="35"/>
      <c r="AL5" s="36"/>
      <c r="AM5" s="37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7"/>
      <c r="BJ5" s="37"/>
      <c r="BK5" s="37"/>
      <c r="BL5" s="37"/>
      <c r="BM5" s="37"/>
      <c r="BN5" s="39"/>
      <c r="BO5" s="39"/>
      <c r="BP5" s="39"/>
      <c r="BQ5" s="39"/>
      <c r="BR5" s="39"/>
      <c r="BS5" s="39"/>
      <c r="BT5" s="40"/>
      <c r="BU5" s="40"/>
      <c r="BV5" s="40"/>
      <c r="BW5" s="39"/>
      <c r="BX5" s="41"/>
      <c r="BY5" s="42"/>
      <c r="BZ5" s="42"/>
      <c r="CA5" s="42"/>
      <c r="CB5" s="42"/>
      <c r="CC5" s="42"/>
      <c r="CD5" s="42"/>
      <c r="CE5" s="41"/>
      <c r="CF5" s="43"/>
      <c r="CG5" s="44"/>
      <c r="CH5" s="45"/>
      <c r="CI5" s="45"/>
      <c r="CJ5" s="41"/>
    </row>
    <row r="6" spans="2:88" s="33" customFormat="1" ht="22.05" customHeight="1">
      <c r="B6" s="52" t="s">
        <v>10</v>
      </c>
      <c r="C6" s="53" t="s">
        <v>10</v>
      </c>
      <c r="D6" s="53"/>
      <c r="E6" s="114" t="s">
        <v>119</v>
      </c>
      <c r="F6" s="54"/>
      <c r="G6" s="54"/>
      <c r="H6" s="54"/>
      <c r="I6" s="54"/>
      <c r="J6" s="55" t="s">
        <v>11</v>
      </c>
      <c r="L6" s="166" t="s">
        <v>197</v>
      </c>
      <c r="M6" s="56"/>
      <c r="O6" s="34"/>
      <c r="P6" s="35"/>
      <c r="Q6" s="35"/>
      <c r="R6" s="35"/>
      <c r="AL6" s="36"/>
      <c r="AM6" s="37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7"/>
      <c r="BJ6" s="37"/>
      <c r="BK6" s="37"/>
      <c r="BL6" s="37"/>
      <c r="BM6" s="37"/>
      <c r="BN6" s="39"/>
      <c r="BO6" s="39"/>
      <c r="BP6" s="39"/>
      <c r="BQ6" s="39"/>
      <c r="BR6" s="39"/>
      <c r="BS6" s="39"/>
      <c r="BT6" s="40"/>
      <c r="BU6" s="40"/>
      <c r="BV6" s="40"/>
      <c r="BW6" s="39"/>
      <c r="BX6" s="41"/>
      <c r="BY6" s="42"/>
      <c r="BZ6" s="42"/>
      <c r="CA6" s="42"/>
      <c r="CB6" s="42"/>
      <c r="CC6" s="42"/>
      <c r="CD6" s="42"/>
      <c r="CE6" s="41"/>
      <c r="CF6" s="43"/>
      <c r="CG6" s="44"/>
      <c r="CH6" s="45"/>
      <c r="CI6" s="45"/>
      <c r="CJ6" s="41"/>
    </row>
    <row r="7" spans="2:88" s="33" customFormat="1" ht="22.05" customHeight="1">
      <c r="B7" s="52" t="s">
        <v>12</v>
      </c>
      <c r="C7" s="53" t="s">
        <v>12</v>
      </c>
      <c r="D7" s="53"/>
      <c r="E7" s="114" t="s">
        <v>196</v>
      </c>
      <c r="F7" s="57"/>
      <c r="G7" s="58"/>
      <c r="H7" s="58"/>
      <c r="I7" s="58"/>
      <c r="J7" s="55" t="s">
        <v>13</v>
      </c>
      <c r="L7" s="115">
        <f>+L13</f>
        <v>46120</v>
      </c>
      <c r="M7" s="56"/>
      <c r="O7" s="34"/>
      <c r="P7" s="35"/>
      <c r="Q7" s="35"/>
      <c r="R7" s="35"/>
      <c r="AL7" s="36"/>
      <c r="AM7" s="37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7"/>
      <c r="BJ7" s="37"/>
      <c r="BK7" s="37"/>
      <c r="BL7" s="37"/>
      <c r="BM7" s="37"/>
      <c r="BN7" s="39"/>
      <c r="BO7" s="39"/>
      <c r="BP7" s="39"/>
      <c r="BQ7" s="39"/>
      <c r="BR7" s="39"/>
      <c r="BS7" s="39"/>
      <c r="BT7" s="40"/>
      <c r="BU7" s="40"/>
      <c r="BV7" s="40"/>
      <c r="BW7" s="39"/>
      <c r="BX7" s="41"/>
      <c r="BY7" s="42"/>
      <c r="BZ7" s="42"/>
      <c r="CA7" s="42"/>
      <c r="CB7" s="42"/>
      <c r="CC7" s="42"/>
      <c r="CD7" s="42"/>
      <c r="CE7" s="41"/>
      <c r="CF7" s="43"/>
      <c r="CG7" s="44"/>
      <c r="CH7" s="45"/>
      <c r="CI7" s="45"/>
      <c r="CJ7" s="41"/>
    </row>
    <row r="8" spans="2:88" s="33" customFormat="1" ht="22.05" customHeight="1">
      <c r="B8" s="52" t="s">
        <v>14</v>
      </c>
      <c r="C8" s="53" t="s">
        <v>14</v>
      </c>
      <c r="D8" s="53"/>
      <c r="E8" s="114" t="s">
        <v>134</v>
      </c>
      <c r="F8" s="58"/>
      <c r="G8" s="58"/>
      <c r="H8" s="58"/>
      <c r="I8" s="58"/>
      <c r="J8" s="55" t="s">
        <v>15</v>
      </c>
      <c r="L8" s="115" t="s">
        <v>230</v>
      </c>
      <c r="M8" s="56"/>
      <c r="O8" s="34"/>
      <c r="P8" s="35"/>
      <c r="Q8" s="35"/>
      <c r="R8" s="35"/>
      <c r="AL8" s="36"/>
      <c r="AM8" s="37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7"/>
      <c r="BJ8" s="37"/>
      <c r="BK8" s="37"/>
      <c r="BL8" s="37"/>
      <c r="BM8" s="37"/>
      <c r="BN8" s="39"/>
      <c r="BO8" s="39"/>
      <c r="BP8" s="39"/>
      <c r="BQ8" s="39"/>
      <c r="BR8" s="39"/>
      <c r="BS8" s="39"/>
      <c r="BT8" s="40"/>
      <c r="BU8" s="40"/>
      <c r="BV8" s="40"/>
      <c r="BW8" s="39"/>
      <c r="BX8" s="41"/>
      <c r="BY8" s="42"/>
      <c r="BZ8" s="42"/>
      <c r="CA8" s="42"/>
      <c r="CB8" s="42"/>
      <c r="CC8" s="42"/>
      <c r="CD8" s="42"/>
      <c r="CE8" s="41"/>
      <c r="CF8" s="43"/>
      <c r="CG8" s="44"/>
      <c r="CH8" s="45"/>
      <c r="CI8" s="45"/>
      <c r="CJ8" s="41"/>
    </row>
    <row r="9" spans="2:88" s="33" customFormat="1" ht="22.05" customHeight="1">
      <c r="B9" s="59" t="s">
        <v>16</v>
      </c>
      <c r="C9" s="53" t="s">
        <v>16</v>
      </c>
      <c r="D9" s="53"/>
      <c r="E9" s="114"/>
      <c r="F9" s="58"/>
      <c r="G9" s="58"/>
      <c r="H9" s="58"/>
      <c r="I9" s="58"/>
      <c r="J9" s="55" t="s">
        <v>17</v>
      </c>
      <c r="L9" s="307" t="s">
        <v>215</v>
      </c>
      <c r="M9" s="308">
        <v>1</v>
      </c>
      <c r="O9" s="34"/>
      <c r="P9" s="34"/>
      <c r="Q9" s="35"/>
      <c r="R9" s="62"/>
      <c r="S9" s="62"/>
    </row>
    <row r="10" spans="2:88" s="33" customFormat="1" ht="6.75" customHeight="1">
      <c r="B10" s="63"/>
      <c r="C10" s="64"/>
      <c r="D10" s="64"/>
      <c r="E10" s="64"/>
      <c r="F10" s="64"/>
      <c r="G10" s="64"/>
      <c r="H10" s="64"/>
      <c r="I10" s="64"/>
      <c r="J10" s="65"/>
      <c r="K10" s="64"/>
      <c r="L10" s="66"/>
      <c r="M10" s="67"/>
      <c r="O10" s="34"/>
      <c r="P10" s="34"/>
      <c r="Q10" s="35"/>
      <c r="R10" s="62"/>
      <c r="S10" s="62"/>
    </row>
    <row r="11" spans="2:88" s="69" customFormat="1" ht="16.5" customHeight="1">
      <c r="B11" s="360" t="s">
        <v>214</v>
      </c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2"/>
      <c r="N11" s="68"/>
      <c r="O11" s="68"/>
      <c r="P11" s="368" t="s">
        <v>173</v>
      </c>
      <c r="Q11" s="347"/>
      <c r="R11" s="273">
        <v>150</v>
      </c>
      <c r="S11" s="273">
        <v>150</v>
      </c>
      <c r="T11" s="273">
        <v>150</v>
      </c>
    </row>
    <row r="12" spans="2:88" s="69" customFormat="1" ht="17.25" hidden="1" customHeight="1">
      <c r="B12" s="363" t="s">
        <v>20</v>
      </c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365"/>
      <c r="N12" s="70"/>
      <c r="P12" s="274" t="s">
        <v>154</v>
      </c>
      <c r="Q12" s="275"/>
      <c r="R12" s="273">
        <v>14</v>
      </c>
      <c r="S12" s="273">
        <v>14</v>
      </c>
      <c r="T12" s="273">
        <v>14</v>
      </c>
    </row>
    <row r="13" spans="2:88" s="69" customFormat="1" ht="17.25" customHeight="1">
      <c r="B13" s="71" t="s">
        <v>80</v>
      </c>
      <c r="C13" s="72"/>
      <c r="D13" s="72"/>
      <c r="E13" s="130" t="s">
        <v>232</v>
      </c>
      <c r="F13" s="74"/>
      <c r="G13" s="73"/>
      <c r="H13" s="73"/>
      <c r="I13" s="73"/>
      <c r="J13" s="73"/>
      <c r="K13" s="75" t="s">
        <v>21</v>
      </c>
      <c r="L13" s="148">
        <v>46120</v>
      </c>
      <c r="M13" s="76"/>
      <c r="N13" s="77"/>
      <c r="P13" s="367"/>
      <c r="Q13" s="366"/>
      <c r="R13" s="273"/>
      <c r="S13" s="273"/>
      <c r="T13" s="273"/>
    </row>
    <row r="14" spans="2:88" s="69" customFormat="1" ht="16.8" customHeight="1">
      <c r="B14" s="78" t="s">
        <v>22</v>
      </c>
      <c r="C14" s="79"/>
      <c r="D14" s="79"/>
      <c r="E14" s="130" t="s">
        <v>207</v>
      </c>
      <c r="F14" s="79"/>
      <c r="G14" s="79"/>
      <c r="H14" s="79"/>
      <c r="I14" s="79"/>
      <c r="J14" s="80"/>
      <c r="K14" s="81" t="s">
        <v>107</v>
      </c>
      <c r="L14" s="149" t="s">
        <v>226</v>
      </c>
      <c r="M14" s="82"/>
      <c r="N14" s="245">
        <v>4</v>
      </c>
      <c r="P14" s="346"/>
      <c r="Q14" s="366"/>
      <c r="R14" s="273"/>
      <c r="S14" s="273"/>
      <c r="T14" s="273"/>
    </row>
    <row r="15" spans="2:88" s="69" customFormat="1" ht="17.25" customHeight="1" thickBot="1">
      <c r="B15" s="83" t="s">
        <v>23</v>
      </c>
      <c r="C15" s="84"/>
      <c r="D15" s="84"/>
      <c r="E15" s="84" t="s">
        <v>224</v>
      </c>
      <c r="F15" s="84"/>
      <c r="G15" s="84"/>
      <c r="H15" s="85"/>
      <c r="I15" s="85"/>
      <c r="J15" s="86"/>
      <c r="K15" s="87" t="s">
        <v>24</v>
      </c>
      <c r="L15" s="147" t="s">
        <v>225</v>
      </c>
      <c r="M15" s="88"/>
      <c r="N15" s="70"/>
      <c r="P15" s="346"/>
      <c r="Q15" s="347"/>
      <c r="R15" s="273"/>
      <c r="S15" s="273"/>
      <c r="T15" s="273"/>
    </row>
    <row r="16" spans="2:88" ht="17.25" customHeight="1" thickTop="1">
      <c r="B16" s="302" t="s">
        <v>25</v>
      </c>
      <c r="C16" s="303"/>
      <c r="D16" s="303"/>
      <c r="E16" s="303"/>
      <c r="F16" s="303"/>
      <c r="G16" s="303"/>
      <c r="H16" s="304" t="s">
        <v>210</v>
      </c>
      <c r="I16" s="107">
        <v>49</v>
      </c>
      <c r="J16" s="107"/>
      <c r="K16" s="107"/>
      <c r="L16" s="107"/>
      <c r="M16" s="107"/>
      <c r="P16" s="346"/>
      <c r="Q16" s="347"/>
      <c r="R16" s="276"/>
      <c r="S16" s="276"/>
      <c r="T16" s="276"/>
    </row>
    <row r="17" spans="2:24" ht="17.25" customHeight="1">
      <c r="B17" s="302" t="s">
        <v>209</v>
      </c>
      <c r="C17" s="303"/>
      <c r="D17" s="303"/>
      <c r="E17" s="303"/>
      <c r="F17" s="303"/>
      <c r="G17" s="303"/>
      <c r="H17" s="304" t="s">
        <v>210</v>
      </c>
      <c r="I17" s="109" t="s">
        <v>219</v>
      </c>
      <c r="J17" s="305"/>
      <c r="K17" s="305"/>
      <c r="L17" s="305"/>
      <c r="M17" s="305"/>
    </row>
    <row r="18" spans="2:24" ht="17.25" customHeight="1">
      <c r="B18" s="302" t="s">
        <v>211</v>
      </c>
      <c r="C18" s="303"/>
      <c r="D18" s="303"/>
      <c r="E18" s="303"/>
      <c r="F18" s="303"/>
      <c r="G18" s="303"/>
      <c r="H18" s="304" t="s">
        <v>212</v>
      </c>
      <c r="I18" s="310">
        <v>0.2</v>
      </c>
      <c r="J18" s="305"/>
      <c r="K18" s="305"/>
      <c r="L18" s="305"/>
      <c r="M18" s="305"/>
    </row>
    <row r="19" spans="2:24" ht="17.25" customHeight="1">
      <c r="B19" s="302" t="s">
        <v>217</v>
      </c>
      <c r="C19" s="303"/>
      <c r="D19" s="303"/>
      <c r="E19" s="303"/>
      <c r="F19" s="303"/>
      <c r="G19" s="303"/>
      <c r="H19" s="304" t="s">
        <v>210</v>
      </c>
      <c r="I19" s="109">
        <v>12</v>
      </c>
      <c r="J19" s="305"/>
      <c r="K19" s="305"/>
      <c r="L19" s="305"/>
      <c r="M19" s="305"/>
    </row>
    <row r="20" spans="2:24" ht="17.25" customHeight="1">
      <c r="B20" s="302" t="s">
        <v>26</v>
      </c>
      <c r="C20" s="303"/>
      <c r="D20" s="303"/>
      <c r="E20" s="303"/>
      <c r="F20" s="303"/>
      <c r="G20" s="303"/>
      <c r="H20" s="304" t="s">
        <v>208</v>
      </c>
      <c r="I20" s="109" t="s">
        <v>227</v>
      </c>
      <c r="J20" s="109"/>
      <c r="K20" s="109"/>
      <c r="L20" s="109"/>
      <c r="M20" s="109"/>
    </row>
    <row r="21" spans="2:24" ht="17.25" customHeight="1">
      <c r="B21" s="302" t="s">
        <v>27</v>
      </c>
      <c r="C21" s="303"/>
      <c r="D21" s="303"/>
      <c r="E21" s="303"/>
      <c r="F21" s="303"/>
      <c r="G21" s="303"/>
      <c r="H21" s="304" t="s">
        <v>213</v>
      </c>
      <c r="I21" s="311">
        <v>30</v>
      </c>
      <c r="J21" s="110"/>
      <c r="K21" s="110"/>
      <c r="L21" s="110"/>
      <c r="M21" s="110"/>
    </row>
    <row r="22" spans="2:24" ht="17.25" customHeight="1">
      <c r="B22" s="302" t="s">
        <v>28</v>
      </c>
      <c r="C22" s="303"/>
      <c r="D22" s="303"/>
      <c r="E22" s="303"/>
      <c r="F22" s="303"/>
      <c r="G22" s="303"/>
      <c r="H22" s="304" t="s">
        <v>210</v>
      </c>
      <c r="I22" s="111">
        <v>45</v>
      </c>
      <c r="J22" s="111"/>
      <c r="K22" s="111"/>
      <c r="L22" s="111"/>
      <c r="M22" s="111"/>
    </row>
    <row r="23" spans="2:24" ht="17.25" customHeight="1">
      <c r="B23" s="351" t="s">
        <v>29</v>
      </c>
      <c r="C23" s="352"/>
      <c r="D23" s="352"/>
      <c r="E23" s="352"/>
      <c r="F23" s="352"/>
      <c r="G23" s="352"/>
      <c r="H23" s="90" t="s">
        <v>30</v>
      </c>
      <c r="I23" s="204">
        <v>8166207.5039999997</v>
      </c>
      <c r="J23" s="204"/>
      <c r="K23" s="204"/>
      <c r="L23" s="204"/>
      <c r="M23" s="204"/>
      <c r="N23" s="89">
        <v>1</v>
      </c>
    </row>
    <row r="24" spans="2:24" ht="17.25" customHeight="1">
      <c r="B24" s="353"/>
      <c r="C24" s="354"/>
      <c r="D24" s="354"/>
      <c r="E24" s="354"/>
      <c r="F24" s="354"/>
      <c r="G24" s="354"/>
      <c r="H24" s="90" t="s">
        <v>31</v>
      </c>
      <c r="I24" s="204">
        <v>222746.07</v>
      </c>
      <c r="J24" s="204"/>
      <c r="K24" s="204"/>
      <c r="L24" s="204"/>
      <c r="M24" s="204"/>
    </row>
    <row r="25" spans="2:24" ht="17.25" customHeight="1">
      <c r="B25" s="355"/>
      <c r="C25" s="356"/>
      <c r="D25" s="356"/>
      <c r="E25" s="356"/>
      <c r="F25" s="356"/>
      <c r="G25" s="356"/>
      <c r="H25" s="90" t="s">
        <v>32</v>
      </c>
      <c r="I25" s="205">
        <v>2674.3150000000001</v>
      </c>
      <c r="J25" s="205"/>
      <c r="K25" s="205"/>
      <c r="L25" s="205"/>
      <c r="M25" s="205"/>
      <c r="O25" s="89">
        <v>0.97729999999999995</v>
      </c>
    </row>
    <row r="26" spans="2:24" ht="17.25" customHeight="1">
      <c r="B26" s="331" t="s">
        <v>33</v>
      </c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20"/>
      <c r="N26" s="91"/>
      <c r="O26" s="89">
        <v>0.95450000000000002</v>
      </c>
    </row>
    <row r="27" spans="2:24" ht="17.25" customHeight="1">
      <c r="B27" s="116" t="s">
        <v>34</v>
      </c>
      <c r="C27" s="117" t="s">
        <v>35</v>
      </c>
      <c r="D27" s="180"/>
      <c r="E27" s="118"/>
      <c r="F27" s="118"/>
      <c r="G27" s="119"/>
      <c r="H27" s="120" t="s">
        <v>36</v>
      </c>
      <c r="I27" s="188">
        <v>51500</v>
      </c>
      <c r="J27" s="188"/>
      <c r="K27" s="188"/>
      <c r="L27" s="225"/>
      <c r="M27" s="207"/>
      <c r="O27" s="89">
        <f>ROUND(+I27*$O$25,0)</f>
        <v>50331</v>
      </c>
      <c r="P27" s="89">
        <f>ROUND(+J27*$O$25,0)</f>
        <v>0</v>
      </c>
      <c r="Q27" s="89">
        <f>ROUND(+K27*$O$25,0)</f>
        <v>0</v>
      </c>
      <c r="R27" s="89">
        <f>ROUND(+L27*$O$25,0)</f>
        <v>0</v>
      </c>
      <c r="S27" s="89">
        <f>ROUND(+M27*$O$25,0)</f>
        <v>0</v>
      </c>
      <c r="T27" s="150"/>
      <c r="U27" s="150"/>
      <c r="V27" s="150"/>
      <c r="W27" s="150"/>
      <c r="X27" s="150"/>
    </row>
    <row r="28" spans="2:24" ht="17.25" customHeight="1">
      <c r="B28" s="121">
        <f>+B27+1</f>
        <v>2</v>
      </c>
      <c r="C28" s="122" t="s">
        <v>37</v>
      </c>
      <c r="D28" s="182"/>
      <c r="E28" s="123"/>
      <c r="F28" s="123"/>
      <c r="G28" s="99"/>
      <c r="H28" s="124" t="s">
        <v>36</v>
      </c>
      <c r="I28" s="189">
        <v>26500</v>
      </c>
      <c r="J28" s="189"/>
      <c r="K28" s="189"/>
      <c r="L28" s="226"/>
      <c r="M28" s="208"/>
      <c r="O28" s="89">
        <f>ROUND(+I28*$O$26,0)</f>
        <v>25294</v>
      </c>
      <c r="P28" s="89">
        <f>ROUND(+J28*$O$26,0)</f>
        <v>0</v>
      </c>
      <c r="Q28" s="89">
        <f>ROUND(+K28*$O$26,0)</f>
        <v>0</v>
      </c>
      <c r="R28" s="89">
        <f>ROUND(+L28*$O$26,0)</f>
        <v>0</v>
      </c>
      <c r="S28" s="89">
        <f>ROUND(+M28*$O$26,0)</f>
        <v>0</v>
      </c>
      <c r="T28" s="150"/>
      <c r="U28" s="150"/>
      <c r="V28" s="150"/>
      <c r="W28" s="150"/>
      <c r="X28" s="150"/>
    </row>
    <row r="29" spans="2:24" ht="17.25" customHeight="1">
      <c r="B29" s="121">
        <f t="shared" ref="B29:B39" si="0">+B28+1</f>
        <v>3</v>
      </c>
      <c r="C29" s="122" t="s">
        <v>38</v>
      </c>
      <c r="D29" s="182"/>
      <c r="E29" s="123"/>
      <c r="F29" s="123"/>
      <c r="G29" s="99"/>
      <c r="H29" s="124" t="s">
        <v>36</v>
      </c>
      <c r="I29" s="190">
        <f>I27-I28</f>
        <v>25000</v>
      </c>
      <c r="J29" s="190"/>
      <c r="K29" s="190"/>
      <c r="L29" s="190"/>
      <c r="M29" s="210">
        <v>6016</v>
      </c>
      <c r="T29" s="151"/>
      <c r="U29" s="151"/>
      <c r="V29" s="151"/>
      <c r="W29" s="151"/>
      <c r="X29" s="151"/>
    </row>
    <row r="30" spans="2:24" ht="17.25" customHeight="1">
      <c r="B30" s="121">
        <f t="shared" si="0"/>
        <v>4</v>
      </c>
      <c r="C30" s="122" t="s">
        <v>39</v>
      </c>
      <c r="D30" s="182"/>
      <c r="E30" s="123"/>
      <c r="F30" s="123"/>
      <c r="G30" s="99"/>
      <c r="H30" s="124" t="s">
        <v>36</v>
      </c>
      <c r="I30" s="189">
        <v>7827</v>
      </c>
      <c r="J30" s="189"/>
      <c r="K30" s="189"/>
      <c r="L30" s="226"/>
      <c r="M30" s="208"/>
      <c r="T30" s="150"/>
      <c r="U30" s="150"/>
      <c r="V30" s="150"/>
      <c r="W30" s="150"/>
      <c r="X30" s="150"/>
    </row>
    <row r="31" spans="2:24" ht="17.25" customHeight="1">
      <c r="B31" s="121">
        <f t="shared" si="0"/>
        <v>5</v>
      </c>
      <c r="C31" s="122" t="s">
        <v>40</v>
      </c>
      <c r="D31" s="182"/>
      <c r="E31" s="123"/>
      <c r="F31" s="123"/>
      <c r="G31" s="99"/>
      <c r="H31" s="124" t="s">
        <v>36</v>
      </c>
      <c r="I31" s="190">
        <f>I29-I30</f>
        <v>17173</v>
      </c>
      <c r="J31" s="190"/>
      <c r="K31" s="190"/>
      <c r="L31" s="190"/>
      <c r="M31" s="210">
        <v>4291</v>
      </c>
      <c r="T31" s="151"/>
      <c r="U31" s="151"/>
      <c r="V31" s="151"/>
      <c r="W31" s="151"/>
      <c r="X31" s="151"/>
    </row>
    <row r="32" spans="2:24" ht="17.25" customHeight="1">
      <c r="B32" s="121">
        <f t="shared" si="0"/>
        <v>6</v>
      </c>
      <c r="C32" s="122" t="s">
        <v>41</v>
      </c>
      <c r="D32" s="182"/>
      <c r="E32" s="123"/>
      <c r="F32" s="123"/>
      <c r="G32" s="99"/>
      <c r="H32" s="124" t="s">
        <v>42</v>
      </c>
      <c r="I32" s="191">
        <v>1.3480000000000001</v>
      </c>
      <c r="J32" s="191"/>
      <c r="K32" s="191"/>
      <c r="L32" s="227"/>
      <c r="M32" s="211"/>
      <c r="T32" s="152"/>
      <c r="U32" s="152"/>
      <c r="V32" s="152"/>
      <c r="W32" s="152"/>
      <c r="X32" s="152"/>
    </row>
    <row r="33" spans="2:24" ht="17.25" customHeight="1">
      <c r="B33" s="125">
        <f t="shared" si="0"/>
        <v>7</v>
      </c>
      <c r="C33" s="126" t="s">
        <v>43</v>
      </c>
      <c r="D33" s="184"/>
      <c r="E33" s="127"/>
      <c r="F33" s="127"/>
      <c r="G33" s="100"/>
      <c r="H33" s="128" t="s">
        <v>44</v>
      </c>
      <c r="I33" s="192">
        <f>ROUND(I31/I32,0)</f>
        <v>12740</v>
      </c>
      <c r="J33" s="192"/>
      <c r="K33" s="192"/>
      <c r="L33" s="192"/>
      <c r="M33" s="212">
        <v>2899</v>
      </c>
      <c r="T33" s="151"/>
      <c r="U33" s="151"/>
      <c r="V33" s="151"/>
      <c r="W33" s="151"/>
      <c r="X33" s="151"/>
    </row>
    <row r="34" spans="2:24" ht="17.25" customHeight="1">
      <c r="B34" s="331" t="s">
        <v>45</v>
      </c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20"/>
      <c r="O34" s="89">
        <v>0.99</v>
      </c>
    </row>
    <row r="35" spans="2:24" ht="17.25" customHeight="1">
      <c r="B35" s="179">
        <f>+B33+1</f>
        <v>8</v>
      </c>
      <c r="C35" s="117" t="s">
        <v>46</v>
      </c>
      <c r="D35" s="180"/>
      <c r="E35" s="118"/>
      <c r="F35" s="118"/>
      <c r="G35" s="119"/>
      <c r="H35" s="120" t="s">
        <v>36</v>
      </c>
      <c r="I35" s="188">
        <v>29800</v>
      </c>
      <c r="J35" s="188"/>
      <c r="K35" s="188"/>
      <c r="L35" s="188"/>
      <c r="M35" s="207"/>
      <c r="N35" s="89" t="s">
        <v>47</v>
      </c>
      <c r="O35" s="89">
        <f>ROUND(+I35*$O$34,0)</f>
        <v>29502</v>
      </c>
      <c r="P35" s="89">
        <f>ROUND(+J35*$O$34,0)</f>
        <v>0</v>
      </c>
      <c r="Q35" s="89">
        <f>ROUND(+K35*$O$34,0)</f>
        <v>0</v>
      </c>
      <c r="R35" s="89">
        <f>ROUND(+L35*$O$34,0)</f>
        <v>0</v>
      </c>
      <c r="S35" s="89">
        <f>ROUND(+M35*$O$34,0)</f>
        <v>0</v>
      </c>
      <c r="T35" s="150"/>
      <c r="U35" s="150"/>
      <c r="V35" s="150"/>
      <c r="W35" s="150"/>
      <c r="X35" s="150"/>
    </row>
    <row r="36" spans="2:24" ht="17.25" customHeight="1">
      <c r="B36" s="181">
        <f t="shared" si="0"/>
        <v>9</v>
      </c>
      <c r="C36" s="122" t="s">
        <v>48</v>
      </c>
      <c r="D36" s="182"/>
      <c r="E36" s="123"/>
      <c r="F36" s="123"/>
      <c r="G36" s="99"/>
      <c r="H36" s="124" t="s">
        <v>36</v>
      </c>
      <c r="I36" s="189">
        <v>10</v>
      </c>
      <c r="J36" s="189"/>
      <c r="K36" s="189"/>
      <c r="L36" s="189"/>
      <c r="M36" s="208"/>
      <c r="T36" s="151"/>
      <c r="U36" s="151"/>
      <c r="V36" s="151"/>
      <c r="W36" s="151"/>
      <c r="X36" s="151"/>
    </row>
    <row r="37" spans="2:24" ht="17.25" customHeight="1">
      <c r="B37" s="181">
        <f t="shared" si="0"/>
        <v>10</v>
      </c>
      <c r="C37" s="122" t="s">
        <v>49</v>
      </c>
      <c r="D37" s="182"/>
      <c r="E37" s="123"/>
      <c r="F37" s="123"/>
      <c r="G37" s="99"/>
      <c r="H37" s="124" t="s">
        <v>36</v>
      </c>
      <c r="I37" s="190">
        <f>I35-I36</f>
        <v>29790</v>
      </c>
      <c r="J37" s="190"/>
      <c r="K37" s="190"/>
      <c r="L37" s="190"/>
      <c r="M37" s="209">
        <f>M35-M36</f>
        <v>0</v>
      </c>
      <c r="T37" s="151"/>
      <c r="U37" s="151"/>
      <c r="V37" s="151"/>
      <c r="W37" s="151"/>
      <c r="X37" s="151"/>
    </row>
    <row r="38" spans="2:24" ht="17.25" customHeight="1">
      <c r="B38" s="181">
        <f t="shared" si="0"/>
        <v>11</v>
      </c>
      <c r="C38" s="122" t="s">
        <v>112</v>
      </c>
      <c r="D38" s="182"/>
      <c r="E38" s="123"/>
      <c r="F38" s="123"/>
      <c r="G38" s="99"/>
      <c r="H38" s="124" t="s">
        <v>42</v>
      </c>
      <c r="I38" s="193">
        <f>ROUND(I37/I33,3)</f>
        <v>2.3380000000000001</v>
      </c>
      <c r="J38" s="193"/>
      <c r="K38" s="193"/>
      <c r="L38" s="193"/>
      <c r="M38" s="213">
        <f t="shared" ref="M38" si="1">ROUND(M37/M33,3)</f>
        <v>0</v>
      </c>
      <c r="T38" s="153"/>
      <c r="U38" s="153"/>
      <c r="V38" s="153"/>
      <c r="W38" s="153"/>
      <c r="X38" s="153"/>
    </row>
    <row r="39" spans="2:24" ht="17.25" customHeight="1">
      <c r="B39" s="426">
        <f t="shared" si="0"/>
        <v>12</v>
      </c>
      <c r="C39" s="427" t="s">
        <v>113</v>
      </c>
      <c r="D39" s="428"/>
      <c r="E39" s="429"/>
      <c r="F39" s="429"/>
      <c r="G39" s="430"/>
      <c r="H39" s="431" t="s">
        <v>42</v>
      </c>
      <c r="I39" s="432">
        <f>ROUND(I38/(1+(I47/100)),3)</f>
        <v>2.1269999999999998</v>
      </c>
      <c r="J39" s="432"/>
      <c r="K39" s="432"/>
      <c r="L39" s="432"/>
      <c r="M39" s="433" t="e">
        <f t="shared" ref="M39" si="2">ROUND(M38/(1+(M47/100)),3)</f>
        <v>#DIV/0!</v>
      </c>
      <c r="T39" s="153"/>
      <c r="U39" s="153"/>
      <c r="V39" s="153"/>
      <c r="W39" s="153"/>
      <c r="X39" s="153"/>
    </row>
    <row r="40" spans="2:24" ht="17.25" customHeight="1">
      <c r="B40" s="331" t="s">
        <v>108</v>
      </c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20"/>
    </row>
    <row r="41" spans="2:24" ht="17.25" customHeight="1">
      <c r="B41" s="116">
        <f>+B39+1</f>
        <v>13</v>
      </c>
      <c r="C41" s="117" t="s">
        <v>50</v>
      </c>
      <c r="D41" s="180"/>
      <c r="E41" s="118"/>
      <c r="F41" s="118"/>
      <c r="G41" s="119"/>
      <c r="H41" s="120" t="s">
        <v>36</v>
      </c>
      <c r="I41" s="195">
        <v>2540</v>
      </c>
      <c r="J41" s="195"/>
      <c r="K41" s="195"/>
      <c r="L41" s="195"/>
      <c r="M41" s="215"/>
      <c r="T41" s="330"/>
      <c r="U41" s="330"/>
      <c r="V41" s="330"/>
      <c r="W41" s="330"/>
      <c r="X41" s="330"/>
    </row>
    <row r="42" spans="2:24" ht="17.25" customHeight="1">
      <c r="B42" s="121">
        <f t="shared" ref="B42:B47" si="3">+B41+1</f>
        <v>14</v>
      </c>
      <c r="C42" s="122" t="s">
        <v>51</v>
      </c>
      <c r="D42" s="182"/>
      <c r="E42" s="123"/>
      <c r="F42" s="123"/>
      <c r="G42" s="99"/>
      <c r="H42" s="124" t="s">
        <v>36</v>
      </c>
      <c r="I42" s="195">
        <v>2386</v>
      </c>
      <c r="J42" s="195"/>
      <c r="K42" s="195"/>
      <c r="L42" s="195"/>
      <c r="M42" s="215"/>
      <c r="T42" s="330"/>
      <c r="U42" s="330"/>
      <c r="V42" s="330"/>
      <c r="W42" s="330"/>
      <c r="X42" s="330"/>
    </row>
    <row r="43" spans="2:24" ht="17.25" customHeight="1">
      <c r="B43" s="121">
        <f t="shared" si="3"/>
        <v>15</v>
      </c>
      <c r="C43" s="122" t="s">
        <v>52</v>
      </c>
      <c r="D43" s="182"/>
      <c r="E43" s="123"/>
      <c r="F43" s="123"/>
      <c r="G43" s="99"/>
      <c r="H43" s="124" t="s">
        <v>36</v>
      </c>
      <c r="I43" s="196">
        <f>+I41-I42</f>
        <v>154</v>
      </c>
      <c r="J43" s="196"/>
      <c r="K43" s="196"/>
      <c r="L43" s="196"/>
      <c r="M43" s="216">
        <f>+M41-M42</f>
        <v>0</v>
      </c>
      <c r="T43" s="330"/>
      <c r="U43" s="330"/>
      <c r="V43" s="330"/>
      <c r="W43" s="330"/>
      <c r="X43" s="330"/>
    </row>
    <row r="44" spans="2:24" ht="17.25" customHeight="1">
      <c r="B44" s="121">
        <f t="shared" si="3"/>
        <v>16</v>
      </c>
      <c r="C44" s="122" t="s">
        <v>53</v>
      </c>
      <c r="D44" s="182"/>
      <c r="E44" s="123"/>
      <c r="F44" s="123"/>
      <c r="G44" s="99"/>
      <c r="H44" s="124" t="s">
        <v>36</v>
      </c>
      <c r="I44" s="195">
        <v>1058.4000000000001</v>
      </c>
      <c r="J44" s="195"/>
      <c r="K44" s="195"/>
      <c r="L44" s="195"/>
      <c r="M44" s="215"/>
      <c r="T44" s="330"/>
      <c r="U44" s="330"/>
      <c r="V44" s="330"/>
      <c r="W44" s="330"/>
      <c r="X44" s="330"/>
    </row>
    <row r="45" spans="2:24" ht="17.25" customHeight="1">
      <c r="B45" s="121">
        <f t="shared" si="3"/>
        <v>17</v>
      </c>
      <c r="C45" s="122" t="s">
        <v>54</v>
      </c>
      <c r="D45" s="182"/>
      <c r="E45" s="123"/>
      <c r="F45" s="123"/>
      <c r="G45" s="99"/>
      <c r="H45" s="124" t="s">
        <v>36</v>
      </c>
      <c r="I45" s="196">
        <f t="shared" ref="I45" si="4">+I42-I44</f>
        <v>1327.6</v>
      </c>
      <c r="J45" s="196"/>
      <c r="K45" s="196"/>
      <c r="L45" s="196"/>
      <c r="M45" s="216">
        <f t="shared" ref="M45" si="5">+M42-M44</f>
        <v>0</v>
      </c>
      <c r="O45" s="89">
        <v>1.05</v>
      </c>
      <c r="T45" s="330"/>
      <c r="U45" s="330"/>
      <c r="V45" s="330"/>
      <c r="W45" s="330"/>
      <c r="X45" s="330"/>
    </row>
    <row r="46" spans="2:24" ht="17.25" customHeight="1">
      <c r="B46" s="121">
        <f t="shared" si="3"/>
        <v>18</v>
      </c>
      <c r="C46" s="122" t="s">
        <v>55</v>
      </c>
      <c r="D46" s="182"/>
      <c r="E46" s="123"/>
      <c r="F46" s="123"/>
      <c r="G46" s="99"/>
      <c r="H46" s="124" t="s">
        <v>56</v>
      </c>
      <c r="I46" s="196">
        <f>IF(I43="","",IF(I45="","",(I43/I45)*100))</f>
        <v>11.59987948177162</v>
      </c>
      <c r="J46" s="196"/>
      <c r="K46" s="196"/>
      <c r="L46" s="196"/>
      <c r="M46" s="216" t="e">
        <f>IF(M43="","",IF(M45="","",(M43/M45)*100))</f>
        <v>#DIV/0!</v>
      </c>
      <c r="O46" s="89">
        <f>ROUND(+I46*$O$45,1)</f>
        <v>12.2</v>
      </c>
      <c r="P46" s="89">
        <f>ROUND(+J46*$O$45,1)</f>
        <v>0</v>
      </c>
      <c r="Q46" s="89">
        <f>ROUND(+K46*$O$45,1)</f>
        <v>0</v>
      </c>
      <c r="R46" s="89">
        <f>ROUND(+L46*$O$45,1)</f>
        <v>0</v>
      </c>
      <c r="S46" s="89" t="e">
        <f>ROUND(+M46*$O$45,1)</f>
        <v>#DIV/0!</v>
      </c>
      <c r="T46" s="154"/>
      <c r="U46" s="154"/>
      <c r="V46" s="154"/>
      <c r="W46" s="154"/>
      <c r="X46" s="154"/>
    </row>
    <row r="47" spans="2:24" ht="17.25" customHeight="1">
      <c r="B47" s="125">
        <f t="shared" si="3"/>
        <v>19</v>
      </c>
      <c r="C47" s="126" t="s">
        <v>57</v>
      </c>
      <c r="D47" s="184"/>
      <c r="E47" s="127"/>
      <c r="F47" s="127"/>
      <c r="G47" s="100"/>
      <c r="H47" s="128" t="s">
        <v>56</v>
      </c>
      <c r="I47" s="197">
        <f>ROUND(+(I56*I53+I57*I54)/100,1)</f>
        <v>9.9</v>
      </c>
      <c r="J47" s="197"/>
      <c r="K47" s="197"/>
      <c r="L47" s="197"/>
      <c r="M47" s="217" t="e">
        <f>ROUND(+(M56*M53+M57*M54)/100,1)</f>
        <v>#DIV/0!</v>
      </c>
      <c r="T47" s="155"/>
      <c r="U47" s="155"/>
      <c r="V47" s="155"/>
      <c r="W47" s="155"/>
      <c r="X47" s="155"/>
    </row>
    <row r="48" spans="2:24" ht="17.25" customHeight="1">
      <c r="B48" s="331" t="s">
        <v>109</v>
      </c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20"/>
      <c r="T48" s="89" t="s">
        <v>65</v>
      </c>
    </row>
    <row r="49" spans="2:25" ht="17.25" customHeight="1">
      <c r="B49" s="116">
        <f>+B47+1</f>
        <v>20</v>
      </c>
      <c r="C49" s="117" t="s">
        <v>58</v>
      </c>
      <c r="D49" s="180"/>
      <c r="E49" s="118"/>
      <c r="F49" s="118"/>
      <c r="G49" s="119"/>
      <c r="H49" s="120" t="s">
        <v>36</v>
      </c>
      <c r="I49" s="198">
        <f>I51+I52</f>
        <v>27110</v>
      </c>
      <c r="J49" s="198"/>
      <c r="K49" s="198"/>
      <c r="L49" s="198"/>
      <c r="M49" s="218" t="e">
        <f t="shared" ref="M49" si="6">M51+M52</f>
        <v>#DIV/0!</v>
      </c>
      <c r="O49" s="89">
        <v>1.0620000000000001</v>
      </c>
      <c r="T49" s="94">
        <f>+G66-2</f>
        <v>6.1999999999999993</v>
      </c>
      <c r="U49" s="89" t="s">
        <v>66</v>
      </c>
      <c r="V49" s="151"/>
      <c r="W49" s="151"/>
      <c r="X49" s="151"/>
    </row>
    <row r="50" spans="2:25" ht="17.25" customHeight="1">
      <c r="B50" s="121">
        <f>+B49+1</f>
        <v>21</v>
      </c>
      <c r="C50" s="122" t="s">
        <v>111</v>
      </c>
      <c r="D50" s="182"/>
      <c r="E50" s="123"/>
      <c r="F50" s="123"/>
      <c r="G50" s="99"/>
      <c r="H50" s="124" t="s">
        <v>36</v>
      </c>
      <c r="I50" s="189">
        <v>5775</v>
      </c>
      <c r="J50" s="189"/>
      <c r="K50" s="189"/>
      <c r="L50" s="189"/>
      <c r="M50" s="208"/>
      <c r="O50" s="89">
        <f>ROUND(+I50*$O$49,0)</f>
        <v>6133</v>
      </c>
      <c r="P50" s="89">
        <f>ROUND(+J50*$O$49,0)</f>
        <v>0</v>
      </c>
      <c r="Q50" s="89">
        <f>ROUND(+K50*$O$49,0)</f>
        <v>0</v>
      </c>
      <c r="R50" s="89">
        <f>ROUND(+L50*$O$49,0)</f>
        <v>0</v>
      </c>
      <c r="S50" s="89">
        <f>ROUND(+M50*$O$49,0)</f>
        <v>0</v>
      </c>
      <c r="T50" s="94">
        <f>+G66+2</f>
        <v>10.199999999999999</v>
      </c>
      <c r="U50" s="89" t="s">
        <v>68</v>
      </c>
      <c r="V50" s="150"/>
      <c r="W50" s="150"/>
      <c r="X50" s="150"/>
    </row>
    <row r="51" spans="2:25" ht="17.25" customHeight="1">
      <c r="B51" s="121">
        <f t="shared" ref="B51:B58" si="7">+B50+1</f>
        <v>22</v>
      </c>
      <c r="C51" s="122" t="s">
        <v>59</v>
      </c>
      <c r="D51" s="182"/>
      <c r="E51" s="123"/>
      <c r="F51" s="123"/>
      <c r="G51" s="99"/>
      <c r="H51" s="124" t="s">
        <v>36</v>
      </c>
      <c r="I51" s="190">
        <f>ROUND(+I50/(1+(I56/100)),0)</f>
        <v>5591</v>
      </c>
      <c r="J51" s="190"/>
      <c r="K51" s="190"/>
      <c r="L51" s="190"/>
      <c r="M51" s="209">
        <f t="shared" ref="M51" si="8">ROUND(+M50/(1+(M56/100)),0)</f>
        <v>0</v>
      </c>
      <c r="T51" s="151"/>
      <c r="U51" s="151"/>
      <c r="V51" s="151"/>
      <c r="W51" s="151"/>
      <c r="X51" s="151"/>
    </row>
    <row r="52" spans="2:25" ht="17.25" customHeight="1" thickBot="1">
      <c r="B52" s="121">
        <f t="shared" si="7"/>
        <v>23</v>
      </c>
      <c r="C52" s="122" t="s">
        <v>60</v>
      </c>
      <c r="D52" s="182"/>
      <c r="E52" s="123"/>
      <c r="F52" s="123"/>
      <c r="G52" s="99"/>
      <c r="H52" s="124" t="s">
        <v>36</v>
      </c>
      <c r="I52" s="190">
        <f>ROUND(+(I37-I50)/(1+I46/100),0)</f>
        <v>21519</v>
      </c>
      <c r="J52" s="190"/>
      <c r="K52" s="190"/>
      <c r="L52" s="190"/>
      <c r="M52" s="209" t="e">
        <f t="shared" ref="M52" si="9">ROUND(+(M37-M50)/(1+M46/100),0)</f>
        <v>#DIV/0!</v>
      </c>
      <c r="T52" s="151"/>
      <c r="U52" s="151"/>
      <c r="V52" s="151"/>
      <c r="W52" s="151"/>
      <c r="X52" s="151"/>
    </row>
    <row r="53" spans="2:25" ht="17.25" customHeight="1" thickTop="1" thickBot="1">
      <c r="B53" s="121">
        <f t="shared" si="7"/>
        <v>24</v>
      </c>
      <c r="C53" s="122" t="s">
        <v>61</v>
      </c>
      <c r="D53" s="182"/>
      <c r="E53" s="123"/>
      <c r="F53" s="123"/>
      <c r="G53" s="129"/>
      <c r="H53" s="124" t="s">
        <v>56</v>
      </c>
      <c r="I53" s="199">
        <f>ROUND(+(I51/I49*100),1)</f>
        <v>20.6</v>
      </c>
      <c r="J53" s="199"/>
      <c r="K53" s="199"/>
      <c r="L53" s="199"/>
      <c r="M53" s="219" t="e">
        <f t="shared" ref="M53" si="10">ROUND(+(M51/M49*100),1)</f>
        <v>#DIV/0!</v>
      </c>
      <c r="Q53" s="92"/>
      <c r="R53" s="92"/>
      <c r="S53" s="92"/>
      <c r="T53" s="338" t="s">
        <v>205</v>
      </c>
      <c r="U53" s="339"/>
      <c r="V53" s="340"/>
      <c r="W53" s="344" t="s">
        <v>206</v>
      </c>
      <c r="X53" s="345"/>
    </row>
    <row r="54" spans="2:25" ht="17.25" customHeight="1" thickTop="1" thickBot="1">
      <c r="B54" s="121">
        <f t="shared" si="7"/>
        <v>25</v>
      </c>
      <c r="C54" s="122" t="s">
        <v>62</v>
      </c>
      <c r="D54" s="182"/>
      <c r="E54" s="123"/>
      <c r="F54" s="123"/>
      <c r="G54" s="99"/>
      <c r="H54" s="124" t="s">
        <v>56</v>
      </c>
      <c r="I54" s="199">
        <f t="shared" ref="I54" si="11">ROUND(+(I52/I49*100),1)</f>
        <v>79.400000000000006</v>
      </c>
      <c r="J54" s="199"/>
      <c r="K54" s="199"/>
      <c r="L54" s="199"/>
      <c r="M54" s="219" t="e">
        <f t="shared" ref="M54" si="12">ROUND(+(M52/M49*100),1)</f>
        <v>#DIV/0!</v>
      </c>
      <c r="Q54" s="93"/>
      <c r="R54" s="93"/>
      <c r="S54" s="93"/>
      <c r="T54" s="341"/>
      <c r="U54" s="342"/>
      <c r="V54" s="343"/>
      <c r="W54" s="300"/>
      <c r="X54" s="300"/>
    </row>
    <row r="55" spans="2:25" ht="17.25" customHeight="1" thickTop="1" thickBot="1">
      <c r="B55" s="121">
        <f t="shared" si="7"/>
        <v>26</v>
      </c>
      <c r="C55" s="122" t="s">
        <v>115</v>
      </c>
      <c r="D55" s="182"/>
      <c r="E55" s="123"/>
      <c r="F55" s="123"/>
      <c r="G55" s="99"/>
      <c r="H55" s="124"/>
      <c r="I55" s="191">
        <v>2.48</v>
      </c>
      <c r="J55" s="191"/>
      <c r="K55" s="191"/>
      <c r="L55" s="227"/>
      <c r="M55" s="211"/>
      <c r="Q55" s="178" t="s">
        <v>132</v>
      </c>
      <c r="R55" s="177"/>
      <c r="S55" s="177"/>
      <c r="T55" s="279" t="s">
        <v>202</v>
      </c>
      <c r="U55" s="280" t="s">
        <v>201</v>
      </c>
      <c r="V55" s="281"/>
      <c r="W55" s="259">
        <v>20</v>
      </c>
      <c r="X55" s="259"/>
      <c r="Y55" s="259">
        <v>13</v>
      </c>
    </row>
    <row r="56" spans="2:25" ht="17.25" customHeight="1" thickTop="1" thickBot="1">
      <c r="B56" s="121">
        <f t="shared" si="7"/>
        <v>27</v>
      </c>
      <c r="C56" s="122" t="s">
        <v>116</v>
      </c>
      <c r="D56" s="182"/>
      <c r="E56" s="123"/>
      <c r="F56" s="123"/>
      <c r="G56" s="99"/>
      <c r="H56" s="124"/>
      <c r="I56" s="200">
        <v>3.3</v>
      </c>
      <c r="J56" s="200"/>
      <c r="K56" s="200"/>
      <c r="L56" s="200"/>
      <c r="M56" s="220"/>
      <c r="N56" s="168" t="s">
        <v>131</v>
      </c>
      <c r="Q56" s="334" t="s">
        <v>133</v>
      </c>
      <c r="R56" s="333"/>
      <c r="S56" s="335"/>
      <c r="T56" s="336" t="s">
        <v>174</v>
      </c>
      <c r="U56" s="314"/>
      <c r="V56" s="314"/>
      <c r="W56" s="255">
        <v>2.0779999999999998</v>
      </c>
      <c r="X56" s="255"/>
      <c r="Y56" s="255">
        <v>2.0720000000000001</v>
      </c>
    </row>
    <row r="57" spans="2:25" ht="17.25" customHeight="1" thickTop="1" thickBot="1">
      <c r="B57" s="121">
        <f t="shared" si="7"/>
        <v>28</v>
      </c>
      <c r="C57" s="122" t="s">
        <v>63</v>
      </c>
      <c r="D57" s="182"/>
      <c r="E57" s="123"/>
      <c r="F57" s="123"/>
      <c r="G57" s="99"/>
      <c r="H57" s="124" t="s">
        <v>56</v>
      </c>
      <c r="I57" s="199">
        <f>I46</f>
        <v>11.59987948177162</v>
      </c>
      <c r="J57" s="201"/>
      <c r="K57" s="201"/>
      <c r="L57" s="201"/>
      <c r="M57" s="221" t="e">
        <f>M46</f>
        <v>#DIV/0!</v>
      </c>
      <c r="N57" s="168" t="s">
        <v>130</v>
      </c>
      <c r="Q57" s="332" t="str">
        <f>G65</f>
        <v>C</v>
      </c>
      <c r="R57" s="333"/>
      <c r="S57" s="333"/>
      <c r="T57" s="313" t="s">
        <v>176</v>
      </c>
      <c r="U57" s="314"/>
      <c r="V57" s="314"/>
      <c r="W57" s="255">
        <v>2.1480000000000001</v>
      </c>
      <c r="X57" s="255"/>
      <c r="Y57" s="255">
        <v>2.14</v>
      </c>
    </row>
    <row r="58" spans="2:25" ht="17.25" customHeight="1" thickTop="1" thickBot="1">
      <c r="B58" s="125">
        <f t="shared" si="7"/>
        <v>29</v>
      </c>
      <c r="C58" s="126" t="s">
        <v>110</v>
      </c>
      <c r="D58" s="184"/>
      <c r="E58" s="127"/>
      <c r="F58" s="127"/>
      <c r="G58" s="100"/>
      <c r="H58" s="128" t="s">
        <v>42</v>
      </c>
      <c r="I58" s="194">
        <f>ROUND(+I39*I55*I54/(100*I55-I39*I53),3)</f>
        <v>2.0510000000000002</v>
      </c>
      <c r="J58" s="194"/>
      <c r="K58" s="194"/>
      <c r="L58" s="194"/>
      <c r="M58" s="214" t="e">
        <f>ROUND(+M39*M55*M54/(100*M55-M39*M53),3)</f>
        <v>#DIV/0!</v>
      </c>
      <c r="N58" s="168" t="s">
        <v>110</v>
      </c>
      <c r="Q58" s="169">
        <f>+I58</f>
        <v>2.0510000000000002</v>
      </c>
      <c r="R58" s="169">
        <f>+J58</f>
        <v>0</v>
      </c>
      <c r="S58" s="246">
        <f t="shared" ref="S58" si="13">+K58</f>
        <v>0</v>
      </c>
      <c r="T58" s="337" t="s">
        <v>175</v>
      </c>
      <c r="U58" s="314"/>
      <c r="V58" s="314"/>
      <c r="W58" s="256">
        <v>9.1999999999999993</v>
      </c>
      <c r="X58" s="256"/>
      <c r="Y58" s="256">
        <v>9.5</v>
      </c>
    </row>
    <row r="59" spans="2:25" ht="17.25" customHeight="1" thickTop="1" thickBot="1">
      <c r="B59" s="331" t="s">
        <v>64</v>
      </c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20"/>
      <c r="N59" s="168" t="s">
        <v>121</v>
      </c>
      <c r="Q59" s="175">
        <f>+I39</f>
        <v>2.1269999999999998</v>
      </c>
      <c r="R59" s="175">
        <f t="shared" ref="R59:S59" si="14">+J39</f>
        <v>0</v>
      </c>
      <c r="S59" s="247">
        <f t="shared" si="14"/>
        <v>0</v>
      </c>
      <c r="T59" s="315" t="s">
        <v>177</v>
      </c>
      <c r="U59" s="314"/>
      <c r="V59" s="314"/>
      <c r="W59" s="257">
        <v>8.1999999999999993</v>
      </c>
      <c r="X59" s="257"/>
      <c r="Y59" s="257">
        <v>8.1999999999999993</v>
      </c>
    </row>
    <row r="60" spans="2:25" ht="17.25" customHeight="1" thickTop="1" thickBot="1">
      <c r="B60" s="116">
        <f>+B58+1</f>
        <v>30</v>
      </c>
      <c r="C60" s="117" t="s">
        <v>114</v>
      </c>
      <c r="D60" s="180"/>
      <c r="E60" s="118"/>
      <c r="F60" s="118"/>
      <c r="G60" s="119"/>
      <c r="H60" s="120" t="s">
        <v>42</v>
      </c>
      <c r="I60" s="202">
        <f>W56</f>
        <v>2.0779999999999998</v>
      </c>
      <c r="J60" s="222">
        <f>W56</f>
        <v>2.0779999999999998</v>
      </c>
      <c r="K60" s="222">
        <f>W56</f>
        <v>2.0779999999999998</v>
      </c>
      <c r="L60" s="222"/>
      <c r="M60" s="222"/>
      <c r="N60" s="168" t="s">
        <v>122</v>
      </c>
      <c r="Q60" s="170">
        <f>+I53</f>
        <v>20.6</v>
      </c>
      <c r="R60" s="170">
        <f t="shared" ref="R60:S60" si="15">+J53</f>
        <v>0</v>
      </c>
      <c r="S60" s="248">
        <f t="shared" si="15"/>
        <v>0</v>
      </c>
      <c r="T60" s="315" t="s">
        <v>178</v>
      </c>
      <c r="U60" s="314"/>
      <c r="V60" s="314"/>
      <c r="W60" s="255">
        <v>2.48</v>
      </c>
      <c r="X60" s="255"/>
      <c r="Y60" s="255">
        <v>2.4900000000000002</v>
      </c>
    </row>
    <row r="61" spans="2:25" ht="17.25" customHeight="1" thickTop="1" thickBot="1">
      <c r="B61" s="161">
        <f>+B60+1</f>
        <v>31</v>
      </c>
      <c r="C61" s="126" t="s">
        <v>67</v>
      </c>
      <c r="D61" s="184"/>
      <c r="E61" s="127"/>
      <c r="F61" s="127"/>
      <c r="G61" s="100"/>
      <c r="H61" s="128" t="s">
        <v>56</v>
      </c>
      <c r="I61" s="203">
        <f>ROUND(+(I58/I60)*100,1)</f>
        <v>98.7</v>
      </c>
      <c r="J61" s="223"/>
      <c r="K61" s="223"/>
      <c r="L61" s="223" t="e">
        <f>ROUND(+(L58/L60)*100,1)</f>
        <v>#DIV/0!</v>
      </c>
      <c r="M61" s="223" t="e">
        <f>ROUND(+(M58/M60)*100,1)</f>
        <v>#DIV/0!</v>
      </c>
      <c r="N61" s="168" t="s">
        <v>123</v>
      </c>
      <c r="Q61" s="176">
        <v>25</v>
      </c>
      <c r="R61" s="176">
        <f>+Q61</f>
        <v>25</v>
      </c>
      <c r="S61" s="249">
        <f>+R61</f>
        <v>25</v>
      </c>
      <c r="T61" s="313" t="s">
        <v>203</v>
      </c>
      <c r="U61" s="314"/>
      <c r="V61" s="314"/>
      <c r="W61" s="258">
        <v>3.3</v>
      </c>
      <c r="X61" s="258"/>
      <c r="Y61" s="258">
        <v>3.2</v>
      </c>
    </row>
    <row r="62" spans="2:25" ht="17.25" customHeight="1" thickTop="1" thickBot="1">
      <c r="B62" s="162"/>
      <c r="C62" s="323" t="s">
        <v>120</v>
      </c>
      <c r="D62" s="323"/>
      <c r="E62" s="323"/>
      <c r="F62" s="323"/>
      <c r="G62" s="323"/>
      <c r="H62" s="324"/>
      <c r="I62" s="163" t="str">
        <f>+IF(I61&gt;=G64,"CUMPLE","NO CUMPLE")</f>
        <v>CUMPLE</v>
      </c>
      <c r="J62" s="278" t="str">
        <f>+IF(J61&gt;=G64,"CUMPLE","NO CUMPLE")</f>
        <v>NO CUMPLE</v>
      </c>
      <c r="K62" s="278" t="str">
        <f>+IF(K61&gt;=G64,"CUMPLE","NO CUMPLE")</f>
        <v>NO CUMPLE</v>
      </c>
      <c r="L62" s="278"/>
      <c r="M62" s="224" t="e">
        <f>+IF(M61&gt;=G64,"CUMPLE","NO CUMPLE")</f>
        <v>#DIV/0!</v>
      </c>
      <c r="N62" s="168" t="s">
        <v>124</v>
      </c>
      <c r="O62" s="94"/>
      <c r="Q62" s="174">
        <v>2.0289999999999999</v>
      </c>
      <c r="R62" s="174">
        <v>2.0289999999999999</v>
      </c>
      <c r="S62" s="250">
        <v>2.0289999999999999</v>
      </c>
      <c r="T62" s="313" t="s">
        <v>180</v>
      </c>
      <c r="U62" s="314"/>
      <c r="V62" s="314"/>
      <c r="W62" s="255" t="s">
        <v>216</v>
      </c>
      <c r="X62" s="255"/>
      <c r="Y62" s="255" t="s">
        <v>216</v>
      </c>
    </row>
    <row r="63" spans="2:25" ht="17.25" customHeight="1" thickTop="1" thickBot="1">
      <c r="B63" s="318" t="s">
        <v>69</v>
      </c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20"/>
      <c r="N63" s="168" t="s">
        <v>125</v>
      </c>
      <c r="Q63" s="174">
        <v>2.1320000000000001</v>
      </c>
      <c r="R63" s="174">
        <f>+Q63</f>
        <v>2.1320000000000001</v>
      </c>
      <c r="S63" s="250">
        <f>+R63</f>
        <v>2.1320000000000001</v>
      </c>
      <c r="T63" s="313" t="s">
        <v>181</v>
      </c>
      <c r="U63" s="314"/>
      <c r="V63" s="314"/>
      <c r="W63" s="255" t="s">
        <v>228</v>
      </c>
      <c r="X63" s="255" t="s">
        <v>221</v>
      </c>
      <c r="Y63" s="255" t="s">
        <v>220</v>
      </c>
    </row>
    <row r="64" spans="2:25" ht="17.25" customHeight="1" thickTop="1" thickBot="1">
      <c r="B64" s="95" t="s">
        <v>70</v>
      </c>
      <c r="C64" s="96"/>
      <c r="D64" s="96"/>
      <c r="E64" s="97"/>
      <c r="F64" s="98"/>
      <c r="G64" s="104">
        <v>98</v>
      </c>
      <c r="H64" s="321" t="s">
        <v>71</v>
      </c>
      <c r="I64" s="322"/>
      <c r="J64" s="106" t="s">
        <v>136</v>
      </c>
      <c r="K64" s="316" t="s">
        <v>72</v>
      </c>
      <c r="L64" s="317"/>
      <c r="M64" s="164">
        <f>W67</f>
        <v>29</v>
      </c>
      <c r="N64" s="168" t="s">
        <v>126</v>
      </c>
      <c r="Q64" s="171">
        <f>IF(Q24="-","",ROUND(+(Q58/Q62)*100,1))</f>
        <v>101.1</v>
      </c>
      <c r="R64" s="171">
        <f t="shared" ref="R64:S64" si="16">IF(R24="-","",ROUND(+(R58/R62)*100,1))</f>
        <v>0</v>
      </c>
      <c r="S64" s="251">
        <f t="shared" si="16"/>
        <v>0</v>
      </c>
      <c r="T64" s="313" t="s">
        <v>204</v>
      </c>
      <c r="U64" s="314"/>
      <c r="V64" s="314"/>
      <c r="W64" s="257">
        <v>20.3</v>
      </c>
      <c r="X64" s="257"/>
      <c r="Y64" s="257">
        <v>19.2</v>
      </c>
    </row>
    <row r="65" spans="2:35" ht="17.25" customHeight="1" thickTop="1" thickBot="1">
      <c r="B65" s="95" t="s">
        <v>117</v>
      </c>
      <c r="C65" s="96"/>
      <c r="D65" s="96"/>
      <c r="E65" s="97"/>
      <c r="F65" s="98"/>
      <c r="G65" s="105" t="str">
        <f>W62</f>
        <v>C</v>
      </c>
      <c r="H65" s="321" t="s">
        <v>73</v>
      </c>
      <c r="I65" s="322"/>
      <c r="J65" s="106">
        <f>W66</f>
        <v>16.5</v>
      </c>
      <c r="K65" s="316" t="s">
        <v>74</v>
      </c>
      <c r="L65" s="317"/>
      <c r="M65" s="164">
        <f>W68</f>
        <v>17</v>
      </c>
      <c r="N65" s="168" t="s">
        <v>127</v>
      </c>
      <c r="Q65" s="171">
        <f>Q59/Q63*100</f>
        <v>99.765478424015001</v>
      </c>
      <c r="R65" s="171">
        <f t="shared" ref="R65:S65" si="17">R59/R63*100</f>
        <v>0</v>
      </c>
      <c r="S65" s="251">
        <f t="shared" si="17"/>
        <v>0</v>
      </c>
      <c r="T65" s="313" t="s">
        <v>198</v>
      </c>
      <c r="U65" s="314"/>
      <c r="V65" s="314"/>
      <c r="W65" s="257"/>
      <c r="X65" s="257"/>
      <c r="Y65" s="257"/>
    </row>
    <row r="66" spans="2:35" ht="17.25" customHeight="1" thickTop="1" thickBot="1">
      <c r="B66" s="95" t="s">
        <v>118</v>
      </c>
      <c r="C66" s="96"/>
      <c r="D66" s="96"/>
      <c r="E66" s="97"/>
      <c r="F66" s="98"/>
      <c r="G66" s="309">
        <f>W59</f>
        <v>8.1999999999999993</v>
      </c>
      <c r="H66" s="321" t="s">
        <v>75</v>
      </c>
      <c r="I66" s="322"/>
      <c r="J66" s="105">
        <f>W60</f>
        <v>2.48</v>
      </c>
      <c r="K66" s="316" t="s">
        <v>76</v>
      </c>
      <c r="L66" s="317"/>
      <c r="M66" s="164">
        <f>W69</f>
        <v>12</v>
      </c>
      <c r="N66" s="168" t="s">
        <v>128</v>
      </c>
      <c r="Q66" s="172">
        <f>Q64-Q65</f>
        <v>1.3345215759849935</v>
      </c>
      <c r="R66" s="172">
        <f>R64-R65</f>
        <v>0</v>
      </c>
      <c r="S66" s="252">
        <f>S64-S65</f>
        <v>0</v>
      </c>
      <c r="T66" s="313" t="s">
        <v>182</v>
      </c>
      <c r="U66" s="314"/>
      <c r="V66" s="314"/>
      <c r="W66" s="258">
        <v>16.5</v>
      </c>
      <c r="X66" s="258"/>
      <c r="Y66" s="258">
        <v>17</v>
      </c>
    </row>
    <row r="67" spans="2:35" ht="20.25" customHeight="1" thickTop="1" thickBot="1">
      <c r="B67" s="206" t="s">
        <v>77</v>
      </c>
      <c r="C67" s="119"/>
      <c r="D67" s="357" t="s">
        <v>231</v>
      </c>
      <c r="E67" s="357"/>
      <c r="F67" s="357"/>
      <c r="G67" s="357"/>
      <c r="H67" s="357"/>
      <c r="I67" s="357"/>
      <c r="J67" s="357"/>
      <c r="K67" s="357"/>
      <c r="L67" s="357"/>
      <c r="M67" s="358"/>
      <c r="N67" s="168" t="s">
        <v>129</v>
      </c>
      <c r="Q67" s="172">
        <f>Q60-Q61</f>
        <v>-4.3999999999999986</v>
      </c>
      <c r="R67" s="172">
        <f>R60-R61</f>
        <v>-25</v>
      </c>
      <c r="S67" s="252">
        <f t="shared" ref="S67" si="18">S60-S61</f>
        <v>-25</v>
      </c>
      <c r="T67" s="313" t="s">
        <v>183</v>
      </c>
      <c r="U67" s="314"/>
      <c r="V67" s="314"/>
      <c r="W67" s="258">
        <v>29</v>
      </c>
      <c r="X67" s="259"/>
      <c r="Y67" s="259">
        <v>30</v>
      </c>
    </row>
    <row r="68" spans="2:35" ht="20.25" customHeight="1" thickTop="1" thickBot="1">
      <c r="B68" s="348" t="s">
        <v>229</v>
      </c>
      <c r="C68" s="349"/>
      <c r="D68" s="349"/>
      <c r="E68" s="349"/>
      <c r="F68" s="349"/>
      <c r="G68" s="349"/>
      <c r="H68" s="349"/>
      <c r="I68" s="349"/>
      <c r="J68" s="349"/>
      <c r="K68" s="349"/>
      <c r="L68" s="349"/>
      <c r="M68" s="350"/>
      <c r="N68" s="261" t="s">
        <v>189</v>
      </c>
      <c r="O68" s="270">
        <v>371.06</v>
      </c>
      <c r="P68" s="261" t="s">
        <v>190</v>
      </c>
      <c r="Q68" s="173" t="str">
        <f>IF(Q24="-","",IF(Q64&gt;=$G$64,"CUMPLE","NO CUMPLE"))</f>
        <v>CUMPLE</v>
      </c>
      <c r="R68" s="173" t="str">
        <f t="shared" ref="R68:S68" si="19">IF(R24="-","",IF(R64&gt;=$G$64,"CUMPLE","NO CUMPLE"))</f>
        <v>NO CUMPLE</v>
      </c>
      <c r="S68" s="253" t="str">
        <f t="shared" si="19"/>
        <v>NO CUMPLE</v>
      </c>
      <c r="T68" s="313" t="s">
        <v>184</v>
      </c>
      <c r="U68" s="314"/>
      <c r="V68" s="314"/>
      <c r="W68" s="259">
        <v>17</v>
      </c>
      <c r="X68" s="259"/>
      <c r="Y68" s="259">
        <v>18</v>
      </c>
    </row>
    <row r="69" spans="2:35" ht="20.25" customHeight="1" thickTop="1" thickBot="1">
      <c r="B69" s="325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7"/>
      <c r="P69" s="89" t="s">
        <v>222</v>
      </c>
      <c r="T69" s="313" t="s">
        <v>185</v>
      </c>
      <c r="U69" s="314"/>
      <c r="V69" s="314"/>
      <c r="W69" s="259">
        <v>12</v>
      </c>
      <c r="X69" s="259"/>
      <c r="Y69" s="259">
        <v>12</v>
      </c>
    </row>
    <row r="70" spans="2:35" ht="20.25" hidden="1" customHeight="1">
      <c r="B70" s="329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7"/>
    </row>
    <row r="71" spans="2:35" ht="19.5" customHeight="1" thickTop="1">
      <c r="B71" s="101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3"/>
      <c r="P71" s="89" t="s">
        <v>218</v>
      </c>
    </row>
    <row r="72" spans="2:35" ht="108" customHeight="1">
      <c r="B72" s="101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3"/>
    </row>
    <row r="73" spans="2:35">
      <c r="P73" s="89" t="s">
        <v>223</v>
      </c>
    </row>
    <row r="74" spans="2:35" ht="19.5" customHeight="1">
      <c r="C74" s="328"/>
      <c r="D74" s="112"/>
      <c r="E74" s="328"/>
      <c r="F74" s="328"/>
      <c r="G74" s="328"/>
      <c r="H74" s="328"/>
      <c r="I74" s="328"/>
      <c r="J74" s="328"/>
      <c r="K74" s="328"/>
      <c r="L74" s="328"/>
      <c r="M74" s="328"/>
      <c r="N74" s="167"/>
      <c r="P74" s="328"/>
      <c r="Q74" s="328"/>
    </row>
    <row r="75" spans="2:35">
      <c r="C75" s="328"/>
      <c r="D75" s="112"/>
      <c r="E75" s="112"/>
      <c r="F75" s="112"/>
      <c r="G75" s="112"/>
      <c r="H75" s="328"/>
      <c r="I75" s="328"/>
      <c r="J75" s="328"/>
      <c r="K75" s="328"/>
      <c r="L75" s="112"/>
      <c r="M75" s="112"/>
      <c r="N75" s="112"/>
      <c r="P75" s="112"/>
      <c r="Q75" s="112"/>
    </row>
    <row r="77" spans="2:35" ht="25.05" customHeight="1">
      <c r="C77" s="312" t="s">
        <v>138</v>
      </c>
      <c r="D77" s="312" t="s">
        <v>139</v>
      </c>
      <c r="E77" s="312" t="s">
        <v>140</v>
      </c>
      <c r="F77" s="312" t="s">
        <v>141</v>
      </c>
      <c r="G77" s="312"/>
      <c r="H77" s="312" t="s">
        <v>88</v>
      </c>
      <c r="I77" s="312" t="s">
        <v>89</v>
      </c>
      <c r="J77" s="312" t="s">
        <v>90</v>
      </c>
      <c r="K77" s="312" t="s">
        <v>142</v>
      </c>
      <c r="L77" s="312" t="s">
        <v>143</v>
      </c>
      <c r="M77" s="312"/>
      <c r="N77" s="312" t="s">
        <v>145</v>
      </c>
      <c r="O77" s="312" t="s">
        <v>29</v>
      </c>
      <c r="P77" s="312"/>
      <c r="Q77" s="312" t="s">
        <v>146</v>
      </c>
      <c r="R77" s="312" t="s">
        <v>147</v>
      </c>
      <c r="S77" s="312"/>
      <c r="T77" s="312"/>
      <c r="U77" s="312"/>
      <c r="V77" s="312"/>
      <c r="W77" s="312"/>
      <c r="X77" s="312" t="s">
        <v>149</v>
      </c>
      <c r="Y77" s="312"/>
      <c r="Z77" s="312"/>
      <c r="AA77" s="312"/>
      <c r="AB77" s="312"/>
      <c r="AC77" s="312"/>
      <c r="AD77" s="312" t="s">
        <v>148</v>
      </c>
      <c r="AE77" s="312" t="s">
        <v>148</v>
      </c>
      <c r="AF77" s="312" t="s">
        <v>151</v>
      </c>
      <c r="AG77" s="312" t="s">
        <v>152</v>
      </c>
      <c r="AH77" s="312" t="s">
        <v>200</v>
      </c>
      <c r="AI77" s="369" t="s">
        <v>153</v>
      </c>
    </row>
    <row r="78" spans="2:35" ht="25.05" customHeight="1">
      <c r="C78" s="312"/>
      <c r="D78" s="312"/>
      <c r="E78" s="312"/>
      <c r="F78" s="312"/>
      <c r="G78" s="312"/>
      <c r="H78" s="312"/>
      <c r="I78" s="312"/>
      <c r="J78" s="312"/>
      <c r="K78" s="312"/>
      <c r="L78" s="312" t="s">
        <v>154</v>
      </c>
      <c r="M78" s="312" t="s">
        <v>155</v>
      </c>
      <c r="N78" s="312"/>
      <c r="O78" s="312"/>
      <c r="P78" s="312"/>
      <c r="Q78" s="312"/>
      <c r="R78" s="312" t="s">
        <v>156</v>
      </c>
      <c r="S78" s="312" t="s">
        <v>157</v>
      </c>
      <c r="T78" s="312" t="s">
        <v>158</v>
      </c>
      <c r="U78" s="312" t="s">
        <v>159</v>
      </c>
      <c r="V78" s="312" t="s">
        <v>99</v>
      </c>
      <c r="W78" s="312" t="s">
        <v>160</v>
      </c>
      <c r="X78" s="312" t="s">
        <v>161</v>
      </c>
      <c r="Y78" s="312" t="s">
        <v>162</v>
      </c>
      <c r="Z78" s="312" t="s">
        <v>159</v>
      </c>
      <c r="AA78" s="312" t="s">
        <v>163</v>
      </c>
      <c r="AB78" s="312" t="s">
        <v>164</v>
      </c>
      <c r="AC78" s="312" t="s">
        <v>102</v>
      </c>
      <c r="AD78" s="312"/>
      <c r="AE78" s="312"/>
      <c r="AF78" s="312"/>
      <c r="AG78" s="312"/>
      <c r="AH78" s="312"/>
      <c r="AI78" s="370"/>
    </row>
    <row r="79" spans="2:35" ht="25.05" customHeight="1">
      <c r="C79" s="312"/>
      <c r="D79" s="312"/>
      <c r="E79" s="312"/>
      <c r="F79" s="301" t="s">
        <v>26</v>
      </c>
      <c r="G79" s="301" t="s">
        <v>87</v>
      </c>
      <c r="H79" s="312"/>
      <c r="I79" s="312"/>
      <c r="J79" s="312"/>
      <c r="K79" s="312"/>
      <c r="L79" s="312"/>
      <c r="M79" s="312"/>
      <c r="N79" s="312"/>
      <c r="O79" s="301" t="s">
        <v>168</v>
      </c>
      <c r="P79" s="301" t="s">
        <v>169</v>
      </c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71"/>
    </row>
    <row r="80" spans="2:35" ht="20.399999999999999">
      <c r="C80" s="134">
        <f>I16</f>
        <v>49</v>
      </c>
      <c r="D80" s="233" t="str">
        <f>L14</f>
        <v>SGS-CA12-Z3-045</v>
      </c>
      <c r="E80" s="234">
        <f>L13</f>
        <v>46120</v>
      </c>
      <c r="F80" s="282" t="str">
        <f>I20</f>
        <v>Inboard</v>
      </c>
      <c r="G80" s="235" t="str">
        <f>E13</f>
        <v xml:space="preserve">SD5 - COT - Capa Nº 45 (12 Ciclos) </v>
      </c>
      <c r="H80" s="283">
        <f>I22</f>
        <v>45</v>
      </c>
      <c r="I80" s="283">
        <f>I21*10</f>
        <v>300</v>
      </c>
      <c r="J80" s="306">
        <f>I18*1000</f>
        <v>200</v>
      </c>
      <c r="K80" s="284">
        <f>L80+M80</f>
        <v>12</v>
      </c>
      <c r="L80" s="285">
        <v>12</v>
      </c>
      <c r="M80" s="286">
        <v>0</v>
      </c>
      <c r="N80" s="287">
        <f>I25</f>
        <v>2674.3150000000001</v>
      </c>
      <c r="O80" s="287">
        <f>I23</f>
        <v>8166207.5039999997</v>
      </c>
      <c r="P80" s="287">
        <f>I24</f>
        <v>222746.07</v>
      </c>
      <c r="Q80" s="288" t="s">
        <v>170</v>
      </c>
      <c r="R80" s="289" t="str">
        <f>W63</f>
        <v>SGS-C-Z3-020</v>
      </c>
      <c r="S80" s="240">
        <f>I60</f>
        <v>2.0779999999999998</v>
      </c>
      <c r="T80" s="145">
        <f>W58</f>
        <v>9.1999999999999993</v>
      </c>
      <c r="U80" s="145">
        <f>W64</f>
        <v>20.3</v>
      </c>
      <c r="V80" s="145">
        <f>W59</f>
        <v>8.1999999999999993</v>
      </c>
      <c r="W80" s="145" t="str">
        <f>W62</f>
        <v>C</v>
      </c>
      <c r="X80" s="240">
        <f>I38</f>
        <v>2.3380000000000001</v>
      </c>
      <c r="Y80" s="145">
        <f>I47</f>
        <v>9.9</v>
      </c>
      <c r="Z80" s="145">
        <f>I53</f>
        <v>20.6</v>
      </c>
      <c r="AA80" s="240">
        <f>I58</f>
        <v>2.0510000000000002</v>
      </c>
      <c r="AB80" s="145">
        <f>I46</f>
        <v>11.59987948177162</v>
      </c>
      <c r="AC80" s="144">
        <f>IF(AA80="","",100*AA80/(S80))</f>
        <v>98.700673724735339</v>
      </c>
      <c r="AD80" s="290">
        <v>98</v>
      </c>
      <c r="AE80" s="145" t="str">
        <f>IF(AC80&gt;=AD80,"Cumple","No Cumple")</f>
        <v>Cumple</v>
      </c>
      <c r="AF80" s="291" t="s">
        <v>199</v>
      </c>
      <c r="AG80" s="292" t="str">
        <f>T55</f>
        <v xml:space="preserve">Pila </v>
      </c>
      <c r="AH80" s="277">
        <f>W55</f>
        <v>20</v>
      </c>
      <c r="AI80" s="177"/>
    </row>
    <row r="81" spans="3:35" ht="20.399999999999999">
      <c r="C81" s="134">
        <f>J16</f>
        <v>0</v>
      </c>
      <c r="D81" s="233" t="str">
        <f>L14</f>
        <v>SGS-CA12-Z3-045</v>
      </c>
      <c r="E81" s="234">
        <f>L13</f>
        <v>46120</v>
      </c>
      <c r="F81" s="282">
        <f>J20</f>
        <v>0</v>
      </c>
      <c r="G81" s="235" t="str">
        <f>E13</f>
        <v xml:space="preserve">SD5 - COT - Capa Nº 45 (12 Ciclos) </v>
      </c>
      <c r="H81" s="283">
        <f>J22</f>
        <v>0</v>
      </c>
      <c r="I81" s="283">
        <f>J21*10</f>
        <v>0</v>
      </c>
      <c r="J81" s="293">
        <f>I18</f>
        <v>0.2</v>
      </c>
      <c r="K81" s="284">
        <f t="shared" ref="K81:K82" si="20">L81+M81</f>
        <v>14</v>
      </c>
      <c r="L81" s="285">
        <v>14</v>
      </c>
      <c r="M81" s="286">
        <v>0</v>
      </c>
      <c r="N81" s="287">
        <f>J25</f>
        <v>0</v>
      </c>
      <c r="O81" s="287">
        <f>J23</f>
        <v>0</v>
      </c>
      <c r="P81" s="287">
        <f>J24</f>
        <v>0</v>
      </c>
      <c r="Q81" s="288" t="s">
        <v>170</v>
      </c>
      <c r="R81" s="289" t="str">
        <f>W63</f>
        <v>SGS-C-Z3-020</v>
      </c>
      <c r="S81" s="240">
        <f>I60</f>
        <v>2.0779999999999998</v>
      </c>
      <c r="T81" s="145">
        <f>W58</f>
        <v>9.1999999999999993</v>
      </c>
      <c r="U81" s="145">
        <f>W64</f>
        <v>20.3</v>
      </c>
      <c r="V81" s="145">
        <f>W59</f>
        <v>8.1999999999999993</v>
      </c>
      <c r="W81" s="145" t="str">
        <f>W62</f>
        <v>C</v>
      </c>
      <c r="X81" s="240">
        <f>J38</f>
        <v>0</v>
      </c>
      <c r="Y81" s="145">
        <f>J47</f>
        <v>0</v>
      </c>
      <c r="Z81" s="145">
        <f>J53</f>
        <v>0</v>
      </c>
      <c r="AA81" s="240">
        <f>J58</f>
        <v>0</v>
      </c>
      <c r="AB81" s="145">
        <f>J46</f>
        <v>0</v>
      </c>
      <c r="AC81" s="144">
        <f>IF(AA81="","",100*AA81/(S81))</f>
        <v>0</v>
      </c>
      <c r="AD81" s="290">
        <v>98</v>
      </c>
      <c r="AE81" s="145" t="str">
        <f t="shared" ref="AE81:AE82" si="21">IF(AC81&gt;=AD81,"Cumple","No Cumple")</f>
        <v>No Cumple</v>
      </c>
      <c r="AF81" s="294" t="s">
        <v>199</v>
      </c>
      <c r="AG81" s="268" t="str">
        <f>T55</f>
        <v xml:space="preserve">Pila </v>
      </c>
      <c r="AH81" s="277">
        <f>W55</f>
        <v>20</v>
      </c>
      <c r="AI81" s="177"/>
    </row>
    <row r="82" spans="3:35" ht="20.399999999999999">
      <c r="C82" s="134">
        <f>K16</f>
        <v>0</v>
      </c>
      <c r="D82" s="233" t="str">
        <f>L14</f>
        <v>SGS-CA12-Z3-045</v>
      </c>
      <c r="E82" s="234">
        <f>L13</f>
        <v>46120</v>
      </c>
      <c r="F82" s="282">
        <f>K20</f>
        <v>0</v>
      </c>
      <c r="G82" s="235" t="str">
        <f>E13</f>
        <v xml:space="preserve">SD5 - COT - Capa Nº 45 (12 Ciclos) </v>
      </c>
      <c r="H82" s="283">
        <f>K22</f>
        <v>0</v>
      </c>
      <c r="I82" s="283">
        <f>K21*10</f>
        <v>0</v>
      </c>
      <c r="J82" s="293">
        <f>I18</f>
        <v>0.2</v>
      </c>
      <c r="K82" s="284">
        <f t="shared" si="20"/>
        <v>14</v>
      </c>
      <c r="L82" s="285">
        <v>14</v>
      </c>
      <c r="M82" s="286">
        <v>0</v>
      </c>
      <c r="N82" s="287">
        <f>K25</f>
        <v>0</v>
      </c>
      <c r="O82" s="287">
        <f>K23</f>
        <v>0</v>
      </c>
      <c r="P82" s="287">
        <f>K24</f>
        <v>0</v>
      </c>
      <c r="Q82" s="288" t="s">
        <v>170</v>
      </c>
      <c r="R82" s="289" t="str">
        <f>W63</f>
        <v>SGS-C-Z3-020</v>
      </c>
      <c r="S82" s="240">
        <f>I60</f>
        <v>2.0779999999999998</v>
      </c>
      <c r="T82" s="145">
        <f>W58</f>
        <v>9.1999999999999993</v>
      </c>
      <c r="U82" s="145">
        <f>W64</f>
        <v>20.3</v>
      </c>
      <c r="V82" s="145">
        <f>W59</f>
        <v>8.1999999999999993</v>
      </c>
      <c r="W82" s="145" t="str">
        <f>W62</f>
        <v>C</v>
      </c>
      <c r="X82" s="240">
        <f>K38</f>
        <v>0</v>
      </c>
      <c r="Y82" s="145">
        <f>K47</f>
        <v>0</v>
      </c>
      <c r="Z82" s="145">
        <f>K53</f>
        <v>0</v>
      </c>
      <c r="AA82" s="240">
        <f>K58</f>
        <v>0</v>
      </c>
      <c r="AB82" s="145">
        <f>K46</f>
        <v>0</v>
      </c>
      <c r="AC82" s="144">
        <f>IF(AA82="","",100*AA82/(S82))</f>
        <v>0</v>
      </c>
      <c r="AD82" s="290">
        <v>98</v>
      </c>
      <c r="AE82" s="145" t="str">
        <f t="shared" si="21"/>
        <v>No Cumple</v>
      </c>
      <c r="AF82" s="294" t="s">
        <v>199</v>
      </c>
      <c r="AG82" s="268" t="str">
        <f>T55</f>
        <v xml:space="preserve">Pila </v>
      </c>
      <c r="AH82" s="277">
        <f>W55</f>
        <v>20</v>
      </c>
      <c r="AI82" s="177"/>
    </row>
    <row r="83" spans="3:35" ht="26.55" customHeight="1">
      <c r="C83" s="295"/>
      <c r="D83" s="295"/>
      <c r="E83" s="295"/>
      <c r="F83" s="295"/>
      <c r="G83" s="295"/>
      <c r="H83" s="295"/>
      <c r="I83" s="295"/>
      <c r="J83" s="295"/>
      <c r="K83" s="295"/>
      <c r="L83" s="296"/>
      <c r="M83" s="297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</row>
    <row r="84" spans="3:35" ht="27.75" customHeight="1">
      <c r="L84" s="298"/>
      <c r="M84" s="299"/>
    </row>
  </sheetData>
  <protectedRanges>
    <protectedRange sqref="O2:R3" name="Rango3_4_2_2_1_1_1"/>
    <protectedRange sqref="G2:N3" name="Rango3_1_1_1_1_2_1_1_1"/>
    <protectedRange sqref="Q4:Q10" name="Rango3_1_1_1_1_1_2_3_1"/>
    <protectedRange sqref="O1:P1" name="Rango3_4_2_2_2_1_1"/>
    <protectedRange sqref="C1:D1" name="Rango3_1_2_1_3_1"/>
  </protectedRanges>
  <mergeCells count="91">
    <mergeCell ref="AI77:AI79"/>
    <mergeCell ref="AD77:AD79"/>
    <mergeCell ref="AE77:AE79"/>
    <mergeCell ref="AF77:AF79"/>
    <mergeCell ref="AG77:AG79"/>
    <mergeCell ref="AH77:AH79"/>
    <mergeCell ref="P4:R4"/>
    <mergeCell ref="B11:M11"/>
    <mergeCell ref="B12:M12"/>
    <mergeCell ref="P14:Q14"/>
    <mergeCell ref="P13:Q13"/>
    <mergeCell ref="P11:Q11"/>
    <mergeCell ref="P15:Q15"/>
    <mergeCell ref="P16:Q16"/>
    <mergeCell ref="B68:M68"/>
    <mergeCell ref="H66:I66"/>
    <mergeCell ref="B23:G25"/>
    <mergeCell ref="B26:M26"/>
    <mergeCell ref="B34:M34"/>
    <mergeCell ref="B40:M40"/>
    <mergeCell ref="K65:L65"/>
    <mergeCell ref="D67:M67"/>
    <mergeCell ref="X41:X45"/>
    <mergeCell ref="B48:M48"/>
    <mergeCell ref="B59:M59"/>
    <mergeCell ref="T41:T45"/>
    <mergeCell ref="Q57:S57"/>
    <mergeCell ref="Q56:S56"/>
    <mergeCell ref="W41:W45"/>
    <mergeCell ref="V41:V45"/>
    <mergeCell ref="U41:U45"/>
    <mergeCell ref="T56:V56"/>
    <mergeCell ref="T57:V57"/>
    <mergeCell ref="T58:V58"/>
    <mergeCell ref="T59:V59"/>
    <mergeCell ref="T53:V54"/>
    <mergeCell ref="W53:X53"/>
    <mergeCell ref="B69:M69"/>
    <mergeCell ref="L74:M74"/>
    <mergeCell ref="P74:Q74"/>
    <mergeCell ref="C74:C75"/>
    <mergeCell ref="E74:G74"/>
    <mergeCell ref="H74:H75"/>
    <mergeCell ref="I74:I75"/>
    <mergeCell ref="J74:J75"/>
    <mergeCell ref="K74:K75"/>
    <mergeCell ref="B70:M70"/>
    <mergeCell ref="T60:V60"/>
    <mergeCell ref="T67:V67"/>
    <mergeCell ref="K66:L66"/>
    <mergeCell ref="B63:M63"/>
    <mergeCell ref="H64:I64"/>
    <mergeCell ref="K64:L64"/>
    <mergeCell ref="H65:I65"/>
    <mergeCell ref="T61:V61"/>
    <mergeCell ref="T62:V62"/>
    <mergeCell ref="T65:V65"/>
    <mergeCell ref="C62:H62"/>
    <mergeCell ref="C77:C79"/>
    <mergeCell ref="D77:D79"/>
    <mergeCell ref="E77:E79"/>
    <mergeCell ref="F77:G78"/>
    <mergeCell ref="H77:H79"/>
    <mergeCell ref="AB78:AB79"/>
    <mergeCell ref="I77:I79"/>
    <mergeCell ref="J77:J79"/>
    <mergeCell ref="K77:K79"/>
    <mergeCell ref="L77:M77"/>
    <mergeCell ref="L78:L79"/>
    <mergeCell ref="M78:M79"/>
    <mergeCell ref="X77:AC77"/>
    <mergeCell ref="AC78:AC79"/>
    <mergeCell ref="N77:N79"/>
    <mergeCell ref="O77:P78"/>
    <mergeCell ref="Q77:Q79"/>
    <mergeCell ref="R77:W77"/>
    <mergeCell ref="R78:R79"/>
    <mergeCell ref="S78:S79"/>
    <mergeCell ref="T78:T79"/>
    <mergeCell ref="Z78:Z79"/>
    <mergeCell ref="AA78:AA79"/>
    <mergeCell ref="T63:V63"/>
    <mergeCell ref="T64:V64"/>
    <mergeCell ref="T66:V66"/>
    <mergeCell ref="U78:U79"/>
    <mergeCell ref="V78:V79"/>
    <mergeCell ref="W78:W79"/>
    <mergeCell ref="X78:X79"/>
    <mergeCell ref="Y78:Y79"/>
    <mergeCell ref="T68:V68"/>
    <mergeCell ref="T69:V69"/>
  </mergeCells>
  <conditionalFormatting sqref="I61 L61:M61">
    <cfRule type="cellIs" dxfId="12" priority="6" stopIfTrue="1" operator="lessThan">
      <formula>$G$64</formula>
    </cfRule>
  </conditionalFormatting>
  <conditionalFormatting sqref="Q64:S65">
    <cfRule type="cellIs" dxfId="11" priority="4" stopIfTrue="1" operator="lessThan">
      <formula>$G$64</formula>
    </cfRule>
  </conditionalFormatting>
  <conditionalFormatting sqref="Q66:S68">
    <cfRule type="cellIs" dxfId="10" priority="1" stopIfTrue="1" operator="lessThan">
      <formula>$G$70</formula>
    </cfRule>
  </conditionalFormatting>
  <conditionalFormatting sqref="T46:X46">
    <cfRule type="cellIs" dxfId="9" priority="11" stopIfTrue="1" operator="notBetween">
      <formula>$T$49</formula>
      <formula>$T$50</formula>
    </cfRule>
  </conditionalFormatting>
  <conditionalFormatting sqref="AC80:AC82">
    <cfRule type="cellIs" dxfId="8" priority="2" operator="lessThan">
      <formula>$Y$16</formula>
    </cfRule>
    <cfRule type="cellIs" dxfId="7" priority="3" operator="greaterThanOrEqual">
      <formula>$Y$16</formula>
    </cfRule>
  </conditionalFormatting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54" orientation="portrait" horizontalDpi="300" verticalDpi="300" r:id="rId1"/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896C-9213-47AD-B640-372173A21FBD}">
  <sheetPr>
    <pageSetUpPr fitToPage="1"/>
  </sheetPr>
  <dimension ref="B1:CK86"/>
  <sheetViews>
    <sheetView showGridLines="0" view="pageBreakPreview" topLeftCell="A32" zoomScale="85" zoomScaleNormal="80" zoomScaleSheetLayoutView="85" workbookViewId="0">
      <selection activeCell="I41" sqref="I41"/>
    </sheetView>
  </sheetViews>
  <sheetFormatPr baseColWidth="10" defaultColWidth="11.5" defaultRowHeight="13.2"/>
  <cols>
    <col min="1" max="1" width="1" style="89" customWidth="1"/>
    <col min="2" max="2" width="3.19921875" style="89" customWidth="1"/>
    <col min="3" max="3" width="13.5" style="89" customWidth="1"/>
    <col min="4" max="4" width="13" style="89" customWidth="1"/>
    <col min="5" max="5" width="13.796875" style="89" customWidth="1"/>
    <col min="6" max="6" width="8.19921875" style="89" customWidth="1"/>
    <col min="7" max="8" width="11.796875" style="89" customWidth="1"/>
    <col min="9" max="13" width="16.19921875" style="89" customWidth="1"/>
    <col min="14" max="16384" width="11.5" style="89"/>
  </cols>
  <sheetData>
    <row r="1" spans="2:89" s="13" customFormat="1" ht="18.75" customHeight="1">
      <c r="B1" s="1"/>
      <c r="C1" s="2"/>
      <c r="D1" s="2"/>
      <c r="E1" s="3" t="s">
        <v>0</v>
      </c>
      <c r="F1" s="4"/>
      <c r="G1" s="5"/>
      <c r="H1" s="6"/>
      <c r="I1" s="6"/>
      <c r="J1" s="7"/>
      <c r="K1" s="8" t="s">
        <v>1</v>
      </c>
      <c r="L1" s="6"/>
      <c r="M1" s="9" t="s">
        <v>2</v>
      </c>
      <c r="N1" s="10"/>
      <c r="O1" s="11"/>
      <c r="P1" s="11"/>
      <c r="Q1" s="11"/>
      <c r="R1" s="12"/>
    </row>
    <row r="2" spans="2:89" s="12" customFormat="1" ht="18.75" customHeight="1">
      <c r="B2" s="14"/>
      <c r="C2" s="15"/>
      <c r="D2" s="15"/>
      <c r="E2" s="16" t="s">
        <v>3</v>
      </c>
      <c r="F2" s="17"/>
      <c r="G2" s="18"/>
      <c r="H2" s="19"/>
      <c r="I2" s="19"/>
      <c r="J2" s="20"/>
      <c r="K2" s="21" t="s">
        <v>4</v>
      </c>
      <c r="L2" s="19"/>
      <c r="M2" s="22">
        <v>2</v>
      </c>
      <c r="N2" s="11"/>
      <c r="O2" s="11"/>
      <c r="P2" s="11"/>
      <c r="Q2" s="11"/>
      <c r="R2" s="11"/>
    </row>
    <row r="3" spans="2:89" s="12" customFormat="1" ht="18.75" customHeight="1">
      <c r="B3" s="14"/>
      <c r="C3" s="15"/>
      <c r="D3" s="15"/>
      <c r="E3" s="16" t="s">
        <v>78</v>
      </c>
      <c r="F3" s="17"/>
      <c r="G3" s="23"/>
      <c r="H3" s="24"/>
      <c r="I3" s="24"/>
      <c r="J3" s="25"/>
      <c r="K3" s="21" t="s">
        <v>5</v>
      </c>
      <c r="L3" s="24"/>
      <c r="M3" s="26">
        <v>45659</v>
      </c>
      <c r="N3" s="24"/>
      <c r="O3" s="24"/>
      <c r="P3" s="24"/>
      <c r="Q3" s="24"/>
      <c r="R3" s="24"/>
    </row>
    <row r="4" spans="2:89" s="33" customFormat="1" ht="18.75" customHeight="1">
      <c r="B4" s="27"/>
      <c r="C4" s="28"/>
      <c r="D4" s="28"/>
      <c r="E4" s="28"/>
      <c r="F4" s="28"/>
      <c r="G4" s="29"/>
      <c r="H4" s="29"/>
      <c r="I4" s="29"/>
      <c r="J4" s="30"/>
      <c r="K4" s="31" t="s">
        <v>6</v>
      </c>
      <c r="L4" s="29"/>
      <c r="M4" s="32" t="s">
        <v>7</v>
      </c>
      <c r="O4" s="34"/>
      <c r="P4" s="359"/>
      <c r="Q4" s="359"/>
      <c r="R4" s="359"/>
      <c r="AM4" s="36"/>
      <c r="AN4" s="37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7"/>
      <c r="BK4" s="37"/>
      <c r="BL4" s="37"/>
      <c r="BM4" s="37"/>
      <c r="BN4" s="37"/>
      <c r="BO4" s="39"/>
      <c r="BP4" s="39"/>
      <c r="BQ4" s="39"/>
      <c r="BR4" s="39"/>
      <c r="BS4" s="39"/>
      <c r="BT4" s="39"/>
      <c r="BU4" s="40"/>
      <c r="BV4" s="40"/>
      <c r="BW4" s="40"/>
      <c r="BX4" s="39"/>
      <c r="BY4" s="41"/>
      <c r="BZ4" s="42"/>
      <c r="CA4" s="42"/>
      <c r="CB4" s="42"/>
      <c r="CC4" s="42"/>
      <c r="CD4" s="42"/>
      <c r="CE4" s="42"/>
      <c r="CF4" s="41"/>
      <c r="CG4" s="43"/>
      <c r="CH4" s="44"/>
      <c r="CI4" s="45"/>
      <c r="CJ4" s="45"/>
      <c r="CK4" s="41"/>
    </row>
    <row r="5" spans="2:89" s="33" customFormat="1" ht="22.05" customHeight="1">
      <c r="B5" s="46" t="s">
        <v>8</v>
      </c>
      <c r="C5" s="47" t="s">
        <v>8</v>
      </c>
      <c r="D5" s="47"/>
      <c r="E5" s="113" t="s">
        <v>79</v>
      </c>
      <c r="F5" s="48"/>
      <c r="G5" s="49"/>
      <c r="H5" s="49"/>
      <c r="I5" s="49"/>
      <c r="J5" s="50" t="s">
        <v>9</v>
      </c>
      <c r="L5" s="165" t="s">
        <v>135</v>
      </c>
      <c r="M5" s="51"/>
      <c r="O5" s="34"/>
      <c r="P5" s="35"/>
      <c r="Q5" s="35"/>
      <c r="R5" s="35"/>
      <c r="AM5" s="36"/>
      <c r="AN5" s="37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7"/>
      <c r="BK5" s="37"/>
      <c r="BL5" s="37"/>
      <c r="BM5" s="37"/>
      <c r="BN5" s="37"/>
      <c r="BO5" s="39"/>
      <c r="BP5" s="39"/>
      <c r="BQ5" s="39"/>
      <c r="BR5" s="39"/>
      <c r="BS5" s="39"/>
      <c r="BT5" s="39"/>
      <c r="BU5" s="40"/>
      <c r="BV5" s="40"/>
      <c r="BW5" s="40"/>
      <c r="BX5" s="39"/>
      <c r="BY5" s="41"/>
      <c r="BZ5" s="42"/>
      <c r="CA5" s="42"/>
      <c r="CB5" s="42"/>
      <c r="CC5" s="42"/>
      <c r="CD5" s="42"/>
      <c r="CE5" s="42"/>
      <c r="CF5" s="41"/>
      <c r="CG5" s="43"/>
      <c r="CH5" s="44"/>
      <c r="CI5" s="45"/>
      <c r="CJ5" s="45"/>
      <c r="CK5" s="41"/>
    </row>
    <row r="6" spans="2:89" s="33" customFormat="1" ht="22.05" customHeight="1">
      <c r="B6" s="52" t="s">
        <v>10</v>
      </c>
      <c r="C6" s="53" t="s">
        <v>10</v>
      </c>
      <c r="D6" s="53"/>
      <c r="E6" s="114" t="s">
        <v>119</v>
      </c>
      <c r="F6" s="54"/>
      <c r="G6" s="54"/>
      <c r="H6" s="54"/>
      <c r="I6" s="54"/>
      <c r="J6" s="55" t="s">
        <v>11</v>
      </c>
      <c r="L6" s="166" t="s">
        <v>137</v>
      </c>
      <c r="M6" s="56"/>
      <c r="O6" s="34"/>
      <c r="P6" s="35"/>
      <c r="Q6" s="35"/>
      <c r="R6" s="35"/>
      <c r="AM6" s="36"/>
      <c r="AN6" s="37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7"/>
      <c r="BK6" s="37"/>
      <c r="BL6" s="37"/>
      <c r="BM6" s="37"/>
      <c r="BN6" s="37"/>
      <c r="BO6" s="39"/>
      <c r="BP6" s="39"/>
      <c r="BQ6" s="39"/>
      <c r="BR6" s="39"/>
      <c r="BS6" s="39"/>
      <c r="BT6" s="39"/>
      <c r="BU6" s="40"/>
      <c r="BV6" s="40"/>
      <c r="BW6" s="40"/>
      <c r="BX6" s="39"/>
      <c r="BY6" s="41"/>
      <c r="BZ6" s="42"/>
      <c r="CA6" s="42"/>
      <c r="CB6" s="42"/>
      <c r="CC6" s="42"/>
      <c r="CD6" s="42"/>
      <c r="CE6" s="42"/>
      <c r="CF6" s="41"/>
      <c r="CG6" s="43"/>
      <c r="CH6" s="44"/>
      <c r="CI6" s="45"/>
      <c r="CJ6" s="45"/>
      <c r="CK6" s="41"/>
    </row>
    <row r="7" spans="2:89" s="33" customFormat="1" ht="22.05" customHeight="1">
      <c r="B7" s="52" t="s">
        <v>12</v>
      </c>
      <c r="C7" s="53" t="s">
        <v>12</v>
      </c>
      <c r="D7" s="53"/>
      <c r="E7" s="114" t="s">
        <v>192</v>
      </c>
      <c r="F7" s="57"/>
      <c r="G7" s="58"/>
      <c r="H7" s="58"/>
      <c r="I7" s="58"/>
      <c r="J7" s="55" t="s">
        <v>13</v>
      </c>
      <c r="L7" s="115">
        <f>+L13</f>
        <v>46120</v>
      </c>
      <c r="M7" s="56"/>
      <c r="O7" s="34"/>
      <c r="P7" s="35"/>
      <c r="Q7" s="35"/>
      <c r="R7" s="35"/>
      <c r="AM7" s="36"/>
      <c r="AN7" s="37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7"/>
      <c r="BK7" s="37"/>
      <c r="BL7" s="37"/>
      <c r="BM7" s="37"/>
      <c r="BN7" s="37"/>
      <c r="BO7" s="39"/>
      <c r="BP7" s="39"/>
      <c r="BQ7" s="39"/>
      <c r="BR7" s="39"/>
      <c r="BS7" s="39"/>
      <c r="BT7" s="39"/>
      <c r="BU7" s="40"/>
      <c r="BV7" s="40"/>
      <c r="BW7" s="40"/>
      <c r="BX7" s="39"/>
      <c r="BY7" s="41"/>
      <c r="BZ7" s="42"/>
      <c r="CA7" s="42"/>
      <c r="CB7" s="42"/>
      <c r="CC7" s="42"/>
      <c r="CD7" s="42"/>
      <c r="CE7" s="42"/>
      <c r="CF7" s="41"/>
      <c r="CG7" s="43"/>
      <c r="CH7" s="44"/>
      <c r="CI7" s="45"/>
      <c r="CJ7" s="45"/>
      <c r="CK7" s="41"/>
    </row>
    <row r="8" spans="2:89" s="33" customFormat="1" ht="22.05" customHeight="1">
      <c r="B8" s="52" t="s">
        <v>14</v>
      </c>
      <c r="C8" s="53" t="s">
        <v>14</v>
      </c>
      <c r="D8" s="53"/>
      <c r="E8" s="114" t="s">
        <v>134</v>
      </c>
      <c r="F8" s="58"/>
      <c r="G8" s="58"/>
      <c r="H8" s="58"/>
      <c r="I8" s="58"/>
      <c r="J8" s="55" t="s">
        <v>15</v>
      </c>
      <c r="L8" s="115"/>
      <c r="M8" s="56"/>
      <c r="O8" s="34"/>
      <c r="P8" s="35"/>
      <c r="Q8" s="35"/>
      <c r="R8" s="35"/>
      <c r="AM8" s="36"/>
      <c r="AN8" s="37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7"/>
      <c r="BK8" s="37"/>
      <c r="BL8" s="37"/>
      <c r="BM8" s="37"/>
      <c r="BN8" s="37"/>
      <c r="BO8" s="39"/>
      <c r="BP8" s="39"/>
      <c r="BQ8" s="39"/>
      <c r="BR8" s="39"/>
      <c r="BS8" s="39"/>
      <c r="BT8" s="39"/>
      <c r="BU8" s="40"/>
      <c r="BV8" s="40"/>
      <c r="BW8" s="40"/>
      <c r="BX8" s="39"/>
      <c r="BY8" s="41"/>
      <c r="BZ8" s="42"/>
      <c r="CA8" s="42"/>
      <c r="CB8" s="42"/>
      <c r="CC8" s="42"/>
      <c r="CD8" s="42"/>
      <c r="CE8" s="42"/>
      <c r="CF8" s="41"/>
      <c r="CG8" s="43"/>
      <c r="CH8" s="44"/>
      <c r="CI8" s="45"/>
      <c r="CJ8" s="45"/>
      <c r="CK8" s="41"/>
    </row>
    <row r="9" spans="2:89" s="33" customFormat="1" ht="22.05" customHeight="1">
      <c r="B9" s="59" t="s">
        <v>16</v>
      </c>
      <c r="C9" s="53" t="s">
        <v>16</v>
      </c>
      <c r="D9" s="53"/>
      <c r="E9" s="114"/>
      <c r="F9" s="58"/>
      <c r="G9" s="58"/>
      <c r="H9" s="58"/>
      <c r="I9" s="58"/>
      <c r="J9" s="55" t="s">
        <v>17</v>
      </c>
      <c r="L9" s="60" t="s">
        <v>18</v>
      </c>
      <c r="M9" s="61"/>
      <c r="O9" s="34"/>
      <c r="P9" s="34"/>
      <c r="Q9" s="35"/>
      <c r="R9" s="62"/>
      <c r="S9" s="62"/>
    </row>
    <row r="10" spans="2:89" s="33" customFormat="1" ht="6.75" customHeight="1">
      <c r="B10" s="63"/>
      <c r="C10" s="64"/>
      <c r="D10" s="64"/>
      <c r="E10" s="64"/>
      <c r="F10" s="64"/>
      <c r="G10" s="64"/>
      <c r="H10" s="64"/>
      <c r="I10" s="64"/>
      <c r="J10" s="65"/>
      <c r="K10" s="64"/>
      <c r="L10" s="66"/>
      <c r="M10" s="67"/>
      <c r="O10" s="34"/>
      <c r="P10" s="34"/>
      <c r="Q10" s="35"/>
      <c r="R10" s="62"/>
      <c r="S10" s="62"/>
    </row>
    <row r="11" spans="2:89" s="69" customFormat="1" ht="16.5" customHeight="1">
      <c r="B11" s="360" t="s">
        <v>19</v>
      </c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2"/>
      <c r="N11" s="68"/>
      <c r="O11" s="68"/>
      <c r="P11" s="377" t="s">
        <v>173</v>
      </c>
      <c r="Q11" s="373"/>
      <c r="R11" s="244">
        <v>150</v>
      </c>
      <c r="S11" s="244">
        <v>150</v>
      </c>
    </row>
    <row r="12" spans="2:89" s="69" customFormat="1" ht="17.25" hidden="1" customHeight="1">
      <c r="B12" s="363" t="s">
        <v>20</v>
      </c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365"/>
      <c r="N12" s="70"/>
      <c r="P12" s="260" t="s">
        <v>154</v>
      </c>
      <c r="R12" s="244">
        <v>14</v>
      </c>
      <c r="S12" s="244">
        <v>14</v>
      </c>
    </row>
    <row r="13" spans="2:89" s="69" customFormat="1" ht="17.25" customHeight="1">
      <c r="B13" s="71" t="s">
        <v>80</v>
      </c>
      <c r="C13" s="72"/>
      <c r="D13" s="72"/>
      <c r="E13" s="74" t="str">
        <f>'QC-C-019 (Cono Arena)'!E13</f>
        <v xml:space="preserve">SD5 - COT - Capa Nº 45 (12 Ciclos) </v>
      </c>
      <c r="F13" s="74"/>
      <c r="G13" s="73"/>
      <c r="H13" s="73"/>
      <c r="I13" s="73"/>
      <c r="J13" s="73"/>
      <c r="K13" s="75" t="s">
        <v>21</v>
      </c>
      <c r="L13" s="148">
        <f>'QC-C-019 (Cono Arena)'!L13</f>
        <v>46120</v>
      </c>
      <c r="M13" s="76"/>
      <c r="N13" s="77"/>
      <c r="P13" s="372" t="s">
        <v>154</v>
      </c>
      <c r="Q13" s="373"/>
      <c r="R13" s="244">
        <v>5</v>
      </c>
      <c r="S13" s="244">
        <v>5</v>
      </c>
    </row>
    <row r="14" spans="2:89" s="69" customFormat="1" ht="17.25" customHeight="1">
      <c r="B14" s="78" t="s">
        <v>22</v>
      </c>
      <c r="C14" s="79"/>
      <c r="D14" s="79"/>
      <c r="E14" s="130" t="str">
        <f>'QC-C-019 (Cono Arena)'!E14</f>
        <v>Zona 3 - Núcleo</v>
      </c>
      <c r="F14" s="79"/>
      <c r="G14" s="79"/>
      <c r="H14" s="79"/>
      <c r="I14" s="79"/>
      <c r="J14" s="80"/>
      <c r="K14" s="81" t="s">
        <v>107</v>
      </c>
      <c r="L14" s="149" t="str">
        <f>'QC-C-019 (Cono Arena)'!L14</f>
        <v>SGS-CA12-Z3-045</v>
      </c>
      <c r="M14" s="82"/>
      <c r="N14" s="245">
        <v>34</v>
      </c>
      <c r="P14" s="372" t="s">
        <v>155</v>
      </c>
      <c r="Q14" s="373"/>
      <c r="R14" s="244">
        <v>0</v>
      </c>
      <c r="S14" s="244">
        <v>0</v>
      </c>
    </row>
    <row r="15" spans="2:89" s="69" customFormat="1" ht="17.25" customHeight="1" thickBot="1">
      <c r="B15" s="83" t="s">
        <v>23</v>
      </c>
      <c r="C15" s="84"/>
      <c r="D15" s="84"/>
      <c r="E15" s="84" t="str">
        <f>'QC-C-019 (Cono Arena)'!E15</f>
        <v>Día</v>
      </c>
      <c r="F15" s="84"/>
      <c r="G15" s="84"/>
      <c r="H15" s="85"/>
      <c r="I15" s="85"/>
      <c r="J15" s="86"/>
      <c r="K15" s="87" t="s">
        <v>24</v>
      </c>
      <c r="L15" s="271" t="str">
        <f>'QC-C-019 (Cono Arena)'!L15</f>
        <v>Percy Mollo</v>
      </c>
      <c r="M15" s="88"/>
      <c r="N15" s="70"/>
      <c r="P15" s="372" t="s">
        <v>188</v>
      </c>
      <c r="Q15" s="373"/>
      <c r="R15" s="261">
        <v>1235.8499999999999</v>
      </c>
      <c r="S15" s="261">
        <v>1235.8499999999999</v>
      </c>
    </row>
    <row r="16" spans="2:89" ht="17.25" customHeight="1" thickTop="1">
      <c r="B16" s="374" t="s">
        <v>25</v>
      </c>
      <c r="C16" s="375"/>
      <c r="D16" s="375"/>
      <c r="E16" s="375"/>
      <c r="F16" s="375"/>
      <c r="G16" s="375"/>
      <c r="H16" s="376"/>
      <c r="I16" s="107">
        <f>'QC-C-019 (Cono Arena)'!I16</f>
        <v>49</v>
      </c>
      <c r="J16" s="107">
        <f>'QC-C-019 (Cono Arena)'!J16</f>
        <v>0</v>
      </c>
      <c r="K16" s="108"/>
      <c r="L16" s="108"/>
      <c r="M16" s="108"/>
    </row>
    <row r="17" spans="2:24" ht="17.25" customHeight="1">
      <c r="B17" s="374" t="s">
        <v>26</v>
      </c>
      <c r="C17" s="375"/>
      <c r="D17" s="375"/>
      <c r="E17" s="375"/>
      <c r="F17" s="375"/>
      <c r="G17" s="375"/>
      <c r="H17" s="376"/>
      <c r="I17" s="109" t="str">
        <f>'QC-C-019 (Cono Arena)'!I20</f>
        <v>Inboard</v>
      </c>
      <c r="J17" s="109">
        <f>'QC-C-019 (Cono Arena)'!J20</f>
        <v>0</v>
      </c>
      <c r="K17" s="109"/>
      <c r="L17" s="109"/>
      <c r="M17" s="109"/>
    </row>
    <row r="18" spans="2:24" ht="17.25" customHeight="1">
      <c r="B18" s="374" t="s">
        <v>27</v>
      </c>
      <c r="C18" s="375"/>
      <c r="D18" s="375"/>
      <c r="E18" s="375"/>
      <c r="F18" s="375"/>
      <c r="G18" s="375"/>
      <c r="H18" s="376"/>
      <c r="I18" s="110">
        <f>'QC-C-019 (Cono Arena)'!I21</f>
        <v>30</v>
      </c>
      <c r="J18" s="110">
        <f>'QC-C-019 (Cono Arena)'!J21</f>
        <v>0</v>
      </c>
      <c r="K18" s="110"/>
      <c r="L18" s="110"/>
      <c r="M18" s="110"/>
    </row>
    <row r="19" spans="2:24" ht="17.25" customHeight="1">
      <c r="B19" s="374" t="s">
        <v>28</v>
      </c>
      <c r="C19" s="375"/>
      <c r="D19" s="375"/>
      <c r="E19" s="375"/>
      <c r="F19" s="375"/>
      <c r="G19" s="375"/>
      <c r="H19" s="376"/>
      <c r="I19" s="111">
        <f>'QC-C-019 (Cono Arena)'!I22</f>
        <v>45</v>
      </c>
      <c r="J19" s="111">
        <f>'QC-C-019 (Cono Arena)'!J22</f>
        <v>0</v>
      </c>
      <c r="K19" s="111"/>
      <c r="L19" s="111"/>
      <c r="M19" s="111"/>
    </row>
    <row r="20" spans="2:24" ht="17.25" customHeight="1">
      <c r="B20" s="351" t="s">
        <v>29</v>
      </c>
      <c r="C20" s="352"/>
      <c r="D20" s="352"/>
      <c r="E20" s="352"/>
      <c r="F20" s="352"/>
      <c r="G20" s="352"/>
      <c r="H20" s="90" t="s">
        <v>30</v>
      </c>
      <c r="I20" s="204">
        <f>'QC-C-019 (Cono Arena)'!I23</f>
        <v>8166207.5039999997</v>
      </c>
      <c r="J20" s="204">
        <f>'QC-C-019 (Cono Arena)'!J23</f>
        <v>0</v>
      </c>
      <c r="K20" s="204"/>
      <c r="L20" s="204"/>
      <c r="M20" s="204"/>
      <c r="N20" s="89">
        <v>1</v>
      </c>
    </row>
    <row r="21" spans="2:24" ht="17.25" customHeight="1">
      <c r="B21" s="353"/>
      <c r="C21" s="354"/>
      <c r="D21" s="354"/>
      <c r="E21" s="354"/>
      <c r="F21" s="354"/>
      <c r="G21" s="354"/>
      <c r="H21" s="90" t="s">
        <v>31</v>
      </c>
      <c r="I21" s="204">
        <f>'QC-C-019 (Cono Arena)'!I24</f>
        <v>222746.07</v>
      </c>
      <c r="J21" s="204">
        <f>'QC-C-019 (Cono Arena)'!J24</f>
        <v>0</v>
      </c>
      <c r="K21" s="204"/>
      <c r="L21" s="204"/>
      <c r="M21" s="204"/>
    </row>
    <row r="22" spans="2:24" ht="17.25" customHeight="1">
      <c r="B22" s="355"/>
      <c r="C22" s="356"/>
      <c r="D22" s="356"/>
      <c r="E22" s="356"/>
      <c r="F22" s="356"/>
      <c r="G22" s="356"/>
      <c r="H22" s="90" t="s">
        <v>32</v>
      </c>
      <c r="I22" s="205">
        <f>'QC-C-019 (Cono Arena)'!I25</f>
        <v>2674.3150000000001</v>
      </c>
      <c r="J22" s="205">
        <f>'QC-C-019 (Cono Arena)'!J25</f>
        <v>0</v>
      </c>
      <c r="K22" s="205"/>
      <c r="L22" s="205"/>
      <c r="M22" s="205"/>
      <c r="O22" s="89">
        <v>0.97729999999999995</v>
      </c>
    </row>
    <row r="23" spans="2:24" ht="17.25" customHeight="1">
      <c r="B23" s="331" t="s">
        <v>33</v>
      </c>
      <c r="C23" s="319"/>
      <c r="D23" s="319"/>
      <c r="E23" s="319"/>
      <c r="F23" s="319"/>
      <c r="G23" s="319"/>
      <c r="H23" s="319"/>
      <c r="I23" s="319"/>
      <c r="J23" s="319"/>
      <c r="K23" s="319"/>
      <c r="L23" s="319"/>
      <c r="M23" s="320"/>
      <c r="N23" s="91"/>
      <c r="O23" s="89">
        <v>0.95450000000000002</v>
      </c>
    </row>
    <row r="24" spans="2:24" ht="17.25" customHeight="1">
      <c r="B24" s="116" t="s">
        <v>34</v>
      </c>
      <c r="C24" s="117" t="s">
        <v>35</v>
      </c>
      <c r="D24" s="180"/>
      <c r="E24" s="118"/>
      <c r="F24" s="118"/>
      <c r="G24" s="119"/>
      <c r="H24" s="120" t="s">
        <v>36</v>
      </c>
      <c r="I24" s="188">
        <f>'QC-C-019 (Cono Arena)'!I27</f>
        <v>51500</v>
      </c>
      <c r="J24" s="188">
        <f>'QC-C-019 (Cono Arena)'!J27</f>
        <v>0</v>
      </c>
      <c r="K24" s="225"/>
      <c r="L24" s="225"/>
      <c r="M24" s="207"/>
      <c r="O24" s="89">
        <f>ROUND(+I24*$O$22,0)</f>
        <v>50331</v>
      </c>
      <c r="P24" s="89">
        <f>ROUND(+J24*$O$22,0)</f>
        <v>0</v>
      </c>
      <c r="Q24" s="89">
        <f>ROUND(+K24*$O$22,0)</f>
        <v>0</v>
      </c>
      <c r="R24" s="89">
        <f>ROUND(+L24*$O$22,0)</f>
        <v>0</v>
      </c>
      <c r="S24" s="89">
        <f>ROUND(+M24*$O$22,0)</f>
        <v>0</v>
      </c>
      <c r="T24" s="150"/>
      <c r="U24" s="150"/>
      <c r="V24" s="150"/>
      <c r="W24" s="150"/>
      <c r="X24" s="150"/>
    </row>
    <row r="25" spans="2:24" ht="17.25" customHeight="1">
      <c r="B25" s="121">
        <f>+B24+1</f>
        <v>2</v>
      </c>
      <c r="C25" s="122" t="s">
        <v>37</v>
      </c>
      <c r="D25" s="182"/>
      <c r="E25" s="123"/>
      <c r="F25" s="123"/>
      <c r="G25" s="99"/>
      <c r="H25" s="124" t="s">
        <v>36</v>
      </c>
      <c r="I25" s="189">
        <f>'QC-C-019 (Cono Arena)'!I28</f>
        <v>26500</v>
      </c>
      <c r="J25" s="189">
        <f>'QC-C-019 (Cono Arena)'!J28</f>
        <v>0</v>
      </c>
      <c r="K25" s="226"/>
      <c r="L25" s="226"/>
      <c r="M25" s="208"/>
      <c r="O25" s="89">
        <f>ROUND(+I25*$O$23,0)</f>
        <v>25294</v>
      </c>
      <c r="P25" s="89">
        <f>ROUND(+J25*$O$23,0)</f>
        <v>0</v>
      </c>
      <c r="Q25" s="89">
        <f>ROUND(+K25*$O$23,0)</f>
        <v>0</v>
      </c>
      <c r="R25" s="89">
        <f>ROUND(+L25*$O$23,0)</f>
        <v>0</v>
      </c>
      <c r="S25" s="89">
        <f>ROUND(+M25*$O$23,0)</f>
        <v>0</v>
      </c>
      <c r="T25" s="150"/>
      <c r="U25" s="150"/>
      <c r="V25" s="150"/>
      <c r="W25" s="150"/>
      <c r="X25" s="150"/>
    </row>
    <row r="26" spans="2:24" ht="17.25" customHeight="1">
      <c r="B26" s="121">
        <f t="shared" ref="B26:B36" si="0">+B25+1</f>
        <v>3</v>
      </c>
      <c r="C26" s="122" t="s">
        <v>38</v>
      </c>
      <c r="D26" s="182"/>
      <c r="E26" s="123"/>
      <c r="F26" s="123"/>
      <c r="G26" s="99"/>
      <c r="H26" s="124" t="s">
        <v>36</v>
      </c>
      <c r="I26" s="190">
        <f>I24-I25</f>
        <v>25000</v>
      </c>
      <c r="J26" s="190">
        <f>J24-J25</f>
        <v>0</v>
      </c>
      <c r="K26" s="190"/>
      <c r="L26" s="190"/>
      <c r="M26" s="210">
        <v>6016</v>
      </c>
      <c r="T26" s="151"/>
      <c r="U26" s="151"/>
      <c r="V26" s="151"/>
      <c r="W26" s="151"/>
      <c r="X26" s="151"/>
    </row>
    <row r="27" spans="2:24" ht="17.25" customHeight="1">
      <c r="B27" s="121">
        <f t="shared" si="0"/>
        <v>4</v>
      </c>
      <c r="C27" s="122" t="s">
        <v>39</v>
      </c>
      <c r="D27" s="182"/>
      <c r="E27" s="123"/>
      <c r="F27" s="123"/>
      <c r="G27" s="99"/>
      <c r="H27" s="124" t="s">
        <v>36</v>
      </c>
      <c r="I27" s="189">
        <f>'QC-C-019 (Cono Arena)'!I30</f>
        <v>7827</v>
      </c>
      <c r="J27" s="189">
        <f>'QC-C-019 (Cono Arena)'!J30</f>
        <v>0</v>
      </c>
      <c r="K27" s="226"/>
      <c r="L27" s="226"/>
      <c r="M27" s="208"/>
      <c r="T27" s="150"/>
      <c r="U27" s="150"/>
      <c r="V27" s="150"/>
      <c r="W27" s="150"/>
      <c r="X27" s="150"/>
    </row>
    <row r="28" spans="2:24" ht="17.25" customHeight="1">
      <c r="B28" s="121">
        <f t="shared" si="0"/>
        <v>5</v>
      </c>
      <c r="C28" s="122" t="s">
        <v>40</v>
      </c>
      <c r="D28" s="182"/>
      <c r="E28" s="123"/>
      <c r="F28" s="123"/>
      <c r="G28" s="99"/>
      <c r="H28" s="124" t="s">
        <v>36</v>
      </c>
      <c r="I28" s="190">
        <f t="shared" ref="I28:J28" si="1">I26-I27</f>
        <v>17173</v>
      </c>
      <c r="J28" s="190">
        <f t="shared" si="1"/>
        <v>0</v>
      </c>
      <c r="K28" s="190"/>
      <c r="L28" s="190"/>
      <c r="M28" s="210">
        <v>4291</v>
      </c>
      <c r="T28" s="151"/>
      <c r="U28" s="151"/>
      <c r="V28" s="151"/>
      <c r="W28" s="151"/>
      <c r="X28" s="151"/>
    </row>
    <row r="29" spans="2:24" ht="17.25" customHeight="1">
      <c r="B29" s="121">
        <f t="shared" si="0"/>
        <v>6</v>
      </c>
      <c r="C29" s="122" t="s">
        <v>41</v>
      </c>
      <c r="D29" s="182"/>
      <c r="E29" s="123"/>
      <c r="F29" s="123"/>
      <c r="G29" s="99"/>
      <c r="H29" s="124" t="s">
        <v>42</v>
      </c>
      <c r="I29" s="191">
        <f>'QC-C-019 (Cono Arena)'!I32</f>
        <v>1.3480000000000001</v>
      </c>
      <c r="J29" s="191">
        <f>'QC-C-019 (Cono Arena)'!J32</f>
        <v>0</v>
      </c>
      <c r="K29" s="227"/>
      <c r="L29" s="227"/>
      <c r="M29" s="211"/>
      <c r="T29" s="152"/>
      <c r="U29" s="152"/>
      <c r="V29" s="152"/>
      <c r="W29" s="152"/>
      <c r="X29" s="152"/>
    </row>
    <row r="30" spans="2:24" ht="17.25" customHeight="1">
      <c r="B30" s="125">
        <f t="shared" si="0"/>
        <v>7</v>
      </c>
      <c r="C30" s="126" t="s">
        <v>43</v>
      </c>
      <c r="D30" s="184"/>
      <c r="E30" s="127"/>
      <c r="F30" s="127"/>
      <c r="G30" s="100"/>
      <c r="H30" s="128" t="s">
        <v>44</v>
      </c>
      <c r="I30" s="192">
        <f>ROUND(I28/I29,0)</f>
        <v>12740</v>
      </c>
      <c r="J30" s="192" t="e">
        <f>ROUND(J28/J29,0)</f>
        <v>#DIV/0!</v>
      </c>
      <c r="K30" s="192"/>
      <c r="L30" s="192"/>
      <c r="M30" s="212">
        <v>2899</v>
      </c>
      <c r="T30" s="151"/>
      <c r="U30" s="151"/>
      <c r="V30" s="151"/>
      <c r="W30" s="151"/>
      <c r="X30" s="151"/>
    </row>
    <row r="31" spans="2:24" ht="17.25" customHeight="1">
      <c r="B31" s="331" t="s">
        <v>45</v>
      </c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20"/>
      <c r="O31" s="89">
        <v>0.99</v>
      </c>
    </row>
    <row r="32" spans="2:24" ht="17.25" customHeight="1">
      <c r="B32" s="179">
        <f>+B30+1</f>
        <v>8</v>
      </c>
      <c r="C32" s="180" t="s">
        <v>46</v>
      </c>
      <c r="D32" s="180"/>
      <c r="E32" s="118"/>
      <c r="F32" s="118"/>
      <c r="G32" s="119"/>
      <c r="H32" s="120" t="s">
        <v>36</v>
      </c>
      <c r="I32" s="188">
        <f>'QC-C-019 (Cono Arena)'!I35</f>
        <v>29800</v>
      </c>
      <c r="J32" s="188">
        <f>'QC-C-019 (Cono Arena)'!J35</f>
        <v>0</v>
      </c>
      <c r="K32" s="188"/>
      <c r="L32" s="188"/>
      <c r="M32" s="207"/>
      <c r="N32" s="89" t="s">
        <v>47</v>
      </c>
      <c r="O32" s="89">
        <f>ROUND(+I32*$O$31,0)</f>
        <v>29502</v>
      </c>
      <c r="P32" s="89">
        <f>ROUND(+J32*$O$31,0)</f>
        <v>0</v>
      </c>
      <c r="Q32" s="89">
        <f>ROUND(+K32*$O$31,0)</f>
        <v>0</v>
      </c>
      <c r="R32" s="89">
        <f>ROUND(+L32*$O$31,0)</f>
        <v>0</v>
      </c>
      <c r="S32" s="89">
        <f>ROUND(+M32*$O$31,0)</f>
        <v>0</v>
      </c>
      <c r="T32" s="150"/>
      <c r="U32" s="150"/>
      <c r="V32" s="150"/>
      <c r="W32" s="150"/>
      <c r="X32" s="150"/>
    </row>
    <row r="33" spans="2:24" ht="17.25" customHeight="1">
      <c r="B33" s="181">
        <f t="shared" si="0"/>
        <v>9</v>
      </c>
      <c r="C33" s="182" t="s">
        <v>48</v>
      </c>
      <c r="D33" s="182"/>
      <c r="E33" s="123"/>
      <c r="F33" s="123"/>
      <c r="G33" s="99"/>
      <c r="H33" s="124" t="s">
        <v>36</v>
      </c>
      <c r="I33" s="189">
        <f>'QC-C-019 (Cono Arena)'!I36</f>
        <v>10</v>
      </c>
      <c r="J33" s="189">
        <f>'QC-C-019 (Cono Arena)'!J36</f>
        <v>0</v>
      </c>
      <c r="K33" s="189"/>
      <c r="L33" s="189"/>
      <c r="M33" s="208"/>
      <c r="T33" s="151"/>
      <c r="U33" s="151"/>
      <c r="V33" s="151"/>
      <c r="W33" s="151"/>
      <c r="X33" s="151"/>
    </row>
    <row r="34" spans="2:24" ht="17.25" customHeight="1">
      <c r="B34" s="181">
        <f t="shared" si="0"/>
        <v>10</v>
      </c>
      <c r="C34" s="182" t="s">
        <v>49</v>
      </c>
      <c r="D34" s="182"/>
      <c r="E34" s="123"/>
      <c r="F34" s="123"/>
      <c r="G34" s="99"/>
      <c r="H34" s="124" t="s">
        <v>36</v>
      </c>
      <c r="I34" s="190">
        <f>I32-I33</f>
        <v>29790</v>
      </c>
      <c r="J34" s="190">
        <f>J32-J33</f>
        <v>0</v>
      </c>
      <c r="K34" s="190"/>
      <c r="L34" s="190"/>
      <c r="M34" s="209">
        <f>M32-M33</f>
        <v>0</v>
      </c>
      <c r="T34" s="151"/>
      <c r="U34" s="151"/>
      <c r="V34" s="151"/>
      <c r="W34" s="151"/>
      <c r="X34" s="151"/>
    </row>
    <row r="35" spans="2:24" ht="17.25" customHeight="1">
      <c r="B35" s="181">
        <f t="shared" si="0"/>
        <v>11</v>
      </c>
      <c r="C35" s="182" t="s">
        <v>112</v>
      </c>
      <c r="D35" s="182"/>
      <c r="E35" s="123"/>
      <c r="F35" s="123"/>
      <c r="G35" s="99"/>
      <c r="H35" s="124" t="s">
        <v>42</v>
      </c>
      <c r="I35" s="193">
        <f t="shared" ref="I35:J35" si="2">ROUND(I34/I30,3)</f>
        <v>2.3380000000000001</v>
      </c>
      <c r="J35" s="193" t="e">
        <f t="shared" si="2"/>
        <v>#DIV/0!</v>
      </c>
      <c r="K35" s="193"/>
      <c r="L35" s="193"/>
      <c r="M35" s="213">
        <f t="shared" ref="M35" si="3">ROUND(M34/M30,3)</f>
        <v>0</v>
      </c>
      <c r="T35" s="153"/>
      <c r="U35" s="153"/>
      <c r="V35" s="153"/>
      <c r="W35" s="153"/>
      <c r="X35" s="153"/>
    </row>
    <row r="36" spans="2:24" ht="17.25" customHeight="1">
      <c r="B36" s="183">
        <f t="shared" si="0"/>
        <v>12</v>
      </c>
      <c r="C36" s="184" t="s">
        <v>113</v>
      </c>
      <c r="D36" s="184"/>
      <c r="E36" s="127"/>
      <c r="F36" s="127"/>
      <c r="G36" s="100"/>
      <c r="H36" s="128" t="s">
        <v>42</v>
      </c>
      <c r="I36" s="194">
        <f>ROUND(I35/(1+(I44/100)),3)</f>
        <v>2.9369999999999998</v>
      </c>
      <c r="J36" s="194" t="e">
        <f>ROUND(J35/(1+(J44/100)),3)</f>
        <v>#DIV/0!</v>
      </c>
      <c r="K36" s="194"/>
      <c r="L36" s="194"/>
      <c r="M36" s="214" t="e">
        <f t="shared" ref="M36" si="4">ROUND(M35/(1+(M44/100)),3)</f>
        <v>#DIV/0!</v>
      </c>
      <c r="T36" s="153"/>
      <c r="U36" s="153"/>
      <c r="V36" s="153"/>
      <c r="W36" s="153"/>
      <c r="X36" s="153"/>
    </row>
    <row r="37" spans="2:24" ht="17.25" customHeight="1">
      <c r="B37" s="331" t="s">
        <v>108</v>
      </c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20"/>
    </row>
    <row r="38" spans="2:24" ht="17.25" customHeight="1">
      <c r="B38" s="116">
        <f>+B36+1</f>
        <v>13</v>
      </c>
      <c r="C38" s="117" t="s">
        <v>50</v>
      </c>
      <c r="D38" s="180"/>
      <c r="E38" s="118"/>
      <c r="F38" s="118"/>
      <c r="G38" s="119"/>
      <c r="H38" s="120" t="s">
        <v>36</v>
      </c>
      <c r="I38" s="195">
        <f>'QC-C-019 (Cono Arena)'!I41</f>
        <v>2540</v>
      </c>
      <c r="J38" s="195">
        <f>'QC-C-019 (Cono Arena)'!J41</f>
        <v>0</v>
      </c>
      <c r="K38" s="195"/>
      <c r="L38" s="195"/>
      <c r="M38" s="215"/>
      <c r="T38" s="330"/>
      <c r="U38" s="330"/>
      <c r="V38" s="330"/>
      <c r="W38" s="330"/>
      <c r="X38" s="330"/>
    </row>
    <row r="39" spans="2:24" ht="17.25" customHeight="1">
      <c r="B39" s="121">
        <f t="shared" ref="B39:B44" si="5">+B38+1</f>
        <v>14</v>
      </c>
      <c r="C39" s="122" t="s">
        <v>51</v>
      </c>
      <c r="D39" s="182"/>
      <c r="E39" s="123"/>
      <c r="F39" s="123"/>
      <c r="G39" s="99"/>
      <c r="H39" s="124" t="s">
        <v>36</v>
      </c>
      <c r="I39" s="195">
        <v>3050</v>
      </c>
      <c r="J39" s="195">
        <v>1835</v>
      </c>
      <c r="K39" s="195"/>
      <c r="L39" s="195"/>
      <c r="M39" s="215"/>
      <c r="T39" s="330"/>
      <c r="U39" s="330"/>
      <c r="V39" s="330"/>
      <c r="W39" s="330"/>
      <c r="X39" s="330"/>
    </row>
    <row r="40" spans="2:24" ht="17.25" customHeight="1">
      <c r="B40" s="121">
        <f t="shared" si="5"/>
        <v>15</v>
      </c>
      <c r="C40" s="122" t="s">
        <v>52</v>
      </c>
      <c r="D40" s="182"/>
      <c r="E40" s="123"/>
      <c r="F40" s="123"/>
      <c r="G40" s="99"/>
      <c r="H40" s="124" t="s">
        <v>36</v>
      </c>
      <c r="I40" s="196">
        <f>+I38-I39</f>
        <v>-510</v>
      </c>
      <c r="J40" s="196">
        <f>+J38-J39</f>
        <v>-1835</v>
      </c>
      <c r="K40" s="196"/>
      <c r="L40" s="196"/>
      <c r="M40" s="216">
        <f>+M38-M39</f>
        <v>0</v>
      </c>
      <c r="T40" s="330"/>
      <c r="U40" s="330"/>
      <c r="V40" s="330"/>
      <c r="W40" s="330"/>
      <c r="X40" s="330"/>
    </row>
    <row r="41" spans="2:24" ht="17.25" customHeight="1">
      <c r="B41" s="121">
        <f t="shared" si="5"/>
        <v>16</v>
      </c>
      <c r="C41" s="122" t="s">
        <v>53</v>
      </c>
      <c r="D41" s="182"/>
      <c r="E41" s="123"/>
      <c r="F41" s="123"/>
      <c r="G41" s="99"/>
      <c r="H41" s="124" t="s">
        <v>36</v>
      </c>
      <c r="I41" s="195">
        <f>'QC-C-019 (Cono Arena)'!I44</f>
        <v>1058.4000000000001</v>
      </c>
      <c r="J41" s="195">
        <f>'QC-C-019 (Cono Arena)'!J44</f>
        <v>0</v>
      </c>
      <c r="K41" s="195"/>
      <c r="L41" s="195"/>
      <c r="M41" s="215"/>
      <c r="T41" s="330"/>
      <c r="U41" s="330"/>
      <c r="V41" s="330"/>
      <c r="W41" s="330"/>
      <c r="X41" s="330"/>
    </row>
    <row r="42" spans="2:24" ht="17.25" customHeight="1">
      <c r="B42" s="121">
        <f t="shared" si="5"/>
        <v>17</v>
      </c>
      <c r="C42" s="122" t="s">
        <v>54</v>
      </c>
      <c r="D42" s="182"/>
      <c r="E42" s="123"/>
      <c r="F42" s="123"/>
      <c r="G42" s="99"/>
      <c r="H42" s="124" t="s">
        <v>36</v>
      </c>
      <c r="I42" s="196">
        <f t="shared" ref="I42:J42" si="6">+I39-I41</f>
        <v>1991.6</v>
      </c>
      <c r="J42" s="196">
        <f t="shared" si="6"/>
        <v>1835</v>
      </c>
      <c r="K42" s="196"/>
      <c r="L42" s="196"/>
      <c r="M42" s="216">
        <f t="shared" ref="M42" si="7">+M39-M41</f>
        <v>0</v>
      </c>
      <c r="O42" s="89">
        <v>1.05</v>
      </c>
      <c r="T42" s="330"/>
      <c r="U42" s="330"/>
      <c r="V42" s="330"/>
      <c r="W42" s="330"/>
      <c r="X42" s="330"/>
    </row>
    <row r="43" spans="2:24" ht="17.25" customHeight="1">
      <c r="B43" s="121">
        <f t="shared" si="5"/>
        <v>18</v>
      </c>
      <c r="C43" s="122" t="s">
        <v>55</v>
      </c>
      <c r="D43" s="182"/>
      <c r="E43" s="123"/>
      <c r="F43" s="123"/>
      <c r="G43" s="99"/>
      <c r="H43" s="124" t="s">
        <v>56</v>
      </c>
      <c r="I43" s="196">
        <f>IF(I40="","",IF(I42="","",(I40/I42)*100))</f>
        <v>-25.607551717212289</v>
      </c>
      <c r="J43" s="196">
        <f>IF(J40="","",IF(J42="","",(J40/J42)*100))</f>
        <v>-100</v>
      </c>
      <c r="K43" s="196"/>
      <c r="L43" s="196"/>
      <c r="M43" s="216" t="e">
        <f>IF(M40="","",IF(M42="","",(M40/M42)*100))</f>
        <v>#DIV/0!</v>
      </c>
      <c r="O43" s="89">
        <f>ROUND(+I43*$O$42,1)</f>
        <v>-26.9</v>
      </c>
      <c r="P43" s="89">
        <f>ROUND(+J43*$O$42,1)</f>
        <v>-105</v>
      </c>
      <c r="Q43" s="89">
        <f>ROUND(+K43*$O$42,1)</f>
        <v>0</v>
      </c>
      <c r="R43" s="89">
        <f>ROUND(+L43*$O$42,1)</f>
        <v>0</v>
      </c>
      <c r="S43" s="89" t="e">
        <f>ROUND(+M43*$O$42,1)</f>
        <v>#DIV/0!</v>
      </c>
      <c r="T43" s="154"/>
      <c r="U43" s="154"/>
      <c r="V43" s="154"/>
      <c r="W43" s="154"/>
      <c r="X43" s="154"/>
    </row>
    <row r="44" spans="2:24" ht="17.25" customHeight="1">
      <c r="B44" s="125">
        <f t="shared" si="5"/>
        <v>19</v>
      </c>
      <c r="C44" s="126" t="s">
        <v>57</v>
      </c>
      <c r="D44" s="184"/>
      <c r="E44" s="127"/>
      <c r="F44" s="127"/>
      <c r="G44" s="100"/>
      <c r="H44" s="128" t="s">
        <v>56</v>
      </c>
      <c r="I44" s="197">
        <f>ROUND(+(I53*I50+I54*I51)/100,1)</f>
        <v>-20.399999999999999</v>
      </c>
      <c r="J44" s="197" t="e">
        <f>ROUND(+(J53*J50+J54*J51)/100,1)</f>
        <v>#DIV/0!</v>
      </c>
      <c r="K44" s="197"/>
      <c r="L44" s="197"/>
      <c r="M44" s="217" t="e">
        <f>ROUND(+(M53*M50+M54*M51)/100,1)</f>
        <v>#DIV/0!</v>
      </c>
      <c r="T44" s="155"/>
      <c r="U44" s="155"/>
      <c r="V44" s="155"/>
      <c r="W44" s="155"/>
      <c r="X44" s="155"/>
    </row>
    <row r="45" spans="2:24" ht="17.25" customHeight="1">
      <c r="B45" s="331" t="s">
        <v>109</v>
      </c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20"/>
      <c r="T45" s="89" t="s">
        <v>65</v>
      </c>
    </row>
    <row r="46" spans="2:24" ht="17.25" customHeight="1">
      <c r="B46" s="116">
        <f>+B44+1</f>
        <v>20</v>
      </c>
      <c r="C46" s="117" t="s">
        <v>58</v>
      </c>
      <c r="D46" s="180"/>
      <c r="E46" s="118"/>
      <c r="F46" s="118"/>
      <c r="G46" s="119"/>
      <c r="H46" s="120" t="s">
        <v>36</v>
      </c>
      <c r="I46" s="198">
        <f>I48+I49</f>
        <v>37409</v>
      </c>
      <c r="J46" s="198" t="e">
        <f t="shared" ref="J46" si="8">J48+J49</f>
        <v>#DIV/0!</v>
      </c>
      <c r="K46" s="198"/>
      <c r="L46" s="198"/>
      <c r="M46" s="218" t="e">
        <f t="shared" ref="M46" si="9">M48+M49</f>
        <v>#DIV/0!</v>
      </c>
      <c r="O46" s="89">
        <v>1.0620000000000001</v>
      </c>
      <c r="T46" s="94">
        <f>+G63-2</f>
        <v>6.1999999999999993</v>
      </c>
      <c r="U46" s="89" t="s">
        <v>66</v>
      </c>
      <c r="V46" s="151"/>
      <c r="W46" s="151"/>
      <c r="X46" s="151"/>
    </row>
    <row r="47" spans="2:24" ht="17.25" customHeight="1">
      <c r="B47" s="121">
        <f>+B46+1</f>
        <v>21</v>
      </c>
      <c r="C47" s="122" t="s">
        <v>111</v>
      </c>
      <c r="D47" s="182"/>
      <c r="E47" s="123"/>
      <c r="F47" s="123"/>
      <c r="G47" s="99"/>
      <c r="H47" s="124" t="s">
        <v>36</v>
      </c>
      <c r="I47" s="189">
        <v>7005</v>
      </c>
      <c r="J47" s="189">
        <v>7729</v>
      </c>
      <c r="K47" s="189"/>
      <c r="L47" s="189"/>
      <c r="M47" s="208"/>
      <c r="O47" s="89">
        <f>ROUND(+I47*$O$46,0)</f>
        <v>7439</v>
      </c>
      <c r="P47" s="89">
        <f>ROUND(+J47*$O$46,0)</f>
        <v>8208</v>
      </c>
      <c r="Q47" s="89">
        <f>ROUND(+K47*$O$46,0)</f>
        <v>0</v>
      </c>
      <c r="R47" s="89">
        <f>ROUND(+L47*$O$46,0)</f>
        <v>0</v>
      </c>
      <c r="S47" s="89">
        <f>ROUND(+M47*$O$46,0)</f>
        <v>0</v>
      </c>
      <c r="T47" s="94">
        <f>+G63+2</f>
        <v>10.199999999999999</v>
      </c>
      <c r="U47" s="89" t="s">
        <v>68</v>
      </c>
      <c r="V47" s="150"/>
      <c r="W47" s="150"/>
      <c r="X47" s="150"/>
    </row>
    <row r="48" spans="2:24" ht="17.25" customHeight="1">
      <c r="B48" s="121">
        <f t="shared" ref="B48:B55" si="10">+B47+1</f>
        <v>22</v>
      </c>
      <c r="C48" s="122" t="s">
        <v>59</v>
      </c>
      <c r="D48" s="182"/>
      <c r="E48" s="123"/>
      <c r="F48" s="123"/>
      <c r="G48" s="99"/>
      <c r="H48" s="124" t="s">
        <v>36</v>
      </c>
      <c r="I48" s="190">
        <f t="shared" ref="I48" si="11">ROUND(+I47/(1+(I53/100)),0)</f>
        <v>6781</v>
      </c>
      <c r="J48" s="190">
        <f>ROUND(+J47/(1+(J53/100)),0)</f>
        <v>7482</v>
      </c>
      <c r="K48" s="190"/>
      <c r="L48" s="190"/>
      <c r="M48" s="209">
        <f t="shared" ref="M48" si="12">ROUND(+M47/(1+(M53/100)),0)</f>
        <v>0</v>
      </c>
      <c r="T48" s="151"/>
      <c r="U48" s="151"/>
      <c r="V48" s="151"/>
      <c r="W48" s="151"/>
      <c r="X48" s="151"/>
    </row>
    <row r="49" spans="2:24" ht="17.25" customHeight="1">
      <c r="B49" s="121">
        <f t="shared" si="10"/>
        <v>23</v>
      </c>
      <c r="C49" s="122" t="s">
        <v>60</v>
      </c>
      <c r="D49" s="182"/>
      <c r="E49" s="123"/>
      <c r="F49" s="123"/>
      <c r="G49" s="99"/>
      <c r="H49" s="124" t="s">
        <v>36</v>
      </c>
      <c r="I49" s="190">
        <f>ROUND(+(I34-I47)/(1+I43/100),0)</f>
        <v>30628</v>
      </c>
      <c r="J49" s="190" t="e">
        <f t="shared" ref="J49" si="13">ROUND(+(J34-J47)/(1+J43/100),0)</f>
        <v>#DIV/0!</v>
      </c>
      <c r="K49" s="190"/>
      <c r="L49" s="190"/>
      <c r="M49" s="209" t="e">
        <f t="shared" ref="M49" si="14">ROUND(+(M34-M47)/(1+M43/100),0)</f>
        <v>#DIV/0!</v>
      </c>
      <c r="T49" s="151"/>
      <c r="U49" s="151"/>
      <c r="V49" s="151"/>
      <c r="W49" s="151"/>
      <c r="X49" s="151"/>
    </row>
    <row r="50" spans="2:24" ht="17.25" customHeight="1">
      <c r="B50" s="121">
        <f t="shared" si="10"/>
        <v>24</v>
      </c>
      <c r="C50" s="122" t="s">
        <v>61</v>
      </c>
      <c r="D50" s="182"/>
      <c r="E50" s="123"/>
      <c r="F50" s="123"/>
      <c r="G50" s="129"/>
      <c r="H50" s="124" t="s">
        <v>56</v>
      </c>
      <c r="I50" s="199">
        <f>ROUND(+(I48/I46*100),1)</f>
        <v>18.100000000000001</v>
      </c>
      <c r="J50" s="199" t="e">
        <f t="shared" ref="J50" si="15">ROUND(+(J48/J46*100),1)</f>
        <v>#DIV/0!</v>
      </c>
      <c r="K50" s="199"/>
      <c r="L50" s="199"/>
      <c r="M50" s="219" t="e">
        <f t="shared" ref="M50" si="16">ROUND(+(M48/M46*100),1)</f>
        <v>#DIV/0!</v>
      </c>
      <c r="Q50" s="92"/>
      <c r="R50" s="92"/>
      <c r="S50" s="92"/>
      <c r="T50" s="155"/>
      <c r="U50" s="155"/>
      <c r="V50" s="155"/>
      <c r="W50" s="155"/>
      <c r="X50" s="155"/>
    </row>
    <row r="51" spans="2:24" ht="17.25" customHeight="1" thickBot="1">
      <c r="B51" s="121">
        <f t="shared" si="10"/>
        <v>25</v>
      </c>
      <c r="C51" s="122" t="s">
        <v>62</v>
      </c>
      <c r="D51" s="182"/>
      <c r="E51" s="123"/>
      <c r="F51" s="123"/>
      <c r="G51" s="99"/>
      <c r="H51" s="124" t="s">
        <v>56</v>
      </c>
      <c r="I51" s="199">
        <f t="shared" ref="I51:J51" si="17">ROUND(+(I49/I46*100),1)</f>
        <v>81.900000000000006</v>
      </c>
      <c r="J51" s="199" t="e">
        <f t="shared" si="17"/>
        <v>#DIV/0!</v>
      </c>
      <c r="K51" s="199"/>
      <c r="L51" s="199"/>
      <c r="M51" s="219" t="e">
        <f t="shared" ref="M51" si="18">ROUND(+(M49/M46*100),1)</f>
        <v>#DIV/0!</v>
      </c>
      <c r="Q51" s="93"/>
      <c r="R51" s="93"/>
      <c r="S51" s="93"/>
      <c r="T51" s="155"/>
      <c r="U51" s="155"/>
      <c r="V51" s="155"/>
      <c r="W51" s="155"/>
      <c r="X51" s="155"/>
    </row>
    <row r="52" spans="2:24" ht="17.25" customHeight="1" thickTop="1" thickBot="1">
      <c r="B52" s="121">
        <f t="shared" si="10"/>
        <v>26</v>
      </c>
      <c r="C52" s="122" t="s">
        <v>115</v>
      </c>
      <c r="D52" s="182"/>
      <c r="E52" s="123"/>
      <c r="F52" s="123"/>
      <c r="G52" s="99"/>
      <c r="H52" s="124"/>
      <c r="I52" s="191">
        <f>J63</f>
        <v>2.48</v>
      </c>
      <c r="J52" s="191">
        <f>J63</f>
        <v>2.48</v>
      </c>
      <c r="K52" s="191"/>
      <c r="L52" s="227"/>
      <c r="M52" s="211"/>
      <c r="Q52" s="178" t="s">
        <v>132</v>
      </c>
      <c r="R52" s="177"/>
      <c r="S52" s="177"/>
      <c r="T52" s="378" t="s">
        <v>186</v>
      </c>
      <c r="U52" s="379"/>
      <c r="V52" s="380"/>
      <c r="W52" s="259">
        <f>'QC-C-019 (Cono Arena)'!W55</f>
        <v>20</v>
      </c>
      <c r="X52" s="156"/>
    </row>
    <row r="53" spans="2:24" ht="17.25" customHeight="1" thickTop="1" thickBot="1">
      <c r="B53" s="121">
        <f t="shared" si="10"/>
        <v>27</v>
      </c>
      <c r="C53" s="122" t="s">
        <v>116</v>
      </c>
      <c r="D53" s="182"/>
      <c r="E53" s="123"/>
      <c r="F53" s="123"/>
      <c r="G53" s="99"/>
      <c r="H53" s="124"/>
      <c r="I53" s="200">
        <f>W58</f>
        <v>3.3</v>
      </c>
      <c r="J53" s="200">
        <f>W58</f>
        <v>3.3</v>
      </c>
      <c r="K53" s="200"/>
      <c r="L53" s="200"/>
      <c r="M53" s="220"/>
      <c r="N53" s="168" t="s">
        <v>131</v>
      </c>
      <c r="Q53" s="334" t="s">
        <v>133</v>
      </c>
      <c r="R53" s="333"/>
      <c r="S53" s="335"/>
      <c r="T53" s="381" t="s">
        <v>174</v>
      </c>
      <c r="U53" s="382"/>
      <c r="V53" s="382"/>
      <c r="W53" s="255">
        <f>'QC-C-019 (Cono Arena)'!W56</f>
        <v>2.0779999999999998</v>
      </c>
      <c r="X53" s="157"/>
    </row>
    <row r="54" spans="2:24" ht="17.25" customHeight="1" thickTop="1" thickBot="1">
      <c r="B54" s="121">
        <f t="shared" si="10"/>
        <v>28</v>
      </c>
      <c r="C54" s="122" t="s">
        <v>63</v>
      </c>
      <c r="D54" s="182"/>
      <c r="E54" s="123"/>
      <c r="F54" s="123"/>
      <c r="G54" s="99"/>
      <c r="H54" s="124" t="s">
        <v>56</v>
      </c>
      <c r="I54" s="201">
        <f>I43</f>
        <v>-25.607551717212289</v>
      </c>
      <c r="J54" s="201">
        <f>J43</f>
        <v>-100</v>
      </c>
      <c r="K54" s="201"/>
      <c r="L54" s="201"/>
      <c r="M54" s="221" t="e">
        <f>M43</f>
        <v>#DIV/0!</v>
      </c>
      <c r="N54" s="168" t="s">
        <v>130</v>
      </c>
      <c r="Q54" s="332" t="str">
        <f>G62</f>
        <v>C</v>
      </c>
      <c r="R54" s="333"/>
      <c r="S54" s="333"/>
      <c r="T54" s="383" t="s">
        <v>176</v>
      </c>
      <c r="U54" s="382"/>
      <c r="V54" s="382"/>
      <c r="W54" s="255">
        <f>'QC-C-019 (Cono Arena)'!W57</f>
        <v>2.1480000000000001</v>
      </c>
      <c r="X54" s="158"/>
    </row>
    <row r="55" spans="2:24" ht="17.25" customHeight="1" thickTop="1" thickBot="1">
      <c r="B55" s="125">
        <f t="shared" si="10"/>
        <v>29</v>
      </c>
      <c r="C55" s="126" t="s">
        <v>110</v>
      </c>
      <c r="D55" s="184"/>
      <c r="E55" s="127"/>
      <c r="F55" s="127"/>
      <c r="G55" s="100"/>
      <c r="H55" s="128" t="s">
        <v>42</v>
      </c>
      <c r="I55" s="194">
        <f>ROUND(+I36*I52*I51/(100*I52-I36*I50),3)</f>
        <v>3.0619999999999998</v>
      </c>
      <c r="J55" s="194" t="e">
        <f>ROUND(+J36*J52*J51/(100*J52-J36*J50),3)</f>
        <v>#DIV/0!</v>
      </c>
      <c r="K55" s="194"/>
      <c r="L55" s="194"/>
      <c r="M55" s="214" t="e">
        <f>ROUND(+M36*M52*M51/(100*M52-M36*M50),3)</f>
        <v>#DIV/0!</v>
      </c>
      <c r="N55" s="168" t="s">
        <v>110</v>
      </c>
      <c r="Q55" s="169">
        <f>+I55</f>
        <v>3.0619999999999998</v>
      </c>
      <c r="R55" s="169" t="e">
        <f>+J55</f>
        <v>#DIV/0!</v>
      </c>
      <c r="S55" s="246">
        <f t="shared" ref="S55" si="19">+K55</f>
        <v>0</v>
      </c>
      <c r="T55" s="384" t="s">
        <v>175</v>
      </c>
      <c r="U55" s="382"/>
      <c r="V55" s="382"/>
      <c r="W55" s="272">
        <f>'QC-C-019 (Cono Arena)'!W58</f>
        <v>9.1999999999999993</v>
      </c>
      <c r="X55" s="153"/>
    </row>
    <row r="56" spans="2:24" ht="17.25" customHeight="1" thickTop="1" thickBot="1">
      <c r="B56" s="331" t="s">
        <v>64</v>
      </c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20"/>
      <c r="N56" s="168" t="s">
        <v>121</v>
      </c>
      <c r="Q56" s="175">
        <f>+I36</f>
        <v>2.9369999999999998</v>
      </c>
      <c r="R56" s="175" t="e">
        <f t="shared" ref="R56:S56" si="20">+J36</f>
        <v>#DIV/0!</v>
      </c>
      <c r="S56" s="247">
        <f t="shared" si="20"/>
        <v>0</v>
      </c>
      <c r="T56" s="385" t="s">
        <v>177</v>
      </c>
      <c r="U56" s="382"/>
      <c r="V56" s="382"/>
      <c r="W56" s="257">
        <f>'QC-C-019 (Cono Arena)'!W59</f>
        <v>8.1999999999999993</v>
      </c>
    </row>
    <row r="57" spans="2:24" ht="17.25" customHeight="1" thickTop="1" thickBot="1">
      <c r="B57" s="116">
        <f>+B55+1</f>
        <v>30</v>
      </c>
      <c r="C57" s="117" t="s">
        <v>114</v>
      </c>
      <c r="D57" s="180"/>
      <c r="E57" s="118"/>
      <c r="F57" s="118"/>
      <c r="G57" s="119"/>
      <c r="H57" s="120" t="s">
        <v>42</v>
      </c>
      <c r="I57" s="202">
        <f>W53</f>
        <v>2.0779999999999998</v>
      </c>
      <c r="J57" s="202">
        <f>W53</f>
        <v>2.0779999999999998</v>
      </c>
      <c r="K57" s="202"/>
      <c r="L57" s="202"/>
      <c r="M57" s="222"/>
      <c r="N57" s="168" t="s">
        <v>122</v>
      </c>
      <c r="Q57" s="170">
        <f>+I50</f>
        <v>18.100000000000001</v>
      </c>
      <c r="R57" s="170" t="e">
        <f t="shared" ref="R57:S57" si="21">+J50</f>
        <v>#DIV/0!</v>
      </c>
      <c r="S57" s="248">
        <f t="shared" si="21"/>
        <v>0</v>
      </c>
      <c r="T57" s="385" t="s">
        <v>178</v>
      </c>
      <c r="U57" s="382"/>
      <c r="V57" s="382"/>
      <c r="W57" s="255">
        <f>'QC-C-019 (Cono Arena)'!W60</f>
        <v>2.48</v>
      </c>
      <c r="X57" s="159"/>
    </row>
    <row r="58" spans="2:24" ht="17.25" customHeight="1" thickTop="1" thickBot="1">
      <c r="B58" s="161">
        <f>+B57+1</f>
        <v>31</v>
      </c>
      <c r="C58" s="126" t="s">
        <v>67</v>
      </c>
      <c r="D58" s="184"/>
      <c r="E58" s="127"/>
      <c r="F58" s="127"/>
      <c r="G58" s="100"/>
      <c r="H58" s="128" t="s">
        <v>56</v>
      </c>
      <c r="I58" s="203">
        <f>ROUND(+(I55/I57)*100,1)</f>
        <v>147.4</v>
      </c>
      <c r="J58" s="203" t="e">
        <f>ROUND(+(J55/J57)*100,1)</f>
        <v>#DIV/0!</v>
      </c>
      <c r="K58" s="203"/>
      <c r="L58" s="223" t="e">
        <f>ROUND(+(L55/L57)*100,1)</f>
        <v>#DIV/0!</v>
      </c>
      <c r="M58" s="223" t="e">
        <f>ROUND(+(M55/M57)*100,1)</f>
        <v>#DIV/0!</v>
      </c>
      <c r="N58" s="168" t="s">
        <v>123</v>
      </c>
      <c r="Q58" s="176">
        <v>25</v>
      </c>
      <c r="R58" s="176">
        <f>+Q58</f>
        <v>25</v>
      </c>
      <c r="S58" s="249">
        <f>+R58</f>
        <v>25</v>
      </c>
      <c r="T58" s="383" t="s">
        <v>179</v>
      </c>
      <c r="U58" s="382"/>
      <c r="V58" s="382"/>
      <c r="W58" s="254">
        <f>'QC-C-019 (Cono Arena)'!W61</f>
        <v>3.3</v>
      </c>
      <c r="X58" s="160"/>
    </row>
    <row r="59" spans="2:24" ht="17.25" customHeight="1" thickTop="1" thickBot="1">
      <c r="B59" s="162"/>
      <c r="C59" s="323" t="s">
        <v>120</v>
      </c>
      <c r="D59" s="323"/>
      <c r="E59" s="323"/>
      <c r="F59" s="323"/>
      <c r="G59" s="323"/>
      <c r="H59" s="324"/>
      <c r="I59" s="163" t="str">
        <f>+IF(I58&gt;=G61,"CUMPLE","NO CUMPLE")</f>
        <v>CUMPLE</v>
      </c>
      <c r="J59" s="163" t="e">
        <f>+IF(J58&gt;=G61,"CUMPLE","NO CUMPLE")</f>
        <v>#DIV/0!</v>
      </c>
      <c r="K59" s="163"/>
      <c r="L59" s="163"/>
      <c r="M59" s="224" t="e">
        <f>+IF(M58&gt;=G61,"CUMPLE","NO CUMPLE")</f>
        <v>#DIV/0!</v>
      </c>
      <c r="N59" s="168" t="s">
        <v>124</v>
      </c>
      <c r="O59" s="94"/>
      <c r="Q59" s="174">
        <v>2.0289999999999999</v>
      </c>
      <c r="R59" s="174">
        <v>2.0289999999999999</v>
      </c>
      <c r="S59" s="250">
        <v>2.0289999999999999</v>
      </c>
      <c r="T59" s="383" t="s">
        <v>180</v>
      </c>
      <c r="U59" s="382"/>
      <c r="V59" s="382"/>
      <c r="W59" s="255" t="str">
        <f>'QC-C-019 (Cono Arena)'!W62</f>
        <v>C</v>
      </c>
      <c r="X59" s="160"/>
    </row>
    <row r="60" spans="2:24" ht="17.25" customHeight="1" thickTop="1" thickBot="1">
      <c r="B60" s="318" t="s">
        <v>69</v>
      </c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20"/>
      <c r="N60" s="168" t="s">
        <v>125</v>
      </c>
      <c r="Q60" s="174">
        <v>2.1320000000000001</v>
      </c>
      <c r="R60" s="174">
        <f>+Q60</f>
        <v>2.1320000000000001</v>
      </c>
      <c r="S60" s="250">
        <f>+R60</f>
        <v>2.1320000000000001</v>
      </c>
      <c r="T60" s="383" t="s">
        <v>181</v>
      </c>
      <c r="U60" s="382"/>
      <c r="V60" s="382"/>
      <c r="W60" s="255" t="str">
        <f>'QC-C-019 (Cono Arena)'!W63</f>
        <v>SGS-C-Z3-020</v>
      </c>
    </row>
    <row r="61" spans="2:24" ht="17.25" customHeight="1" thickTop="1" thickBot="1">
      <c r="B61" s="95" t="s">
        <v>70</v>
      </c>
      <c r="C61" s="96"/>
      <c r="D61" s="96"/>
      <c r="E61" s="97"/>
      <c r="F61" s="98"/>
      <c r="G61" s="104">
        <v>98</v>
      </c>
      <c r="H61" s="321" t="s">
        <v>71</v>
      </c>
      <c r="I61" s="322"/>
      <c r="J61" s="106" t="s">
        <v>136</v>
      </c>
      <c r="K61" s="316" t="s">
        <v>72</v>
      </c>
      <c r="L61" s="317"/>
      <c r="M61" s="164">
        <f>W63</f>
        <v>29</v>
      </c>
      <c r="N61" s="168" t="s">
        <v>126</v>
      </c>
      <c r="Q61" s="171">
        <f>IF(Q21="-","",ROUND(+(Q55/Q59)*100,1))</f>
        <v>150.9</v>
      </c>
      <c r="R61" s="171" t="e">
        <f t="shared" ref="R61:S61" si="22">IF(R21="-","",ROUND(+(R55/R59)*100,1))</f>
        <v>#DIV/0!</v>
      </c>
      <c r="S61" s="251">
        <f t="shared" si="22"/>
        <v>0</v>
      </c>
      <c r="T61" s="383" t="s">
        <v>187</v>
      </c>
      <c r="U61" s="382"/>
      <c r="V61" s="382"/>
      <c r="W61" s="272">
        <f>'QC-C-019 (Cono Arena)'!W64</f>
        <v>20.3</v>
      </c>
    </row>
    <row r="62" spans="2:24" ht="17.25" customHeight="1" thickTop="1" thickBot="1">
      <c r="B62" s="95" t="s">
        <v>117</v>
      </c>
      <c r="C62" s="96"/>
      <c r="D62" s="96"/>
      <c r="E62" s="97"/>
      <c r="F62" s="98"/>
      <c r="G62" s="105" t="str">
        <f>W59</f>
        <v>C</v>
      </c>
      <c r="H62" s="321" t="s">
        <v>73</v>
      </c>
      <c r="I62" s="322"/>
      <c r="J62" s="106">
        <f>W62</f>
        <v>16.5</v>
      </c>
      <c r="K62" s="316" t="s">
        <v>74</v>
      </c>
      <c r="L62" s="317"/>
      <c r="M62" s="164">
        <f>W64</f>
        <v>17</v>
      </c>
      <c r="N62" s="168" t="s">
        <v>127</v>
      </c>
      <c r="Q62" s="171">
        <f>Q56/Q60*100</f>
        <v>137.75797373358347</v>
      </c>
      <c r="R62" s="171" t="e">
        <f t="shared" ref="R62:S62" si="23">R56/R60*100</f>
        <v>#DIV/0!</v>
      </c>
      <c r="S62" s="251">
        <f t="shared" si="23"/>
        <v>0</v>
      </c>
      <c r="T62" s="383" t="s">
        <v>182</v>
      </c>
      <c r="U62" s="382"/>
      <c r="V62" s="382"/>
      <c r="W62" s="258">
        <f>'QC-C-019 (Cono Arena)'!W66</f>
        <v>16.5</v>
      </c>
    </row>
    <row r="63" spans="2:24" ht="17.25" customHeight="1" thickTop="1" thickBot="1">
      <c r="B63" s="95" t="s">
        <v>118</v>
      </c>
      <c r="C63" s="96"/>
      <c r="D63" s="96"/>
      <c r="E63" s="97"/>
      <c r="F63" s="98"/>
      <c r="G63" s="106">
        <f>W56</f>
        <v>8.1999999999999993</v>
      </c>
      <c r="H63" s="321" t="s">
        <v>75</v>
      </c>
      <c r="I63" s="322"/>
      <c r="J63" s="105">
        <f>W57</f>
        <v>2.48</v>
      </c>
      <c r="K63" s="316" t="s">
        <v>76</v>
      </c>
      <c r="L63" s="317"/>
      <c r="M63" s="164">
        <f>W65</f>
        <v>12</v>
      </c>
      <c r="N63" s="168" t="s">
        <v>128</v>
      </c>
      <c r="Q63" s="172">
        <f>Q61-Q62</f>
        <v>13.142026266416536</v>
      </c>
      <c r="R63" s="172" t="e">
        <f>R61-R62</f>
        <v>#DIV/0!</v>
      </c>
      <c r="S63" s="252">
        <f>S61-S62</f>
        <v>0</v>
      </c>
      <c r="T63" s="383" t="s">
        <v>183</v>
      </c>
      <c r="U63" s="382"/>
      <c r="V63" s="382"/>
      <c r="W63" s="259">
        <f>'QC-C-019 (Cono Arena)'!W67</f>
        <v>29</v>
      </c>
    </row>
    <row r="64" spans="2:24" ht="20.25" customHeight="1" thickTop="1" thickBot="1">
      <c r="B64" s="206" t="s">
        <v>77</v>
      </c>
      <c r="C64" s="119"/>
      <c r="D64" s="386" t="s">
        <v>193</v>
      </c>
      <c r="E64" s="386"/>
      <c r="F64" s="386"/>
      <c r="G64" s="386"/>
      <c r="H64" s="386"/>
      <c r="I64" s="386"/>
      <c r="J64" s="386"/>
      <c r="K64" s="386"/>
      <c r="L64" s="386"/>
      <c r="M64" s="387"/>
      <c r="N64" s="168" t="s">
        <v>129</v>
      </c>
      <c r="Q64" s="172">
        <f>Q57-Q58</f>
        <v>-6.8999999999999986</v>
      </c>
      <c r="R64" s="172" t="e">
        <f>R57-R58</f>
        <v>#DIV/0!</v>
      </c>
      <c r="S64" s="252">
        <f t="shared" ref="S64" si="24">S57-S58</f>
        <v>-25</v>
      </c>
      <c r="T64" s="383" t="s">
        <v>184</v>
      </c>
      <c r="U64" s="382"/>
      <c r="V64" s="382"/>
      <c r="W64" s="259">
        <f>'QC-C-019 (Cono Arena)'!W68</f>
        <v>17</v>
      </c>
    </row>
    <row r="65" spans="2:24" ht="20.25" customHeight="1" thickTop="1" thickBot="1">
      <c r="B65" s="348" t="s">
        <v>194</v>
      </c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50"/>
      <c r="N65" s="261" t="s">
        <v>189</v>
      </c>
      <c r="O65" s="270">
        <v>371.06</v>
      </c>
      <c r="P65" s="261" t="s">
        <v>190</v>
      </c>
      <c r="Q65" s="173" t="str">
        <f>IF(Q21="-","",IF(Q61&gt;=$G$61,"CUMPLE","NO CUMPLE"))</f>
        <v>CUMPLE</v>
      </c>
      <c r="R65" s="173" t="e">
        <f t="shared" ref="R65:S65" si="25">IF(R21="-","",IF(R61&gt;=$G$61,"CUMPLE","NO CUMPLE"))</f>
        <v>#DIV/0!</v>
      </c>
      <c r="S65" s="253" t="str">
        <f t="shared" si="25"/>
        <v>NO CUMPLE</v>
      </c>
      <c r="T65" s="383" t="s">
        <v>185</v>
      </c>
      <c r="U65" s="382"/>
      <c r="V65" s="382"/>
      <c r="W65" s="259">
        <f>'QC-C-019 (Cono Arena)'!W69</f>
        <v>12</v>
      </c>
    </row>
    <row r="66" spans="2:24" ht="20.25" customHeight="1" thickTop="1">
      <c r="B66" s="325" t="s">
        <v>195</v>
      </c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7"/>
    </row>
    <row r="67" spans="2:24" ht="20.25" hidden="1" customHeight="1">
      <c r="B67" s="329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7"/>
    </row>
    <row r="68" spans="2:24" ht="19.5" customHeight="1">
      <c r="B68" s="101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3"/>
    </row>
    <row r="69" spans="2:24" ht="108" customHeight="1"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3"/>
      <c r="T69" s="89">
        <v>1.9950000000000001</v>
      </c>
    </row>
    <row r="70" spans="2:24">
      <c r="O70" s="89">
        <v>0.97199999999999998</v>
      </c>
    </row>
    <row r="71" spans="2:24" ht="19.5" customHeight="1">
      <c r="C71" s="328"/>
      <c r="D71" s="112"/>
      <c r="E71" s="328"/>
      <c r="F71" s="328"/>
      <c r="G71" s="328"/>
      <c r="H71" s="328"/>
      <c r="I71" s="328"/>
      <c r="J71" s="328"/>
      <c r="K71" s="328"/>
      <c r="L71" s="328"/>
      <c r="M71" s="328"/>
      <c r="N71" s="167"/>
      <c r="O71" s="89">
        <v>30604</v>
      </c>
      <c r="P71" s="328"/>
      <c r="Q71" s="328"/>
    </row>
    <row r="72" spans="2:24">
      <c r="C72" s="328"/>
      <c r="D72" s="112"/>
      <c r="E72" s="112"/>
      <c r="F72" s="112"/>
      <c r="G72" s="112"/>
      <c r="H72" s="328"/>
      <c r="I72" s="328"/>
      <c r="J72" s="328"/>
      <c r="K72" s="328"/>
      <c r="L72" s="112"/>
      <c r="M72" s="112"/>
      <c r="N72" s="112"/>
      <c r="O72" s="89">
        <f>ROUND(+O71*O70,0)</f>
        <v>29747</v>
      </c>
      <c r="P72" s="112"/>
      <c r="Q72" s="112"/>
    </row>
    <row r="73" spans="2:24" ht="18" customHeight="1">
      <c r="C73" s="388" t="s">
        <v>81</v>
      </c>
      <c r="D73" s="185"/>
      <c r="E73" s="388" t="s">
        <v>82</v>
      </c>
      <c r="F73" s="388" t="s">
        <v>83</v>
      </c>
      <c r="G73" s="388" t="s">
        <v>84</v>
      </c>
      <c r="H73" s="391" t="s">
        <v>85</v>
      </c>
      <c r="I73" s="394" t="s">
        <v>86</v>
      </c>
      <c r="J73" s="397" t="s">
        <v>87</v>
      </c>
      <c r="K73" s="398"/>
      <c r="L73" s="394" t="s">
        <v>88</v>
      </c>
      <c r="M73" s="394" t="s">
        <v>89</v>
      </c>
      <c r="N73" s="394" t="s">
        <v>90</v>
      </c>
      <c r="O73" s="391" t="s">
        <v>91</v>
      </c>
      <c r="P73" s="401" t="s">
        <v>92</v>
      </c>
      <c r="Q73" s="402"/>
      <c r="R73" s="403"/>
      <c r="S73" s="394" t="s">
        <v>93</v>
      </c>
      <c r="T73" s="401" t="s">
        <v>94</v>
      </c>
      <c r="U73" s="402"/>
      <c r="V73" s="403"/>
      <c r="W73" s="394" t="s">
        <v>95</v>
      </c>
      <c r="X73" s="394" t="s">
        <v>96</v>
      </c>
    </row>
    <row r="74" spans="2:24" ht="18" customHeight="1">
      <c r="C74" s="389"/>
      <c r="D74" s="186"/>
      <c r="E74" s="389"/>
      <c r="F74" s="389"/>
      <c r="G74" s="389"/>
      <c r="H74" s="392"/>
      <c r="I74" s="395"/>
      <c r="J74" s="399"/>
      <c r="K74" s="400"/>
      <c r="L74" s="392"/>
      <c r="M74" s="392"/>
      <c r="N74" s="395"/>
      <c r="O74" s="392"/>
      <c r="P74" s="394" t="s">
        <v>97</v>
      </c>
      <c r="Q74" s="394" t="s">
        <v>98</v>
      </c>
      <c r="R74" s="394" t="s">
        <v>99</v>
      </c>
      <c r="S74" s="392"/>
      <c r="T74" s="394" t="s">
        <v>100</v>
      </c>
      <c r="U74" s="394" t="s">
        <v>101</v>
      </c>
      <c r="V74" s="394" t="s">
        <v>102</v>
      </c>
      <c r="W74" s="392"/>
      <c r="X74" s="395"/>
    </row>
    <row r="75" spans="2:24" ht="18" customHeight="1">
      <c r="C75" s="390"/>
      <c r="D75" s="187"/>
      <c r="E75" s="390"/>
      <c r="F75" s="390"/>
      <c r="G75" s="390"/>
      <c r="H75" s="393"/>
      <c r="I75" s="396"/>
      <c r="J75" s="131" t="s">
        <v>103</v>
      </c>
      <c r="K75" s="131" t="s">
        <v>26</v>
      </c>
      <c r="L75" s="393"/>
      <c r="M75" s="393"/>
      <c r="N75" s="396"/>
      <c r="O75" s="393"/>
      <c r="P75" s="396"/>
      <c r="Q75" s="396"/>
      <c r="R75" s="396"/>
      <c r="S75" s="393"/>
      <c r="T75" s="396"/>
      <c r="U75" s="396"/>
      <c r="V75" s="396"/>
      <c r="W75" s="392"/>
      <c r="X75" s="395"/>
    </row>
    <row r="76" spans="2:24" ht="18" customHeight="1">
      <c r="C76" s="132">
        <v>1</v>
      </c>
      <c r="D76" s="132"/>
      <c r="E76" s="132" t="str">
        <f>+L14</f>
        <v>SGS-CA12-Z3-045</v>
      </c>
      <c r="F76" s="133" t="s">
        <v>104</v>
      </c>
      <c r="G76" s="134">
        <v>1</v>
      </c>
      <c r="H76" s="133" t="str">
        <f>+E13</f>
        <v xml:space="preserve">SD5 - COT - Capa Nº 45 (12 Ciclos) </v>
      </c>
      <c r="I76" s="135">
        <f>+L13</f>
        <v>46120</v>
      </c>
      <c r="J76" s="136" t="s">
        <v>105</v>
      </c>
      <c r="K76" s="137" t="str">
        <f>+I17</f>
        <v>Inboard</v>
      </c>
      <c r="L76" s="137">
        <f>+I19</f>
        <v>45</v>
      </c>
      <c r="M76" s="138">
        <v>300</v>
      </c>
      <c r="N76" s="138">
        <v>150</v>
      </c>
      <c r="O76" s="139" t="str">
        <f>+E14</f>
        <v>Zona 3 - Núcleo</v>
      </c>
      <c r="P76" s="140" t="s">
        <v>106</v>
      </c>
      <c r="Q76" s="141">
        <f>+I57</f>
        <v>2.0779999999999998</v>
      </c>
      <c r="R76" s="142">
        <f>+G63</f>
        <v>8.1999999999999993</v>
      </c>
      <c r="S76" s="143">
        <v>98</v>
      </c>
      <c r="T76" s="141">
        <f>+I55</f>
        <v>3.0619999999999998</v>
      </c>
      <c r="U76" s="142">
        <f>+I44</f>
        <v>-20.399999999999999</v>
      </c>
      <c r="V76" s="144">
        <f>IF(T76="","",100*T76/(Q76))</f>
        <v>147.35322425409046</v>
      </c>
      <c r="W76" s="145" t="str">
        <f>IF(V76&gt;=S76,"Conforme","No Conforme")</f>
        <v>Conforme</v>
      </c>
      <c r="X76" s="146" t="b">
        <f>+IF(MID(E76,8,2)="CA","CONO DE ARENA",IF(MID(E76,8,2)="DN","DENSÍMETRO NUCLEAR",IF(MID(E76,8,2)="RA","REEMPLAZO POR AGUA")))</f>
        <v>0</v>
      </c>
    </row>
    <row r="77" spans="2:24" ht="18" customHeight="1">
      <c r="C77" s="132">
        <f>+C76+1</f>
        <v>2</v>
      </c>
      <c r="D77" s="132"/>
      <c r="E77" s="132" t="str">
        <f>+E76</f>
        <v>SGS-CA12-Z3-045</v>
      </c>
      <c r="F77" s="133" t="s">
        <v>104</v>
      </c>
      <c r="G77" s="134">
        <v>2</v>
      </c>
      <c r="H77" s="133" t="str">
        <f t="shared" ref="H77:I79" si="26">+H76</f>
        <v xml:space="preserve">SD5 - COT - Capa Nº 45 (12 Ciclos) </v>
      </c>
      <c r="I77" s="135">
        <f t="shared" si="26"/>
        <v>46120</v>
      </c>
      <c r="J77" s="136" t="s">
        <v>105</v>
      </c>
      <c r="K77" s="137">
        <f>+J17</f>
        <v>0</v>
      </c>
      <c r="L77" s="137">
        <f>+J19</f>
        <v>0</v>
      </c>
      <c r="M77" s="138">
        <v>300</v>
      </c>
      <c r="N77" s="138">
        <v>150</v>
      </c>
      <c r="O77" s="139" t="str">
        <f>+O76</f>
        <v>Zona 3 - Núcleo</v>
      </c>
      <c r="P77" s="140" t="s">
        <v>106</v>
      </c>
      <c r="Q77" s="141">
        <f t="shared" ref="Q77:R79" si="27">+Q76</f>
        <v>2.0779999999999998</v>
      </c>
      <c r="R77" s="142">
        <f t="shared" si="27"/>
        <v>8.1999999999999993</v>
      </c>
      <c r="S77" s="143">
        <v>98</v>
      </c>
      <c r="T77" s="141" t="e">
        <f>+J55</f>
        <v>#DIV/0!</v>
      </c>
      <c r="U77" s="142" t="e">
        <f>+J44</f>
        <v>#DIV/0!</v>
      </c>
      <c r="V77" s="144" t="e">
        <f>IF(T77="","",100*T77/(Q77))</f>
        <v>#DIV/0!</v>
      </c>
      <c r="W77" s="145" t="e">
        <f>IF(V77="","",IF(V77&gt;=S77,"Conforme","No Conforme"))</f>
        <v>#DIV/0!</v>
      </c>
      <c r="X77" s="146" t="b">
        <f t="shared" ref="X77:X79" si="28">+IF(MID(E77,8,2)="CA","CONO DE ARENA",IF(MID(E77,8,2)="DN","DENSÍMETRO NUCLEAR",IF(MID(E77,8,2)="RA","REEMPLAZO POR AGUA")))</f>
        <v>0</v>
      </c>
    </row>
    <row r="78" spans="2:24" ht="30.6">
      <c r="C78" s="132">
        <f t="shared" ref="C78:C79" si="29">+C77+1</f>
        <v>3</v>
      </c>
      <c r="D78" s="132"/>
      <c r="E78" s="132" t="str">
        <f>+E77</f>
        <v>SGS-CA12-Z3-045</v>
      </c>
      <c r="F78" s="133" t="s">
        <v>104</v>
      </c>
      <c r="G78" s="134">
        <v>3</v>
      </c>
      <c r="H78" s="133" t="str">
        <f t="shared" si="26"/>
        <v xml:space="preserve">SD5 - COT - Capa Nº 45 (12 Ciclos) </v>
      </c>
      <c r="I78" s="135">
        <f t="shared" si="26"/>
        <v>46120</v>
      </c>
      <c r="J78" s="136" t="s">
        <v>105</v>
      </c>
      <c r="K78" s="137">
        <f>+K17</f>
        <v>0</v>
      </c>
      <c r="L78" s="137">
        <f>+K19</f>
        <v>0</v>
      </c>
      <c r="M78" s="138">
        <v>300</v>
      </c>
      <c r="N78" s="138">
        <v>150</v>
      </c>
      <c r="O78" s="139" t="str">
        <f>+O77</f>
        <v>Zona 3 - Núcleo</v>
      </c>
      <c r="P78" s="140" t="s">
        <v>106</v>
      </c>
      <c r="Q78" s="141">
        <f t="shared" si="27"/>
        <v>2.0779999999999998</v>
      </c>
      <c r="R78" s="142">
        <f t="shared" si="27"/>
        <v>8.1999999999999993</v>
      </c>
      <c r="S78" s="143">
        <v>98</v>
      </c>
      <c r="T78" s="141">
        <f>+K55</f>
        <v>0</v>
      </c>
      <c r="U78" s="142">
        <f>+K44</f>
        <v>0</v>
      </c>
      <c r="V78" s="144">
        <f t="shared" ref="V78" si="30">IF(T78="","",100*T78/(Q78))</f>
        <v>0</v>
      </c>
      <c r="W78" s="145" t="str">
        <f t="shared" ref="W78:W79" si="31">IF(V78="","",IF(V78&gt;=S78,"Conforme","No Conforme"))</f>
        <v>No Conforme</v>
      </c>
      <c r="X78" s="146" t="b">
        <f t="shared" si="28"/>
        <v>0</v>
      </c>
    </row>
    <row r="79" spans="2:24" ht="30.6">
      <c r="C79" s="132">
        <f t="shared" si="29"/>
        <v>4</v>
      </c>
      <c r="D79" s="132"/>
      <c r="E79" s="132" t="str">
        <f>+E78</f>
        <v>SGS-CA12-Z3-045</v>
      </c>
      <c r="F79" s="133" t="s">
        <v>104</v>
      </c>
      <c r="G79" s="134">
        <v>4</v>
      </c>
      <c r="H79" s="133" t="str">
        <f t="shared" si="26"/>
        <v xml:space="preserve">SD5 - COT - Capa Nº 45 (12 Ciclos) </v>
      </c>
      <c r="I79" s="135">
        <f t="shared" si="26"/>
        <v>46120</v>
      </c>
      <c r="J79" s="136" t="s">
        <v>105</v>
      </c>
      <c r="K79" s="137">
        <f>+L17</f>
        <v>0</v>
      </c>
      <c r="L79" s="137">
        <f>+L19</f>
        <v>0</v>
      </c>
      <c r="M79" s="138">
        <v>300</v>
      </c>
      <c r="N79" s="138">
        <v>150</v>
      </c>
      <c r="O79" s="139" t="str">
        <f>+O78</f>
        <v>Zona 3 - Núcleo</v>
      </c>
      <c r="P79" s="140" t="s">
        <v>106</v>
      </c>
      <c r="Q79" s="141">
        <f t="shared" si="27"/>
        <v>2.0779999999999998</v>
      </c>
      <c r="R79" s="142">
        <f t="shared" si="27"/>
        <v>8.1999999999999993</v>
      </c>
      <c r="S79" s="143">
        <v>98</v>
      </c>
      <c r="T79" s="141">
        <f>+L55</f>
        <v>0</v>
      </c>
      <c r="U79" s="142">
        <f>+L54</f>
        <v>0</v>
      </c>
      <c r="V79" s="144">
        <f>IF(T79="","",100*T79/(Q79))</f>
        <v>0</v>
      </c>
      <c r="W79" s="145" t="str">
        <f t="shared" si="31"/>
        <v>No Conforme</v>
      </c>
      <c r="X79" s="146" t="b">
        <f t="shared" si="28"/>
        <v>0</v>
      </c>
    </row>
    <row r="81" spans="3:38" ht="40.799999999999997">
      <c r="C81" s="415" t="s">
        <v>138</v>
      </c>
      <c r="D81" s="404" t="s">
        <v>139</v>
      </c>
      <c r="E81" s="404" t="s">
        <v>140</v>
      </c>
      <c r="F81" s="417" t="s">
        <v>141</v>
      </c>
      <c r="G81" s="417"/>
      <c r="H81" s="404" t="s">
        <v>88</v>
      </c>
      <c r="I81" s="404" t="s">
        <v>89</v>
      </c>
      <c r="J81" s="404" t="s">
        <v>90</v>
      </c>
      <c r="K81" s="406" t="s">
        <v>142</v>
      </c>
      <c r="L81" s="409" t="s">
        <v>143</v>
      </c>
      <c r="M81" s="410"/>
      <c r="N81" s="409" t="s">
        <v>144</v>
      </c>
      <c r="O81" s="411"/>
      <c r="P81" s="410"/>
      <c r="Q81" s="406" t="s">
        <v>145</v>
      </c>
      <c r="R81" s="409" t="s">
        <v>29</v>
      </c>
      <c r="S81" s="410"/>
      <c r="T81" s="406" t="s">
        <v>146</v>
      </c>
      <c r="U81" s="422" t="s">
        <v>147</v>
      </c>
      <c r="V81" s="423"/>
      <c r="W81" s="423"/>
      <c r="X81" s="423"/>
      <c r="Y81" s="423"/>
      <c r="Z81" s="424"/>
      <c r="AA81" s="228" t="s">
        <v>148</v>
      </c>
      <c r="AB81" s="422" t="s">
        <v>149</v>
      </c>
      <c r="AC81" s="423"/>
      <c r="AD81" s="423"/>
      <c r="AE81" s="423"/>
      <c r="AF81" s="423"/>
      <c r="AG81" s="424"/>
      <c r="AH81" s="406" t="s">
        <v>148</v>
      </c>
      <c r="AI81" s="404" t="s">
        <v>150</v>
      </c>
      <c r="AJ81" s="404" t="s">
        <v>151</v>
      </c>
      <c r="AK81" s="419" t="s">
        <v>152</v>
      </c>
      <c r="AL81" s="420" t="s">
        <v>153</v>
      </c>
    </row>
    <row r="82" spans="3:38">
      <c r="C82" s="415"/>
      <c r="D82" s="404"/>
      <c r="E82" s="404"/>
      <c r="F82" s="417"/>
      <c r="G82" s="417"/>
      <c r="H82" s="417"/>
      <c r="I82" s="417"/>
      <c r="J82" s="404"/>
      <c r="K82" s="407"/>
      <c r="L82" s="406" t="s">
        <v>154</v>
      </c>
      <c r="M82" s="406" t="s">
        <v>155</v>
      </c>
      <c r="N82" s="412"/>
      <c r="O82" s="413"/>
      <c r="P82" s="414"/>
      <c r="Q82" s="407"/>
      <c r="R82" s="412"/>
      <c r="S82" s="414"/>
      <c r="T82" s="407"/>
      <c r="U82" s="404" t="s">
        <v>156</v>
      </c>
      <c r="V82" s="404" t="s">
        <v>157</v>
      </c>
      <c r="W82" s="404" t="s">
        <v>158</v>
      </c>
      <c r="X82" s="406" t="s">
        <v>159</v>
      </c>
      <c r="Y82" s="404" t="s">
        <v>99</v>
      </c>
      <c r="Z82" s="406" t="s">
        <v>160</v>
      </c>
      <c r="AA82" s="229"/>
      <c r="AB82" s="404" t="s">
        <v>161</v>
      </c>
      <c r="AC82" s="404" t="s">
        <v>162</v>
      </c>
      <c r="AD82" s="406" t="s">
        <v>159</v>
      </c>
      <c r="AE82" s="404" t="s">
        <v>163</v>
      </c>
      <c r="AF82" s="404" t="s">
        <v>164</v>
      </c>
      <c r="AG82" s="404" t="s">
        <v>102</v>
      </c>
      <c r="AH82" s="407"/>
      <c r="AI82" s="417"/>
      <c r="AJ82" s="417"/>
      <c r="AK82" s="419"/>
      <c r="AL82" s="421"/>
    </row>
    <row r="83" spans="3:38">
      <c r="C83" s="416"/>
      <c r="D83" s="405"/>
      <c r="E83" s="405"/>
      <c r="F83" s="230" t="s">
        <v>26</v>
      </c>
      <c r="G83" s="230" t="s">
        <v>87</v>
      </c>
      <c r="H83" s="418"/>
      <c r="I83" s="418"/>
      <c r="J83" s="405"/>
      <c r="K83" s="408"/>
      <c r="L83" s="408"/>
      <c r="M83" s="408"/>
      <c r="N83" s="231" t="s">
        <v>165</v>
      </c>
      <c r="O83" s="231" t="s">
        <v>166</v>
      </c>
      <c r="P83" s="231" t="s">
        <v>167</v>
      </c>
      <c r="Q83" s="408"/>
      <c r="R83" s="231" t="s">
        <v>168</v>
      </c>
      <c r="S83" s="231" t="s">
        <v>169</v>
      </c>
      <c r="T83" s="408"/>
      <c r="U83" s="405"/>
      <c r="V83" s="405"/>
      <c r="W83" s="405"/>
      <c r="X83" s="408"/>
      <c r="Y83" s="405"/>
      <c r="Z83" s="408"/>
      <c r="AA83" s="232"/>
      <c r="AB83" s="405"/>
      <c r="AC83" s="405"/>
      <c r="AD83" s="408"/>
      <c r="AE83" s="405"/>
      <c r="AF83" s="405"/>
      <c r="AG83" s="405"/>
      <c r="AH83" s="408"/>
      <c r="AI83" s="425"/>
      <c r="AJ83" s="425"/>
      <c r="AK83" s="409"/>
      <c r="AL83" s="421"/>
    </row>
    <row r="84" spans="3:38" ht="30.6">
      <c r="C84" s="134">
        <f>I16</f>
        <v>49</v>
      </c>
      <c r="D84" s="233" t="str">
        <f>L14</f>
        <v>SGS-CA12-Z3-045</v>
      </c>
      <c r="E84" s="234">
        <f>L13</f>
        <v>46120</v>
      </c>
      <c r="F84" s="136" t="str">
        <f>I17</f>
        <v>Inboard</v>
      </c>
      <c r="G84" s="235" t="str">
        <f>E13</f>
        <v xml:space="preserve">SD5 - COT - Capa Nº 45 (12 Ciclos) </v>
      </c>
      <c r="H84" s="137">
        <f>I19</f>
        <v>45</v>
      </c>
      <c r="I84" s="137">
        <f>I18*10</f>
        <v>300</v>
      </c>
      <c r="J84" s="138">
        <f>R11</f>
        <v>150</v>
      </c>
      <c r="K84" s="138">
        <f>R13</f>
        <v>5</v>
      </c>
      <c r="L84" s="138">
        <f>R13</f>
        <v>5</v>
      </c>
      <c r="M84" s="236">
        <f>R14</f>
        <v>0</v>
      </c>
      <c r="N84" s="269">
        <v>1215.25</v>
      </c>
      <c r="O84" s="269">
        <v>1271.25</v>
      </c>
      <c r="P84" s="269">
        <v>1249.75</v>
      </c>
      <c r="Q84" s="238">
        <f>I22</f>
        <v>2674.3150000000001</v>
      </c>
      <c r="R84" s="238">
        <f>I20</f>
        <v>8166207.5039999997</v>
      </c>
      <c r="S84" s="238">
        <f>I21</f>
        <v>222746.07</v>
      </c>
      <c r="T84" s="237" t="s">
        <v>170</v>
      </c>
      <c r="U84" s="140" t="str">
        <f>W60</f>
        <v>SGS-C-Z3-020</v>
      </c>
      <c r="V84" s="141">
        <f>I57</f>
        <v>2.0779999999999998</v>
      </c>
      <c r="W84" s="142">
        <f>W55</f>
        <v>9.1999999999999993</v>
      </c>
      <c r="X84" s="142">
        <f>W61</f>
        <v>20.3</v>
      </c>
      <c r="Y84" s="142">
        <f>G63</f>
        <v>8.1999999999999993</v>
      </c>
      <c r="Z84" s="142" t="str">
        <f>G62</f>
        <v>C</v>
      </c>
      <c r="AA84" s="239">
        <f>G61</f>
        <v>98</v>
      </c>
      <c r="AB84" s="240">
        <f>I35</f>
        <v>2.3380000000000001</v>
      </c>
      <c r="AC84" s="142">
        <f>I44</f>
        <v>-20.399999999999999</v>
      </c>
      <c r="AD84" s="142">
        <f>I50</f>
        <v>18.100000000000001</v>
      </c>
      <c r="AE84" s="141">
        <f>I55</f>
        <v>3.0619999999999998</v>
      </c>
      <c r="AF84" s="142">
        <f>I43</f>
        <v>-25.607551717212289</v>
      </c>
      <c r="AG84" s="144">
        <f>IF(AE84="","",100*AE84/(V84))</f>
        <v>147.35322425409046</v>
      </c>
      <c r="AH84" s="239">
        <v>98</v>
      </c>
      <c r="AI84" s="145" t="str">
        <f>IF(AG84&gt;=AH84,"Cumple","No Cumple")</f>
        <v>Cumple</v>
      </c>
      <c r="AJ84" s="241" t="s">
        <v>171</v>
      </c>
      <c r="AK84" s="242" t="s">
        <v>191</v>
      </c>
      <c r="AL84" s="243" t="s">
        <v>172</v>
      </c>
    </row>
    <row r="85" spans="3:38" ht="30.6">
      <c r="C85" s="134">
        <f>J16</f>
        <v>0</v>
      </c>
      <c r="D85" s="233" t="str">
        <f>L14</f>
        <v>SGS-CA12-Z3-045</v>
      </c>
      <c r="E85" s="234">
        <f>L13</f>
        <v>46120</v>
      </c>
      <c r="F85" s="136">
        <f>J17</f>
        <v>0</v>
      </c>
      <c r="G85" s="235" t="str">
        <f>E13</f>
        <v xml:space="preserve">SD5 - COT - Capa Nº 45 (12 Ciclos) </v>
      </c>
      <c r="H85" s="137">
        <f>J19</f>
        <v>0</v>
      </c>
      <c r="I85" s="137">
        <f>I18*10</f>
        <v>300</v>
      </c>
      <c r="J85" s="264">
        <f>R11</f>
        <v>150</v>
      </c>
      <c r="K85" s="264">
        <f>S13</f>
        <v>5</v>
      </c>
      <c r="L85" s="264">
        <f>R13</f>
        <v>5</v>
      </c>
      <c r="M85" s="265">
        <f>R14</f>
        <v>0</v>
      </c>
      <c r="N85" s="269">
        <v>1215.75</v>
      </c>
      <c r="O85" s="269">
        <v>1269.75</v>
      </c>
      <c r="P85" s="269">
        <f>R15</f>
        <v>1235.8499999999999</v>
      </c>
      <c r="Q85" s="238">
        <f>J22</f>
        <v>0</v>
      </c>
      <c r="R85" s="238">
        <f>J20</f>
        <v>0</v>
      </c>
      <c r="S85" s="238">
        <f>J21</f>
        <v>0</v>
      </c>
      <c r="T85" s="237" t="str">
        <f t="shared" ref="T85:AL85" si="32">T84</f>
        <v>Cono de Arena</v>
      </c>
      <c r="U85" s="140" t="str">
        <f>U84</f>
        <v>SGS-C-Z3-020</v>
      </c>
      <c r="V85" s="141">
        <f t="shared" si="32"/>
        <v>2.0779999999999998</v>
      </c>
      <c r="W85" s="142">
        <f t="shared" si="32"/>
        <v>9.1999999999999993</v>
      </c>
      <c r="X85" s="142">
        <f t="shared" si="32"/>
        <v>20.3</v>
      </c>
      <c r="Y85" s="142">
        <f t="shared" si="32"/>
        <v>8.1999999999999993</v>
      </c>
      <c r="Z85" s="142" t="str">
        <f t="shared" si="32"/>
        <v>C</v>
      </c>
      <c r="AA85" s="239">
        <f t="shared" si="32"/>
        <v>98</v>
      </c>
      <c r="AB85" s="240" t="e">
        <f>J35</f>
        <v>#DIV/0!</v>
      </c>
      <c r="AC85" s="142" t="e">
        <f>J44</f>
        <v>#DIV/0!</v>
      </c>
      <c r="AD85" s="142" t="e">
        <f>J50</f>
        <v>#DIV/0!</v>
      </c>
      <c r="AE85" s="141" t="e">
        <f>J55</f>
        <v>#DIV/0!</v>
      </c>
      <c r="AF85" s="142">
        <f>J43</f>
        <v>-100</v>
      </c>
      <c r="AG85" s="144" t="e">
        <f>J58</f>
        <v>#DIV/0!</v>
      </c>
      <c r="AH85" s="239">
        <f t="shared" si="32"/>
        <v>98</v>
      </c>
      <c r="AI85" s="145" t="str">
        <f t="shared" si="32"/>
        <v>Cumple</v>
      </c>
      <c r="AJ85" s="266" t="str">
        <f t="shared" si="32"/>
        <v>Cono de Arena 6"</v>
      </c>
      <c r="AK85" s="267" t="str">
        <f>AK84</f>
        <v>Pila N°14</v>
      </c>
      <c r="AL85" s="268" t="str">
        <f t="shared" si="32"/>
        <v>Capa retirada, no cumple EETT</v>
      </c>
    </row>
    <row r="86" spans="3:38">
      <c r="C86" s="262">
        <f t="shared" ref="C86:AL86" si="33">C85</f>
        <v>0</v>
      </c>
      <c r="D86" s="262" t="str">
        <f t="shared" si="33"/>
        <v>SGS-CA12-Z3-045</v>
      </c>
      <c r="E86" s="263">
        <f t="shared" si="33"/>
        <v>46120</v>
      </c>
      <c r="F86" s="262">
        <f>C85</f>
        <v>0</v>
      </c>
      <c r="G86" s="262" t="str">
        <f t="shared" si="33"/>
        <v xml:space="preserve">SD5 - COT - Capa Nº 45 (12 Ciclos) </v>
      </c>
      <c r="H86" s="262">
        <f t="shared" si="33"/>
        <v>0</v>
      </c>
      <c r="I86" s="262">
        <f t="shared" si="33"/>
        <v>300</v>
      </c>
      <c r="J86" s="262">
        <f t="shared" si="33"/>
        <v>150</v>
      </c>
      <c r="K86" s="262">
        <f t="shared" si="33"/>
        <v>5</v>
      </c>
      <c r="L86" s="262">
        <f t="shared" si="33"/>
        <v>5</v>
      </c>
      <c r="M86" s="262">
        <f t="shared" si="33"/>
        <v>0</v>
      </c>
      <c r="N86" s="262">
        <f t="shared" si="33"/>
        <v>1215.75</v>
      </c>
      <c r="O86" s="262">
        <f t="shared" si="33"/>
        <v>1269.75</v>
      </c>
      <c r="P86" s="262">
        <f t="shared" si="33"/>
        <v>1235.8499999999999</v>
      </c>
      <c r="Q86" s="262">
        <f t="shared" si="33"/>
        <v>0</v>
      </c>
      <c r="R86" s="262">
        <f t="shared" si="33"/>
        <v>0</v>
      </c>
      <c r="S86" s="262">
        <f t="shared" si="33"/>
        <v>0</v>
      </c>
      <c r="T86" s="262" t="str">
        <f t="shared" si="33"/>
        <v>Cono de Arena</v>
      </c>
      <c r="U86" s="262" t="str">
        <f t="shared" si="33"/>
        <v>SGS-C-Z3-020</v>
      </c>
      <c r="V86" s="262">
        <f t="shared" si="33"/>
        <v>2.0779999999999998</v>
      </c>
      <c r="W86" s="262">
        <f t="shared" si="33"/>
        <v>9.1999999999999993</v>
      </c>
      <c r="X86" s="262">
        <f t="shared" si="33"/>
        <v>20.3</v>
      </c>
      <c r="Y86" s="262">
        <f t="shared" si="33"/>
        <v>8.1999999999999993</v>
      </c>
      <c r="Z86" s="262" t="str">
        <f t="shared" si="33"/>
        <v>C</v>
      </c>
      <c r="AA86" s="262">
        <f t="shared" si="33"/>
        <v>98</v>
      </c>
      <c r="AB86" s="262" t="e">
        <f t="shared" si="33"/>
        <v>#DIV/0!</v>
      </c>
      <c r="AC86" s="262" t="e">
        <f t="shared" si="33"/>
        <v>#DIV/0!</v>
      </c>
      <c r="AD86" s="262" t="e">
        <f t="shared" si="33"/>
        <v>#DIV/0!</v>
      </c>
      <c r="AE86" s="262" t="e">
        <f t="shared" si="33"/>
        <v>#DIV/0!</v>
      </c>
      <c r="AF86" s="262">
        <f t="shared" si="33"/>
        <v>-100</v>
      </c>
      <c r="AG86" s="262" t="e">
        <f t="shared" si="33"/>
        <v>#DIV/0!</v>
      </c>
      <c r="AH86" s="262">
        <f t="shared" si="33"/>
        <v>98</v>
      </c>
      <c r="AI86" s="262" t="str">
        <f t="shared" si="33"/>
        <v>Cumple</v>
      </c>
      <c r="AJ86" s="262" t="str">
        <f t="shared" si="33"/>
        <v>Cono de Arena 6"</v>
      </c>
      <c r="AK86" s="262" t="str">
        <f t="shared" si="33"/>
        <v>Pila N°14</v>
      </c>
      <c r="AL86" s="262" t="str">
        <f t="shared" si="33"/>
        <v>Capa retirada, no cumple EETT</v>
      </c>
    </row>
  </sheetData>
  <protectedRanges>
    <protectedRange sqref="O2:R3" name="Rango3_4_2_2_1_1_1"/>
    <protectedRange sqref="G2:N3" name="Rango3_1_1_1_1_2_1_1_1"/>
    <protectedRange sqref="Q4:Q10" name="Rango3_1_1_1_1_1_2_3_1"/>
    <protectedRange sqref="O1:P1" name="Rango3_4_2_2_2_1_1"/>
    <protectedRange sqref="C1:D1" name="Rango3_1_2_1_3_1"/>
  </protectedRanges>
  <mergeCells count="114">
    <mergeCell ref="AF82:AF83"/>
    <mergeCell ref="AG82:AG83"/>
    <mergeCell ref="AK81:AK83"/>
    <mergeCell ref="AL81:AL83"/>
    <mergeCell ref="L82:L83"/>
    <mergeCell ref="M82:M83"/>
    <mergeCell ref="U82:U83"/>
    <mergeCell ref="V82:V83"/>
    <mergeCell ref="W82:W83"/>
    <mergeCell ref="X82:X83"/>
    <mergeCell ref="Y82:Y83"/>
    <mergeCell ref="Z82:Z83"/>
    <mergeCell ref="T81:T83"/>
    <mergeCell ref="U81:Z81"/>
    <mergeCell ref="AB81:AG81"/>
    <mergeCell ref="AH81:AH83"/>
    <mergeCell ref="AI81:AI83"/>
    <mergeCell ref="AJ81:AJ83"/>
    <mergeCell ref="AB82:AB83"/>
    <mergeCell ref="AC82:AC83"/>
    <mergeCell ref="AD82:AD83"/>
    <mergeCell ref="AE82:AE83"/>
    <mergeCell ref="J81:J83"/>
    <mergeCell ref="K81:K83"/>
    <mergeCell ref="L81:M81"/>
    <mergeCell ref="N81:P82"/>
    <mergeCell ref="Q81:Q83"/>
    <mergeCell ref="R81:S82"/>
    <mergeCell ref="C81:C83"/>
    <mergeCell ref="D81:D83"/>
    <mergeCell ref="E81:E83"/>
    <mergeCell ref="F81:G82"/>
    <mergeCell ref="H81:H83"/>
    <mergeCell ref="I81:I83"/>
    <mergeCell ref="W73:W75"/>
    <mergeCell ref="X73:X75"/>
    <mergeCell ref="P74:P75"/>
    <mergeCell ref="Q74:Q75"/>
    <mergeCell ref="R74:R75"/>
    <mergeCell ref="T74:T75"/>
    <mergeCell ref="U74:U75"/>
    <mergeCell ref="V74:V75"/>
    <mergeCell ref="M73:M75"/>
    <mergeCell ref="N73:N75"/>
    <mergeCell ref="O73:O75"/>
    <mergeCell ref="P73:R73"/>
    <mergeCell ref="S73:S75"/>
    <mergeCell ref="T73:V73"/>
    <mergeCell ref="L71:M71"/>
    <mergeCell ref="P71:Q71"/>
    <mergeCell ref="C73:C75"/>
    <mergeCell ref="E73:E75"/>
    <mergeCell ref="F73:F75"/>
    <mergeCell ref="G73:G75"/>
    <mergeCell ref="H73:H75"/>
    <mergeCell ref="I73:I75"/>
    <mergeCell ref="J73:K74"/>
    <mergeCell ref="L73:L75"/>
    <mergeCell ref="C71:C72"/>
    <mergeCell ref="E71:G71"/>
    <mergeCell ref="H71:H72"/>
    <mergeCell ref="I71:I72"/>
    <mergeCell ref="J71:J72"/>
    <mergeCell ref="K71:K72"/>
    <mergeCell ref="D64:M64"/>
    <mergeCell ref="T64:V64"/>
    <mergeCell ref="B65:M65"/>
    <mergeCell ref="T65:V65"/>
    <mergeCell ref="B66:M66"/>
    <mergeCell ref="B67:M67"/>
    <mergeCell ref="H62:I62"/>
    <mergeCell ref="K62:L62"/>
    <mergeCell ref="T62:V62"/>
    <mergeCell ref="H63:I63"/>
    <mergeCell ref="K63:L63"/>
    <mergeCell ref="T63:V63"/>
    <mergeCell ref="T58:V58"/>
    <mergeCell ref="C59:H59"/>
    <mergeCell ref="T59:V59"/>
    <mergeCell ref="B60:M60"/>
    <mergeCell ref="T60:V60"/>
    <mergeCell ref="H61:I61"/>
    <mergeCell ref="K61:L61"/>
    <mergeCell ref="T61:V61"/>
    <mergeCell ref="Q54:S54"/>
    <mergeCell ref="T54:V54"/>
    <mergeCell ref="T55:V55"/>
    <mergeCell ref="B56:M56"/>
    <mergeCell ref="T56:V56"/>
    <mergeCell ref="T57:V57"/>
    <mergeCell ref="W38:W42"/>
    <mergeCell ref="X38:X42"/>
    <mergeCell ref="B45:M45"/>
    <mergeCell ref="T52:V52"/>
    <mergeCell ref="Q53:S53"/>
    <mergeCell ref="T53:V53"/>
    <mergeCell ref="B23:M23"/>
    <mergeCell ref="B31:M31"/>
    <mergeCell ref="B37:M37"/>
    <mergeCell ref="T38:T42"/>
    <mergeCell ref="U38:U42"/>
    <mergeCell ref="V38:V42"/>
    <mergeCell ref="P15:Q15"/>
    <mergeCell ref="B16:H16"/>
    <mergeCell ref="B17:H17"/>
    <mergeCell ref="B18:H18"/>
    <mergeCell ref="B19:H19"/>
    <mergeCell ref="B20:G22"/>
    <mergeCell ref="P4:R4"/>
    <mergeCell ref="B11:M11"/>
    <mergeCell ref="P11:Q11"/>
    <mergeCell ref="B12:M12"/>
    <mergeCell ref="P13:Q13"/>
    <mergeCell ref="P14:Q14"/>
  </mergeCells>
  <conditionalFormatting sqref="I58:J58 L58:M58">
    <cfRule type="cellIs" dxfId="6" priority="5" stopIfTrue="1" operator="lessThan">
      <formula>$G$61</formula>
    </cfRule>
  </conditionalFormatting>
  <conditionalFormatting sqref="Q61:S62">
    <cfRule type="cellIs" dxfId="5" priority="3" stopIfTrue="1" operator="lessThan">
      <formula>$G$61</formula>
    </cfRule>
  </conditionalFormatting>
  <conditionalFormatting sqref="Q63:S65">
    <cfRule type="cellIs" dxfId="4" priority="4" stopIfTrue="1" operator="lessThan">
      <formula>$G$67</formula>
    </cfRule>
  </conditionalFormatting>
  <conditionalFormatting sqref="T43:X43">
    <cfRule type="cellIs" dxfId="3" priority="7" stopIfTrue="1" operator="notBetween">
      <formula>$T$46</formula>
      <formula>$T$47</formula>
    </cfRule>
  </conditionalFormatting>
  <conditionalFormatting sqref="X58:X59">
    <cfRule type="cellIs" dxfId="2" priority="6" stopIfTrue="1" operator="lessThan">
      <formula>$G$61</formula>
    </cfRule>
  </conditionalFormatting>
  <conditionalFormatting sqref="AG84:AG85">
    <cfRule type="cellIs" dxfId="1" priority="1" operator="lessThan">
      <formula>$Y$16</formula>
    </cfRule>
    <cfRule type="cellIs" dxfId="0" priority="2" operator="greaterThanOrEqual">
      <formula>$Y$16</formula>
    </cfRule>
  </conditionalFormatting>
  <printOptions horizontalCentered="1" verticalCentered="1"/>
  <pageMargins left="0.11811023622047244" right="0.11811023622047244" top="0.11811023622047244" bottom="0.11811023622047244" header="0.11811023622047244" footer="0.11811023622047244"/>
  <pageSetup paperSize="9" scale="60" orientation="portrait" horizontalDpi="300" verticalDpi="300" r:id="rId1"/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QC-C-019 (Cono Arena)</vt:lpstr>
      <vt:lpstr>Cono Asumido</vt:lpstr>
      <vt:lpstr>'Cono Asumido'!Área_de_impresión</vt:lpstr>
      <vt:lpstr>'QC-C-019 (Cono Arena)'!Área_de_impresión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NVL001</dc:creator>
  <cp:lastModifiedBy>Personal</cp:lastModifiedBy>
  <cp:lastPrinted>2026-04-09T19:06:16Z</cp:lastPrinted>
  <dcterms:created xsi:type="dcterms:W3CDTF">2025-03-04T19:58:38Z</dcterms:created>
  <dcterms:modified xsi:type="dcterms:W3CDTF">2026-06-03T23:19:30Z</dcterms:modified>
</cp:coreProperties>
</file>