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012200\GitHub_Repo\California-Urban-Water-Management-Economic-Tool\CaUWMET\tests\"/>
    </mc:Choice>
  </mc:AlternateContent>
  <xr:revisionPtr revIDLastSave="0" documentId="13_ncr:1_{B81A6943-D758-4DD8-8C8E-C2E4CEA807AF}" xr6:coauthVersionLast="47" xr6:coauthVersionMax="47" xr10:uidLastSave="{00000000-0000-0000-0000-000000000000}"/>
  <bookViews>
    <workbookView xWindow="-120" yWindow="-120" windowWidth="29040" windowHeight="15840" xr2:uid="{C1D8612B-66D0-412C-B825-17E0CA421532}"/>
  </bookViews>
  <sheets>
    <sheet name="test_modelLogic.py" sheetId="2" r:id="rId1"/>
    <sheet name="TestInputData" sheetId="3" r:id="rId2"/>
    <sheet name="test_storageOperations.py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2" l="1"/>
  <c r="B38" i="2"/>
  <c r="B29" i="2"/>
  <c r="B3" i="2"/>
  <c r="B9" i="2"/>
  <c r="B10" i="2"/>
  <c r="B11" i="2"/>
  <c r="B12" i="2"/>
  <c r="B13" i="2"/>
  <c r="B14" i="2"/>
  <c r="B15" i="2"/>
  <c r="B8" i="2"/>
  <c r="B5" i="2"/>
  <c r="B6" i="2"/>
  <c r="B6" i="3" l="1"/>
  <c r="E21" i="1"/>
  <c r="B21" i="1"/>
  <c r="C17" i="1"/>
  <c r="B17" i="1"/>
  <c r="D16" i="1"/>
  <c r="D19" i="1" s="1"/>
  <c r="C16" i="1"/>
  <c r="C19" i="1" s="1"/>
  <c r="D15" i="1"/>
  <c r="C15" i="1"/>
  <c r="B7" i="2" l="1"/>
  <c r="B17" i="2" s="1"/>
  <c r="D21" i="1"/>
  <c r="D22" i="1" s="1"/>
  <c r="D23" i="1" s="1"/>
  <c r="C21" i="1"/>
  <c r="B18" i="1"/>
  <c r="B20" i="1" s="1"/>
  <c r="B22" i="1" s="1"/>
  <c r="B23" i="1" s="1"/>
  <c r="E22" i="1"/>
  <c r="E23" i="1" s="1"/>
  <c r="B18" i="2" l="1"/>
  <c r="B21" i="2"/>
  <c r="B23" i="2" s="1"/>
  <c r="B25" i="2" s="1"/>
  <c r="C18" i="1"/>
  <c r="C20" i="1" s="1"/>
  <c r="C22" i="1" s="1"/>
  <c r="C23" i="1" s="1"/>
  <c r="B26" i="2" l="1"/>
  <c r="B28" i="2" l="1"/>
  <c r="B31" i="2" l="1"/>
  <c r="B34" i="2" s="1"/>
  <c r="B37" i="2" s="1"/>
  <c r="B42" i="2" l="1"/>
  <c r="B32" i="2"/>
  <c r="B35" i="2"/>
  <c r="B36" i="2" l="1"/>
</calcChain>
</file>

<file path=xl/sharedStrings.xml><?xml version="1.0" encoding="utf-8"?>
<sst xmlns="http://schemas.openxmlformats.org/spreadsheetml/2006/main" count="148" uniqueCount="145">
  <si>
    <t xml:space="preserve">self.demandsToBeMetByStorage_Contractor </t>
  </si>
  <si>
    <t xml:space="preserve">self.volumeSurfaceCarryover_Contractor </t>
  </si>
  <si>
    <t xml:space="preserve">self.surfaceMaximumCapacity_Contractor </t>
  </si>
  <si>
    <t xml:space="preserve">self.surfaceMaximumTakeCapacity_Contractor </t>
  </si>
  <si>
    <t xml:space="preserve">self.volumeGroundwaterBank_Contractor </t>
  </si>
  <si>
    <t xml:space="preserve">self.groundwaterMaximumCapacity_Contractor </t>
  </si>
  <si>
    <t xml:space="preserve">self.groundwaterMaximumTakeCapacity_Contractor </t>
  </si>
  <si>
    <t xml:space="preserve">self.hedgingPoint_Contractor </t>
  </si>
  <si>
    <t xml:space="preserve">self.hedgeCallStorageFactor_Contractor </t>
  </si>
  <si>
    <t xml:space="preserve">self.hedgingStorageCapacityFactor_Contractor </t>
  </si>
  <si>
    <t>#self.storageHedgingStrategySwitch_Contractor:</t>
  </si>
  <si>
    <t>Groundwater Only</t>
  </si>
  <si>
    <t>Both Carryover and GW</t>
  </si>
  <si>
    <t>Carryover Only</t>
  </si>
  <si>
    <t>Off</t>
  </si>
  <si>
    <t>pctCapacitySurfaceCarryover_Contractor</t>
  </si>
  <si>
    <t>pctStorageCalledSurfaceCarryover_Contractor</t>
  </si>
  <si>
    <t>pctCapacityGroundwaterBank_Contractor</t>
  </si>
  <si>
    <t>pctStorageCalledGroundwaterBank_Contractor</t>
  </si>
  <si>
    <t>% of storage made available (surface)</t>
  </si>
  <si>
    <t>% of storage made available (gw)</t>
  </si>
  <si>
    <t>takeSurface</t>
  </si>
  <si>
    <t>takeGroundwater</t>
  </si>
  <si>
    <t>remainingDemand</t>
  </si>
  <si>
    <t>Variable</t>
  </si>
  <si>
    <t>Value used in Test</t>
  </si>
  <si>
    <t>Test #1</t>
  </si>
  <si>
    <t>Test #2</t>
  </si>
  <si>
    <t>Test #3</t>
  </si>
  <si>
    <t>Test #4</t>
  </si>
  <si>
    <t>demandsToBeMetBySWPCVP</t>
  </si>
  <si>
    <t>appliedDemand</t>
  </si>
  <si>
    <t>Normal or Better Demands (acre-feet/year)</t>
  </si>
  <si>
    <t>i</t>
  </si>
  <si>
    <t>W</t>
  </si>
  <si>
    <t>SWP/CVP Supply</t>
  </si>
  <si>
    <t>Base Local Supply (Total, acre-feet/year)</t>
  </si>
  <si>
    <t>Base Long-term Conservation (acre-feet/year)</t>
  </si>
  <si>
    <t>demandsToBeMetByStorage</t>
  </si>
  <si>
    <t>demandsToBeMetByContingentOptions</t>
  </si>
  <si>
    <t>Surface initial storage (acre-feet)</t>
  </si>
  <si>
    <t>Groundwater initial storage (acre-feet)</t>
  </si>
  <si>
    <t>Surface max take capacity (acre-feet)</t>
  </si>
  <si>
    <t>Groundwater max take capacity (acre-feet)</t>
  </si>
  <si>
    <t>Use Reduction with Contingency Conservation Campaign (% of Total Applied Use)</t>
  </si>
  <si>
    <t>Contingency Conservation Publicity Campaign Cost ($/capita)</t>
  </si>
  <si>
    <t>Urban Population (thousands)</t>
  </si>
  <si>
    <t>Storage Volume Trigger for Contingency Conservation (AF)</t>
  </si>
  <si>
    <t>Hydrologic Year Type at i = 0</t>
  </si>
  <si>
    <t>contingentWMOsInput_conservation.csv</t>
  </si>
  <si>
    <t>demandsToBeMetByWaterMarketTransfers</t>
  </si>
  <si>
    <t>Shortage Threshold before Water Market Transfer Supplies are Delivered (% of Total Applied Use)</t>
  </si>
  <si>
    <t>Water Market Transfer Loss Factor (%)</t>
  </si>
  <si>
    <t>Transfer Limit for Normal or Better Years (AFY)</t>
  </si>
  <si>
    <t>Transfer Limit for Dry Years (AFY)</t>
  </si>
  <si>
    <t>Transfer Limit for 2 or More Consecutive Years (% of Dry-Year limit defined above)</t>
  </si>
  <si>
    <t>Wet Year Water Market Transfers and Exchanges Supply Unit Cost ($/AF)</t>
  </si>
  <si>
    <t>Above Normal Year Water Market Transfers and Exchanges Supply Unit Cost ($/AF)</t>
  </si>
  <si>
    <t>Below Normal Year Water Market Transfers and Exchanges Supply Unit Cost ($/AF)</t>
  </si>
  <si>
    <t>Dry Year Water Market Transfers and Exchanges Supply Unit Cost ($/AF)</t>
  </si>
  <si>
    <t>Critically Dry Year Water Market Transfers and Exchanges Supply Unit Cost ($/AF)</t>
  </si>
  <si>
    <t>contingentWMOsInput_WaterMarketTransfers.csv</t>
  </si>
  <si>
    <t>totalShortage_Contractor</t>
  </si>
  <si>
    <t>Storage Volume Trigger for Rationing Programs (AF)</t>
  </si>
  <si>
    <t>Cost for Rationing Program ($/capita)</t>
  </si>
  <si>
    <t>Consecutive Year Loss Adjustment (%)</t>
  </si>
  <si>
    <t>Demand Hardening Factor (%)</t>
  </si>
  <si>
    <t>Retail Price ($/AF)</t>
  </si>
  <si>
    <t>contingentWMOsInput_rationingProgram.csv</t>
  </si>
  <si>
    <t>contingentWMOsInput_elasticityofDemand.csv</t>
  </si>
  <si>
    <t>Elasticity of Demand Single Family Residential</t>
  </si>
  <si>
    <t>Elasticity of Demand Industrial</t>
  </si>
  <si>
    <t>Elasticity of Demand Commercial and Governmental</t>
  </si>
  <si>
    <t>Elasticity of Demand Landscape</t>
  </si>
  <si>
    <t>Lower Loss Boundary</t>
  </si>
  <si>
    <t>Upper Loss Boundary</t>
  </si>
  <si>
    <t>Elasticity of Demand Multi-Family Residential</t>
  </si>
  <si>
    <t>Result for test_modelLogic.py</t>
  </si>
  <si>
    <t>swpCVPDeliveryCost_Contractor</t>
  </si>
  <si>
    <t>Water balance input data</t>
  </si>
  <si>
    <t>Groundwater bank put cost</t>
  </si>
  <si>
    <t>Groundwater bank take cost</t>
  </si>
  <si>
    <t>Groundwater Pumping Cost (Base Supply, Single Dry or Better Year Types)</t>
  </si>
  <si>
    <t>Groundwater Pumping Cost (Base Supply, Multi-Dry Year Types)</t>
  </si>
  <si>
    <t>SWP and/or CVP Delivery Cost</t>
  </si>
  <si>
    <t>Cost of M&amp;I potable water treatment</t>
  </si>
  <si>
    <t>Cost of M&amp;I Distribution</t>
  </si>
  <si>
    <t>Wastewater Treatment Cost</t>
  </si>
  <si>
    <t>Fraction of wastewater centrally treated (%)</t>
  </si>
  <si>
    <t>systemOperationsInput_DeliveryCosts.csv</t>
  </si>
  <si>
    <t>waterTreatmentCost_Contractor</t>
  </si>
  <si>
    <t>distributionCost_Contractor</t>
  </si>
  <si>
    <t>wastewaterTreatmentCost_Contractor</t>
  </si>
  <si>
    <t>waterMarketTransferCost_Contractor</t>
  </si>
  <si>
    <t>contingencyWMOs.waterMarketTransferDeliveries_Contractor</t>
  </si>
  <si>
    <t>putGroundwater_Contractor</t>
  </si>
  <si>
    <t>takeGroundwater_Contractor</t>
  </si>
  <si>
    <t>putSurface_Contractor</t>
  </si>
  <si>
    <t>takeSurface_Contractor</t>
  </si>
  <si>
    <t>Notes</t>
  </si>
  <si>
    <t>this function needs a separate test</t>
  </si>
  <si>
    <t>putGroundwaterBankCost</t>
  </si>
  <si>
    <t>takeGroundwaterBankCost</t>
  </si>
  <si>
    <t>Long-term WMO options (input in test_modelLogic.py)</t>
  </si>
  <si>
    <t># Test implementation of planned conservation</t>
  </si>
  <si>
    <t># Test delivery of local supplies</t>
  </si>
  <si>
    <t># Test deliveries of SWP/CVP supplies</t>
  </si>
  <si>
    <t># Test deliveries from storage (groundwater bank and carryover)</t>
  </si>
  <si>
    <t>#Test implementation of Contingent Conservation Programs</t>
  </si>
  <si>
    <t>contingentConservationCost</t>
  </si>
  <si>
    <t># Test delivery of Water Market Transfers</t>
  </si>
  <si>
    <t># Test other delivery reliability costs</t>
  </si>
  <si>
    <t>totalSuppliesDelivered_Contractor</t>
  </si>
  <si>
    <t>totalLocalSupply</t>
  </si>
  <si>
    <t>totalLongtermWMOSupplyIncrementalVolume_Contractor</t>
  </si>
  <si>
    <t>surfaceLongTermWMOCost_Contractor</t>
  </si>
  <si>
    <t>groundwaterLongTermWMOCost_Contractor</t>
  </si>
  <si>
    <t>desalinationLongTermWMOCost_Contractor</t>
  </si>
  <si>
    <t>recycledLongTermWMOCost_Contractor</t>
  </si>
  <si>
    <t>potableReuseLongTermWMOCost_Contractor</t>
  </si>
  <si>
    <t>transfersAndExchangesLongTermWMOCost_Contractor</t>
  </si>
  <si>
    <t>otherSupplyLongTermWMOCost_Contractor</t>
  </si>
  <si>
    <t>conservationLongTermWMOCost_Contractor</t>
  </si>
  <si>
    <t>Surface Water Supply Cost ($/AF)</t>
  </si>
  <si>
    <t>Groundwater Supply Cost ($/AF)</t>
  </si>
  <si>
    <t>Desalination Supply Cost ($/AF)</t>
  </si>
  <si>
    <t>Recycled Supply Cost ($/AF)</t>
  </si>
  <si>
    <t>Potable Reuse Supply Cost ($/AF)</t>
  </si>
  <si>
    <t>Transfers and Exchanges Supply Cost ($/AF)</t>
  </si>
  <si>
    <t>Other Supply Cost ($/AF)</t>
  </si>
  <si>
    <t>Additional Conservation Cost ($/AF)</t>
  </si>
  <si>
    <t>longtermWMOsInput_supplyCosts.csv</t>
  </si>
  <si>
    <t># Test total reliability cost</t>
  </si>
  <si>
    <t>reliabilityManagementCost_Contractor</t>
  </si>
  <si>
    <t># Test remaining shortages and associated costs</t>
  </si>
  <si>
    <t>Surface Water Supply (AF)</t>
  </si>
  <si>
    <t>Groundwater Supply  (AF)</t>
  </si>
  <si>
    <t>Desalination Supply (AF)</t>
  </si>
  <si>
    <t>Recycled Supply (AF)</t>
  </si>
  <si>
    <t>Potable Reuse Supply (AF)</t>
  </si>
  <si>
    <t>Transfers and Exchanges Supply (AF)</t>
  </si>
  <si>
    <t>Other Supply (AF)</t>
  </si>
  <si>
    <t>Additional Conservation (AF)</t>
  </si>
  <si>
    <t>Long-term WMO supply volume inputs (input in test file)</t>
  </si>
  <si>
    <t>rationingProgramCost_Contractor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</si>
</sst>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  <numFmt numFmtId="167" formatCode="_(&quot;$&quot;* #,##0.00000_);_(&quot;$&quot;* \(#,##0.00000\);_(&quot;$&quot;* &quot;-&quot;??_);_(@_)"/>
    <numFmt numFmtId="168" formatCode="_(&quot;$&quot;* #,##0_);_(&quot;$&quot;* \(#,##0\);_(&quot;$&quot;* &quot;-&quot;??_);_(@_)"/>
    <numFmt numFmtId="169" formatCode="_(&quot;$&quot;* #,##0.000000_);_(&quot;$&quot;* \(#,##0.000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43" fontId="0" fillId="0" borderId="0" xfId="0" applyNumberFormat="1"/>
    <xf numFmtId="0" fontId="3" fillId="0" borderId="0" xfId="0" applyFont="1"/>
    <xf numFmtId="43" fontId="0" fillId="0" borderId="0" xfId="1" applyNumberFormat="1" applyFont="1"/>
    <xf numFmtId="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4" fillId="0" borderId="0" xfId="0" applyFont="1" applyAlignment="1">
      <alignment vertical="center"/>
    </xf>
    <xf numFmtId="165" fontId="0" fillId="0" borderId="0" xfId="2" applyNumberFormat="1" applyFont="1"/>
    <xf numFmtId="166" fontId="0" fillId="0" borderId="0" xfId="2" applyNumberFormat="1" applyFont="1"/>
    <xf numFmtId="167" fontId="0" fillId="0" borderId="0" xfId="2" applyNumberFormat="1" applyFont="1"/>
    <xf numFmtId="168" fontId="0" fillId="0" borderId="0" xfId="2" applyNumberFormat="1" applyFont="1"/>
    <xf numFmtId="169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B53E-1762-456C-ABB4-94C4987BBC76}">
  <dimension ref="A1:E47"/>
  <sheetViews>
    <sheetView tabSelected="1" topLeftCell="A22" workbookViewId="0">
      <selection activeCell="D39" sqref="D39"/>
    </sheetView>
  </sheetViews>
  <sheetFormatPr defaultRowHeight="15" x14ac:dyDescent="0.25"/>
  <cols>
    <col min="1" max="1" width="62.85546875" bestFit="1" customWidth="1"/>
    <col min="2" max="2" width="27.85546875" bestFit="1" customWidth="1"/>
    <col min="3" max="3" width="10.5703125" bestFit="1" customWidth="1"/>
  </cols>
  <sheetData>
    <row r="1" spans="1:3" x14ac:dyDescent="0.25">
      <c r="A1" s="6" t="s">
        <v>24</v>
      </c>
      <c r="B1" s="6" t="s">
        <v>77</v>
      </c>
      <c r="C1" s="6" t="s">
        <v>99</v>
      </c>
    </row>
    <row r="2" spans="1:3" x14ac:dyDescent="0.25">
      <c r="A2" s="12" t="s">
        <v>104</v>
      </c>
      <c r="B2" s="6"/>
      <c r="C2" s="6"/>
    </row>
    <row r="3" spans="1:3" x14ac:dyDescent="0.25">
      <c r="A3" t="s">
        <v>31</v>
      </c>
      <c r="B3" s="3">
        <f>TestInputData!B4-TestInputData!B5 - TestInputData!B78</f>
        <v>999985</v>
      </c>
    </row>
    <row r="4" spans="1:3" x14ac:dyDescent="0.25">
      <c r="A4" s="12" t="s">
        <v>105</v>
      </c>
      <c r="B4" s="3"/>
    </row>
    <row r="5" spans="1:3" x14ac:dyDescent="0.25">
      <c r="A5" t="s">
        <v>113</v>
      </c>
      <c r="B5">
        <f>TestInputData!B6</f>
        <v>35000</v>
      </c>
    </row>
    <row r="6" spans="1:3" x14ac:dyDescent="0.25">
      <c r="A6" t="s">
        <v>114</v>
      </c>
      <c r="B6">
        <f>8*10</f>
        <v>80</v>
      </c>
    </row>
    <row r="7" spans="1:3" x14ac:dyDescent="0.25">
      <c r="A7" t="s">
        <v>30</v>
      </c>
      <c r="B7" s="3">
        <f>B3-TestInputData!B6-TestInputData!B7</f>
        <v>964905</v>
      </c>
    </row>
    <row r="8" spans="1:3" x14ac:dyDescent="0.25">
      <c r="A8" t="s">
        <v>115</v>
      </c>
      <c r="B8" s="16">
        <f>10*TestInputData!B61</f>
        <v>100</v>
      </c>
    </row>
    <row r="9" spans="1:3" x14ac:dyDescent="0.25">
      <c r="A9" t="s">
        <v>116</v>
      </c>
      <c r="B9" s="16">
        <f>10*TestInputData!B62</f>
        <v>100</v>
      </c>
    </row>
    <row r="10" spans="1:3" x14ac:dyDescent="0.25">
      <c r="A10" t="s">
        <v>117</v>
      </c>
      <c r="B10" s="16">
        <f>10*TestInputData!B63</f>
        <v>100</v>
      </c>
    </row>
    <row r="11" spans="1:3" x14ac:dyDescent="0.25">
      <c r="A11" t="s">
        <v>118</v>
      </c>
      <c r="B11" s="16">
        <f>10*TestInputData!B64</f>
        <v>100</v>
      </c>
    </row>
    <row r="12" spans="1:3" x14ac:dyDescent="0.25">
      <c r="A12" t="s">
        <v>119</v>
      </c>
      <c r="B12" s="16">
        <f>10*TestInputData!B65</f>
        <v>100</v>
      </c>
    </row>
    <row r="13" spans="1:3" x14ac:dyDescent="0.25">
      <c r="A13" t="s">
        <v>120</v>
      </c>
      <c r="B13" s="16">
        <f>10*TestInputData!B66</f>
        <v>100</v>
      </c>
    </row>
    <row r="14" spans="1:3" x14ac:dyDescent="0.25">
      <c r="A14" t="s">
        <v>121</v>
      </c>
      <c r="B14" s="16">
        <f>10*TestInputData!B67</f>
        <v>100</v>
      </c>
    </row>
    <row r="15" spans="1:3" x14ac:dyDescent="0.25">
      <c r="A15" t="s">
        <v>122</v>
      </c>
      <c r="B15" s="16">
        <f>10*TestInputData!B68</f>
        <v>100</v>
      </c>
    </row>
    <row r="16" spans="1:3" x14ac:dyDescent="0.25">
      <c r="A16" s="12" t="s">
        <v>106</v>
      </c>
      <c r="B16" s="3"/>
    </row>
    <row r="17" spans="1:5" x14ac:dyDescent="0.25">
      <c r="A17" t="s">
        <v>38</v>
      </c>
      <c r="B17" s="3">
        <f>B7-TestInputData!B8</f>
        <v>959905</v>
      </c>
    </row>
    <row r="18" spans="1:5" x14ac:dyDescent="0.25">
      <c r="A18" t="s">
        <v>78</v>
      </c>
      <c r="B18" s="16">
        <f>(B7-B17)*TestInputData!B15</f>
        <v>500000</v>
      </c>
    </row>
    <row r="19" spans="1:5" x14ac:dyDescent="0.25">
      <c r="A19" s="12" t="s">
        <v>107</v>
      </c>
    </row>
    <row r="20" spans="1:5" x14ac:dyDescent="0.25">
      <c r="A20" t="s">
        <v>97</v>
      </c>
      <c r="B20" s="11">
        <v>0</v>
      </c>
      <c r="C20" t="s">
        <v>100</v>
      </c>
    </row>
    <row r="21" spans="1:5" x14ac:dyDescent="0.25">
      <c r="A21" t="s">
        <v>98</v>
      </c>
      <c r="B21" s="2">
        <f>MIN(B17,TestInputData!B21,TestInputData!B23)</f>
        <v>516500</v>
      </c>
    </row>
    <row r="22" spans="1:5" x14ac:dyDescent="0.25">
      <c r="A22" t="s">
        <v>95</v>
      </c>
      <c r="B22" s="11">
        <v>0</v>
      </c>
      <c r="C22" t="s">
        <v>100</v>
      </c>
    </row>
    <row r="23" spans="1:5" x14ac:dyDescent="0.25">
      <c r="A23" t="s">
        <v>96</v>
      </c>
      <c r="B23" s="2">
        <f>MIN(B17-B21, TestInputData!B22,TestInputData!B24)</f>
        <v>95000</v>
      </c>
    </row>
    <row r="24" spans="1:5" x14ac:dyDescent="0.25">
      <c r="A24" t="s">
        <v>101</v>
      </c>
      <c r="B24" s="14">
        <v>0</v>
      </c>
    </row>
    <row r="25" spans="1:5" x14ac:dyDescent="0.25">
      <c r="A25" t="s">
        <v>102</v>
      </c>
      <c r="B25" s="13">
        <f>B23*TestInputData!B12</f>
        <v>19506431.092</v>
      </c>
    </row>
    <row r="26" spans="1:5" x14ac:dyDescent="0.25">
      <c r="A26" t="s">
        <v>39</v>
      </c>
      <c r="B26" s="3">
        <f>B17-B21-B23</f>
        <v>348405</v>
      </c>
    </row>
    <row r="27" spans="1:5" x14ac:dyDescent="0.25">
      <c r="A27" s="12" t="s">
        <v>108</v>
      </c>
      <c r="E27" s="2"/>
    </row>
    <row r="28" spans="1:5" x14ac:dyDescent="0.25">
      <c r="A28" t="s">
        <v>50</v>
      </c>
      <c r="B28" s="7">
        <f>B26-(TestInputData!B27/100 *test_modelLogic.py!B3)</f>
        <v>298405.75</v>
      </c>
      <c r="C28" s="5"/>
    </row>
    <row r="29" spans="1:5" x14ac:dyDescent="0.25">
      <c r="A29" t="s">
        <v>109</v>
      </c>
      <c r="B29" s="16">
        <f>TestInputData!B28*TestInputData!B29*1000</f>
        <v>21900500</v>
      </c>
    </row>
    <row r="30" spans="1:5" x14ac:dyDescent="0.25">
      <c r="A30" s="12" t="s">
        <v>110</v>
      </c>
      <c r="B30" s="3"/>
    </row>
    <row r="31" spans="1:5" x14ac:dyDescent="0.25">
      <c r="A31" t="s">
        <v>94</v>
      </c>
      <c r="B31" s="2">
        <f>MIN(B28, TestInputData!B35)</f>
        <v>1000</v>
      </c>
    </row>
    <row r="32" spans="1:5" x14ac:dyDescent="0.25">
      <c r="A32" t="s">
        <v>93</v>
      </c>
      <c r="B32" s="14">
        <f>B31*TestInputData!B38</f>
        <v>468093.53240000003</v>
      </c>
    </row>
    <row r="33" spans="1:3" x14ac:dyDescent="0.25">
      <c r="A33" s="12" t="s">
        <v>111</v>
      </c>
    </row>
    <row r="34" spans="1:3" x14ac:dyDescent="0.25">
      <c r="A34" t="s">
        <v>112</v>
      </c>
      <c r="B34" s="2">
        <f>B5+(B7-B17)+B23+B21+B31+B6</f>
        <v>652580</v>
      </c>
    </row>
    <row r="35" spans="1:3" x14ac:dyDescent="0.25">
      <c r="A35" t="s">
        <v>90</v>
      </c>
      <c r="B35" s="15">
        <f>B34*TestInputData!B16</f>
        <v>249294165.24617001</v>
      </c>
    </row>
    <row r="36" spans="1:3" x14ac:dyDescent="0.25">
      <c r="A36" t="s">
        <v>91</v>
      </c>
      <c r="B36" s="15">
        <f>B34*TestInputData!B17</f>
        <v>189153045.02617002</v>
      </c>
    </row>
    <row r="37" spans="1:3" x14ac:dyDescent="0.25">
      <c r="A37" t="s">
        <v>92</v>
      </c>
      <c r="B37" s="17">
        <f>B34*(TestInputData!B19/100)*TestInputData!B18</f>
        <v>79756562.338470995</v>
      </c>
    </row>
    <row r="38" spans="1:3" x14ac:dyDescent="0.25">
      <c r="A38" t="s">
        <v>144</v>
      </c>
      <c r="B38" s="16">
        <f>TestInputData!B46*TestInputData!B29*1000</f>
        <v>175204000</v>
      </c>
    </row>
    <row r="39" spans="1:3" x14ac:dyDescent="0.25">
      <c r="A39" s="12" t="s">
        <v>132</v>
      </c>
    </row>
    <row r="40" spans="1:3" x14ac:dyDescent="0.25">
      <c r="A40" t="s">
        <v>133</v>
      </c>
      <c r="B40" s="15">
        <f>SUM(B35:B38,B32,B29,B25,B24,B18,B8:B15)</f>
        <v>735783597.23521101</v>
      </c>
      <c r="C40" s="15"/>
    </row>
    <row r="41" spans="1:3" x14ac:dyDescent="0.25">
      <c r="A41" s="12" t="s">
        <v>134</v>
      </c>
    </row>
    <row r="42" spans="1:3" x14ac:dyDescent="0.25">
      <c r="A42" t="s">
        <v>62</v>
      </c>
      <c r="B42" s="5">
        <f>B28 - B31</f>
        <v>297405.75</v>
      </c>
    </row>
    <row r="47" spans="1:3" x14ac:dyDescent="0.25">
      <c r="B4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B3F1-5FE2-487D-9208-8AA8C471CD7A}">
  <dimension ref="A1:C78"/>
  <sheetViews>
    <sheetView topLeftCell="A22" workbookViewId="0">
      <selection activeCell="A46" sqref="A46"/>
    </sheetView>
  </sheetViews>
  <sheetFormatPr defaultRowHeight="15" x14ac:dyDescent="0.25"/>
  <cols>
    <col min="1" max="1" width="89.7109375" bestFit="1" customWidth="1"/>
    <col min="2" max="2" width="23.7109375" bestFit="1" customWidth="1"/>
    <col min="3" max="3" width="14.42578125" bestFit="1" customWidth="1"/>
  </cols>
  <sheetData>
    <row r="1" spans="1:3" x14ac:dyDescent="0.25">
      <c r="A1" s="6" t="s">
        <v>24</v>
      </c>
      <c r="B1" s="6" t="s">
        <v>79</v>
      </c>
      <c r="C1" s="6"/>
    </row>
    <row r="2" spans="1:3" x14ac:dyDescent="0.25">
      <c r="A2" t="s">
        <v>33</v>
      </c>
      <c r="B2">
        <v>0</v>
      </c>
    </row>
    <row r="3" spans="1:3" x14ac:dyDescent="0.25">
      <c r="A3" t="s">
        <v>48</v>
      </c>
      <c r="B3" s="9" t="s">
        <v>34</v>
      </c>
    </row>
    <row r="4" spans="1:3" x14ac:dyDescent="0.25">
      <c r="A4" t="s">
        <v>32</v>
      </c>
      <c r="B4">
        <v>1000000</v>
      </c>
    </row>
    <row r="5" spans="1:3" x14ac:dyDescent="0.25">
      <c r="A5" t="s">
        <v>37</v>
      </c>
      <c r="B5">
        <v>5</v>
      </c>
    </row>
    <row r="6" spans="1:3" x14ac:dyDescent="0.25">
      <c r="A6" t="s">
        <v>36</v>
      </c>
      <c r="B6">
        <f>7*5000</f>
        <v>35000</v>
      </c>
    </row>
    <row r="7" spans="1:3" x14ac:dyDescent="0.25">
      <c r="A7" t="s">
        <v>103</v>
      </c>
      <c r="B7">
        <v>80</v>
      </c>
    </row>
    <row r="8" spans="1:3" x14ac:dyDescent="0.25">
      <c r="A8" t="s">
        <v>35</v>
      </c>
      <c r="B8">
        <v>5000</v>
      </c>
    </row>
    <row r="10" spans="1:3" x14ac:dyDescent="0.25">
      <c r="A10" s="6" t="s">
        <v>89</v>
      </c>
    </row>
    <row r="11" spans="1:3" x14ac:dyDescent="0.25">
      <c r="A11" t="s">
        <v>80</v>
      </c>
      <c r="B11" s="10">
        <v>67.76025473</v>
      </c>
    </row>
    <row r="12" spans="1:3" x14ac:dyDescent="0.25">
      <c r="A12" t="s">
        <v>81</v>
      </c>
      <c r="B12" s="10">
        <v>205.33085360000001</v>
      </c>
    </row>
    <row r="13" spans="1:3" x14ac:dyDescent="0.25">
      <c r="A13" t="s">
        <v>82</v>
      </c>
      <c r="B13" s="10">
        <v>22.927610130000001</v>
      </c>
    </row>
    <row r="14" spans="1:3" x14ac:dyDescent="0.25">
      <c r="A14" t="s">
        <v>83</v>
      </c>
      <c r="B14" s="10">
        <v>0</v>
      </c>
    </row>
    <row r="15" spans="1:3" x14ac:dyDescent="0.25">
      <c r="A15" t="s">
        <v>84</v>
      </c>
      <c r="B15" s="10">
        <v>100</v>
      </c>
    </row>
    <row r="16" spans="1:3" x14ac:dyDescent="0.25">
      <c r="A16" t="s">
        <v>85</v>
      </c>
      <c r="B16" s="10">
        <v>382.01318650000002</v>
      </c>
    </row>
    <row r="17" spans="1:2" x14ac:dyDescent="0.25">
      <c r="A17" t="s">
        <v>86</v>
      </c>
      <c r="B17" s="10">
        <v>289.85418650000003</v>
      </c>
    </row>
    <row r="18" spans="1:2" x14ac:dyDescent="0.25">
      <c r="A18" t="s">
        <v>87</v>
      </c>
      <c r="B18" s="10">
        <v>244.43458989999999</v>
      </c>
    </row>
    <row r="19" spans="1:2" x14ac:dyDescent="0.25">
      <c r="A19" t="s">
        <v>88</v>
      </c>
      <c r="B19">
        <v>50</v>
      </c>
    </row>
    <row r="21" spans="1:2" x14ac:dyDescent="0.25">
      <c r="A21" t="s">
        <v>40</v>
      </c>
      <c r="B21">
        <v>516500</v>
      </c>
    </row>
    <row r="22" spans="1:2" x14ac:dyDescent="0.25">
      <c r="A22" t="s">
        <v>41</v>
      </c>
      <c r="B22">
        <v>95000</v>
      </c>
    </row>
    <row r="23" spans="1:2" x14ac:dyDescent="0.25">
      <c r="A23" t="s">
        <v>42</v>
      </c>
      <c r="B23">
        <v>815000</v>
      </c>
    </row>
    <row r="24" spans="1:2" x14ac:dyDescent="0.25">
      <c r="A24" t="s">
        <v>43</v>
      </c>
      <c r="B24">
        <v>194300</v>
      </c>
    </row>
    <row r="26" spans="1:2" x14ac:dyDescent="0.25">
      <c r="A26" s="6" t="s">
        <v>49</v>
      </c>
    </row>
    <row r="27" spans="1:2" x14ac:dyDescent="0.25">
      <c r="A27" t="s">
        <v>44</v>
      </c>
      <c r="B27">
        <v>5</v>
      </c>
    </row>
    <row r="28" spans="1:2" x14ac:dyDescent="0.25">
      <c r="A28" t="s">
        <v>45</v>
      </c>
      <c r="B28">
        <v>0.25</v>
      </c>
    </row>
    <row r="29" spans="1:2" x14ac:dyDescent="0.25">
      <c r="A29" t="s">
        <v>46</v>
      </c>
      <c r="B29">
        <v>87602</v>
      </c>
    </row>
    <row r="30" spans="1:2" x14ac:dyDescent="0.25">
      <c r="A30" t="s">
        <v>47</v>
      </c>
      <c r="B30">
        <v>1000000</v>
      </c>
    </row>
    <row r="32" spans="1:2" x14ac:dyDescent="0.25">
      <c r="A32" s="6" t="s">
        <v>61</v>
      </c>
    </row>
    <row r="33" spans="1:2" x14ac:dyDescent="0.25">
      <c r="A33" t="s">
        <v>51</v>
      </c>
      <c r="B33">
        <v>5</v>
      </c>
    </row>
    <row r="34" spans="1:2" x14ac:dyDescent="0.25">
      <c r="A34" t="s">
        <v>52</v>
      </c>
      <c r="B34">
        <v>18</v>
      </c>
    </row>
    <row r="35" spans="1:2" x14ac:dyDescent="0.25">
      <c r="A35" t="s">
        <v>53</v>
      </c>
      <c r="B35">
        <v>1000</v>
      </c>
    </row>
    <row r="36" spans="1:2" x14ac:dyDescent="0.25">
      <c r="A36" t="s">
        <v>54</v>
      </c>
      <c r="B36">
        <v>1000</v>
      </c>
    </row>
    <row r="37" spans="1:2" x14ac:dyDescent="0.25">
      <c r="A37" t="s">
        <v>55</v>
      </c>
      <c r="B37">
        <v>100</v>
      </c>
    </row>
    <row r="38" spans="1:2" x14ac:dyDescent="0.25">
      <c r="A38" t="s">
        <v>56</v>
      </c>
      <c r="B38">
        <v>468.09353240000002</v>
      </c>
    </row>
    <row r="39" spans="1:2" x14ac:dyDescent="0.25">
      <c r="A39" t="s">
        <v>57</v>
      </c>
      <c r="B39">
        <v>223.87081979999999</v>
      </c>
    </row>
    <row r="40" spans="1:2" x14ac:dyDescent="0.25">
      <c r="A40" t="s">
        <v>58</v>
      </c>
      <c r="B40">
        <v>715.70822710000004</v>
      </c>
    </row>
    <row r="41" spans="1:2" x14ac:dyDescent="0.25">
      <c r="A41" t="s">
        <v>59</v>
      </c>
      <c r="B41">
        <v>319.9769799</v>
      </c>
    </row>
    <row r="42" spans="1:2" x14ac:dyDescent="0.25">
      <c r="A42" t="s">
        <v>60</v>
      </c>
      <c r="B42">
        <v>1193.9777059999999</v>
      </c>
    </row>
    <row r="44" spans="1:2" x14ac:dyDescent="0.25">
      <c r="A44" s="6" t="s">
        <v>68</v>
      </c>
    </row>
    <row r="45" spans="1:2" x14ac:dyDescent="0.25">
      <c r="A45" t="s">
        <v>63</v>
      </c>
      <c r="B45" s="8">
        <v>1000000</v>
      </c>
    </row>
    <row r="46" spans="1:2" x14ac:dyDescent="0.25">
      <c r="A46" t="s">
        <v>64</v>
      </c>
      <c r="B46">
        <v>2</v>
      </c>
    </row>
    <row r="47" spans="1:2" x14ac:dyDescent="0.25">
      <c r="A47" t="s">
        <v>65</v>
      </c>
      <c r="B47">
        <v>0</v>
      </c>
    </row>
    <row r="48" spans="1:2" x14ac:dyDescent="0.25">
      <c r="A48" t="s">
        <v>66</v>
      </c>
      <c r="B48">
        <v>50</v>
      </c>
    </row>
    <row r="49" spans="1:2" x14ac:dyDescent="0.25">
      <c r="A49" t="s">
        <v>67</v>
      </c>
      <c r="B49">
        <v>650</v>
      </c>
    </row>
    <row r="51" spans="1:2" x14ac:dyDescent="0.25">
      <c r="A51" s="6" t="s">
        <v>69</v>
      </c>
    </row>
    <row r="52" spans="1:2" x14ac:dyDescent="0.25">
      <c r="A52" t="s">
        <v>70</v>
      </c>
      <c r="B52">
        <v>-0.2</v>
      </c>
    </row>
    <row r="53" spans="1:2" x14ac:dyDescent="0.25">
      <c r="A53" t="s">
        <v>76</v>
      </c>
      <c r="B53">
        <v>-0.12</v>
      </c>
    </row>
    <row r="54" spans="1:2" x14ac:dyDescent="0.25">
      <c r="A54" t="s">
        <v>71</v>
      </c>
      <c r="B54">
        <v>-0.1</v>
      </c>
    </row>
    <row r="55" spans="1:2" x14ac:dyDescent="0.25">
      <c r="A55" t="s">
        <v>72</v>
      </c>
      <c r="B55">
        <v>-0.11</v>
      </c>
    </row>
    <row r="56" spans="1:2" x14ac:dyDescent="0.25">
      <c r="A56" t="s">
        <v>73</v>
      </c>
      <c r="B56">
        <v>-0.4</v>
      </c>
    </row>
    <row r="57" spans="1:2" x14ac:dyDescent="0.25">
      <c r="A57" t="s">
        <v>74</v>
      </c>
      <c r="B57">
        <v>0</v>
      </c>
    </row>
    <row r="58" spans="1:2" x14ac:dyDescent="0.25">
      <c r="A58" t="s">
        <v>75</v>
      </c>
      <c r="B58">
        <v>0.7</v>
      </c>
    </row>
    <row r="60" spans="1:2" x14ac:dyDescent="0.25">
      <c r="A60" s="6" t="s">
        <v>131</v>
      </c>
    </row>
    <row r="61" spans="1:2" x14ac:dyDescent="0.25">
      <c r="A61" t="s">
        <v>123</v>
      </c>
      <c r="B61">
        <v>10</v>
      </c>
    </row>
    <row r="62" spans="1:2" x14ac:dyDescent="0.25">
      <c r="A62" t="s">
        <v>124</v>
      </c>
      <c r="B62">
        <v>10</v>
      </c>
    </row>
    <row r="63" spans="1:2" x14ac:dyDescent="0.25">
      <c r="A63" t="s">
        <v>125</v>
      </c>
      <c r="B63">
        <v>10</v>
      </c>
    </row>
    <row r="64" spans="1:2" x14ac:dyDescent="0.25">
      <c r="A64" t="s">
        <v>126</v>
      </c>
      <c r="B64">
        <v>10</v>
      </c>
    </row>
    <row r="65" spans="1:2" x14ac:dyDescent="0.25">
      <c r="A65" t="s">
        <v>127</v>
      </c>
      <c r="B65">
        <v>10</v>
      </c>
    </row>
    <row r="66" spans="1:2" x14ac:dyDescent="0.25">
      <c r="A66" t="s">
        <v>128</v>
      </c>
      <c r="B66">
        <v>10</v>
      </c>
    </row>
    <row r="67" spans="1:2" x14ac:dyDescent="0.25">
      <c r="A67" t="s">
        <v>129</v>
      </c>
      <c r="B67">
        <v>10</v>
      </c>
    </row>
    <row r="68" spans="1:2" x14ac:dyDescent="0.25">
      <c r="A68" t="s">
        <v>130</v>
      </c>
      <c r="B68">
        <v>10</v>
      </c>
    </row>
    <row r="70" spans="1:2" x14ac:dyDescent="0.25">
      <c r="A70" s="6" t="s">
        <v>143</v>
      </c>
    </row>
    <row r="71" spans="1:2" x14ac:dyDescent="0.25">
      <c r="A71" t="s">
        <v>135</v>
      </c>
      <c r="B71">
        <v>10</v>
      </c>
    </row>
    <row r="72" spans="1:2" x14ac:dyDescent="0.25">
      <c r="A72" t="s">
        <v>136</v>
      </c>
      <c r="B72">
        <v>10</v>
      </c>
    </row>
    <row r="73" spans="1:2" x14ac:dyDescent="0.25">
      <c r="A73" t="s">
        <v>137</v>
      </c>
      <c r="B73">
        <v>10</v>
      </c>
    </row>
    <row r="74" spans="1:2" x14ac:dyDescent="0.25">
      <c r="A74" t="s">
        <v>138</v>
      </c>
      <c r="B74">
        <v>10</v>
      </c>
    </row>
    <row r="75" spans="1:2" x14ac:dyDescent="0.25">
      <c r="A75" t="s">
        <v>139</v>
      </c>
      <c r="B75">
        <v>10</v>
      </c>
    </row>
    <row r="76" spans="1:2" x14ac:dyDescent="0.25">
      <c r="A76" t="s">
        <v>140</v>
      </c>
      <c r="B76">
        <v>10</v>
      </c>
    </row>
    <row r="77" spans="1:2" x14ac:dyDescent="0.25">
      <c r="A77" t="s">
        <v>141</v>
      </c>
      <c r="B77">
        <v>10</v>
      </c>
    </row>
    <row r="78" spans="1:2" x14ac:dyDescent="0.25">
      <c r="A78" t="s">
        <v>142</v>
      </c>
      <c r="B78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02-92B2-45FA-989E-1582EB4636F5}">
  <dimension ref="A1:E23"/>
  <sheetViews>
    <sheetView workbookViewId="0">
      <selection activeCell="C15" sqref="C15"/>
    </sheetView>
  </sheetViews>
  <sheetFormatPr defaultRowHeight="15" x14ac:dyDescent="0.25"/>
  <cols>
    <col min="1" max="1" width="62.140625" bestFit="1" customWidth="1"/>
    <col min="2" max="2" width="17.5703125" bestFit="1" customWidth="1"/>
    <col min="3" max="4" width="21.85546875" bestFit="1" customWidth="1"/>
  </cols>
  <sheetData>
    <row r="1" spans="1:5" x14ac:dyDescent="0.25">
      <c r="A1" t="s">
        <v>24</v>
      </c>
      <c r="B1" t="s">
        <v>25</v>
      </c>
    </row>
    <row r="2" spans="1:5" x14ac:dyDescent="0.25">
      <c r="A2" s="1" t="s">
        <v>0</v>
      </c>
      <c r="B2" s="2">
        <v>1000000</v>
      </c>
    </row>
    <row r="3" spans="1:5" x14ac:dyDescent="0.25">
      <c r="A3" s="1" t="s">
        <v>1</v>
      </c>
      <c r="B3" s="2">
        <v>500000</v>
      </c>
    </row>
    <row r="4" spans="1:5" x14ac:dyDescent="0.25">
      <c r="A4" s="1" t="s">
        <v>2</v>
      </c>
      <c r="B4" s="3">
        <v>1000000</v>
      </c>
    </row>
    <row r="5" spans="1:5" x14ac:dyDescent="0.25">
      <c r="A5" s="1" t="s">
        <v>3</v>
      </c>
      <c r="B5" s="3">
        <v>600000</v>
      </c>
    </row>
    <row r="6" spans="1:5" x14ac:dyDescent="0.25">
      <c r="A6" s="1" t="s">
        <v>4</v>
      </c>
      <c r="B6" s="2">
        <v>500000</v>
      </c>
    </row>
    <row r="7" spans="1:5" x14ac:dyDescent="0.25">
      <c r="A7" s="1" t="s">
        <v>5</v>
      </c>
      <c r="B7" s="3">
        <v>1000000</v>
      </c>
    </row>
    <row r="8" spans="1:5" x14ac:dyDescent="0.25">
      <c r="A8" s="1" t="s">
        <v>6</v>
      </c>
      <c r="B8" s="3">
        <v>600000</v>
      </c>
    </row>
    <row r="9" spans="1:5" x14ac:dyDescent="0.25">
      <c r="A9" s="1" t="s">
        <v>7</v>
      </c>
      <c r="B9">
        <v>60</v>
      </c>
    </row>
    <row r="10" spans="1:5" x14ac:dyDescent="0.25">
      <c r="A10" s="1" t="s">
        <v>8</v>
      </c>
      <c r="B10">
        <v>0.25</v>
      </c>
    </row>
    <row r="11" spans="1:5" x14ac:dyDescent="0.25">
      <c r="A11" s="1" t="s">
        <v>9</v>
      </c>
      <c r="B11">
        <v>0.25</v>
      </c>
    </row>
    <row r="13" spans="1:5" x14ac:dyDescent="0.25">
      <c r="B13" t="s">
        <v>26</v>
      </c>
      <c r="C13" t="s">
        <v>27</v>
      </c>
      <c r="D13" t="s">
        <v>28</v>
      </c>
      <c r="E13" t="s">
        <v>29</v>
      </c>
    </row>
    <row r="14" spans="1:5" x14ac:dyDescent="0.25">
      <c r="A14" s="1" t="s">
        <v>10</v>
      </c>
      <c r="B14" t="s">
        <v>11</v>
      </c>
      <c r="C14" t="s">
        <v>12</v>
      </c>
      <c r="D14" t="s">
        <v>13</v>
      </c>
      <c r="E14" t="s">
        <v>14</v>
      </c>
    </row>
    <row r="15" spans="1:5" x14ac:dyDescent="0.25">
      <c r="A15" s="1" t="s">
        <v>15</v>
      </c>
      <c r="C15">
        <f>B3/B4</f>
        <v>0.5</v>
      </c>
      <c r="D15">
        <f>B3/B4</f>
        <v>0.5</v>
      </c>
    </row>
    <row r="16" spans="1:5" x14ac:dyDescent="0.25">
      <c r="A16" s="1" t="s">
        <v>16</v>
      </c>
      <c r="C16" s="4">
        <f>B2/B4</f>
        <v>1</v>
      </c>
      <c r="D16" s="5">
        <f>B2/B4</f>
        <v>1</v>
      </c>
    </row>
    <row r="17" spans="1:5" x14ac:dyDescent="0.25">
      <c r="A17" s="1" t="s">
        <v>17</v>
      </c>
      <c r="B17">
        <f>B6/B7</f>
        <v>0.5</v>
      </c>
      <c r="C17">
        <f>B6/B7</f>
        <v>0.5</v>
      </c>
    </row>
    <row r="18" spans="1:5" x14ac:dyDescent="0.25">
      <c r="A18" s="1" t="s">
        <v>18</v>
      </c>
      <c r="B18" s="4">
        <f>($B$2 - B21)/$B$7</f>
        <v>0.5</v>
      </c>
      <c r="C18" s="4">
        <f>($B$2 - C21)/$B$7</f>
        <v>0.6486508893753401</v>
      </c>
    </row>
    <row r="19" spans="1:5" x14ac:dyDescent="0.25">
      <c r="A19" s="1" t="s">
        <v>19</v>
      </c>
      <c r="C19" s="4">
        <f>1-$B$10*C16*C15^-$B$11</f>
        <v>0.7026982212493198</v>
      </c>
      <c r="D19" s="4">
        <f>1-$B$10*D16*D15^-$B$11</f>
        <v>0.7026982212493198</v>
      </c>
    </row>
    <row r="20" spans="1:5" x14ac:dyDescent="0.25">
      <c r="A20" s="1" t="s">
        <v>20</v>
      </c>
      <c r="B20" s="4">
        <f>1-B10*B18*B17^-B11</f>
        <v>0.8513491106246599</v>
      </c>
      <c r="C20" s="4">
        <f>1-B10*C18*C17^-B11</f>
        <v>0.80715493680050066</v>
      </c>
    </row>
    <row r="21" spans="1:5" x14ac:dyDescent="0.25">
      <c r="A21" s="1" t="s">
        <v>21</v>
      </c>
      <c r="B21" s="2">
        <f>MIN(B3,B2,B4)</f>
        <v>500000</v>
      </c>
      <c r="C21" s="3">
        <f>IF(C15&lt;=(B9/100),MIN(C19*B3,B3,B5))</f>
        <v>351349.11062465992</v>
      </c>
      <c r="D21" s="3">
        <f>IF(D15&lt;=(B9/100),MIN(D19*B3,B3,B5))</f>
        <v>351349.11062465992</v>
      </c>
      <c r="E21" s="2">
        <f>MIN(B2,B3,B5)</f>
        <v>500000</v>
      </c>
    </row>
    <row r="22" spans="1:5" x14ac:dyDescent="0.25">
      <c r="A22" s="1" t="s">
        <v>22</v>
      </c>
      <c r="B22" s="3">
        <f>MIN(IF(B17&lt;=($B$9/100),MIN(B20*$B$6,$B$6,$B$8)), B6,B8)</f>
        <v>425674.55531232996</v>
      </c>
      <c r="C22" s="3">
        <f>IF(C17&lt;=($B$9/100),MIN(C20*$B$6,$B$6,$B$8))</f>
        <v>403577.46840025031</v>
      </c>
      <c r="D22" s="2">
        <f>MIN(B2-D21, B6,B8)</f>
        <v>500000</v>
      </c>
      <c r="E22" s="2">
        <f>MIN(B2 -E21,B8,B6)</f>
        <v>500000</v>
      </c>
    </row>
    <row r="23" spans="1:5" x14ac:dyDescent="0.25">
      <c r="A23" s="1" t="s">
        <v>23</v>
      </c>
      <c r="B23" s="2">
        <f>B2-B21-B22</f>
        <v>74325.444687670039</v>
      </c>
      <c r="C23" s="2">
        <f>B2-C21-C22</f>
        <v>245073.42097508977</v>
      </c>
      <c r="D23" s="2">
        <f>B2-D21-D22</f>
        <v>148650.88937534008</v>
      </c>
      <c r="E23" s="2">
        <f>B2-E21-E22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test_modelLogic.py</vt:lpstr>
      <vt:lpstr>TestInputData</vt:lpstr>
      <vt:lpstr>test_storageOperations.py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Daly, Kensey/SEA</dc:creator>
  <cp:lastModifiedBy>Daly, Kensey/SEA</cp:lastModifiedBy>
  <dcterms:created xsi:type="dcterms:W3CDTF">2022-10-12T20:03:27Z</dcterms:created>
  <dcterms:modified xsi:type="dcterms:W3CDTF">2023-07-07T20:47:19Z</dcterms:modified>
</cp:coreProperties>
</file>