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9EAF6B17-58F5-452C-A069-1913F464167B}" xr6:coauthVersionLast="47" xr6:coauthVersionMax="47" xr10:uidLastSave="{00000000-0000-0000-0000-000000000000}"/>
  <bookViews>
    <workbookView xWindow="-108" yWindow="-108" windowWidth="23256" windowHeight="14016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5" i="2"/>
  <c r="B14" i="2"/>
  <c r="B9" i="2"/>
  <c r="B10" i="2"/>
  <c r="B11" i="2"/>
  <c r="B12" i="2"/>
  <c r="B8" i="2"/>
  <c r="B26" i="2"/>
  <c r="B6" i="2"/>
  <c r="B3" i="2"/>
  <c r="B39" i="2"/>
  <c r="B30" i="2"/>
  <c r="B13" i="2"/>
  <c r="B7" i="2" l="1"/>
  <c r="B6" i="3"/>
  <c r="B5" i="2" s="1"/>
  <c r="B32" i="1"/>
  <c r="C28" i="1"/>
  <c r="B28" i="1"/>
  <c r="D27" i="1"/>
  <c r="C27" i="1"/>
  <c r="D26" i="1"/>
  <c r="C26" i="1"/>
  <c r="C30" i="1" l="1"/>
  <c r="C32" i="1" s="1"/>
  <c r="D30" i="1"/>
  <c r="D32" i="1" s="1"/>
  <c r="D34" i="1" s="1"/>
  <c r="B17" i="2"/>
  <c r="B29" i="1"/>
  <c r="B31" i="1" s="1"/>
  <c r="B33" i="1" s="1"/>
  <c r="B34" i="1" s="1"/>
  <c r="E34" i="1"/>
  <c r="B18" i="2" l="1"/>
  <c r="B21" i="2"/>
  <c r="B23" i="2" s="1"/>
  <c r="C29" i="1"/>
  <c r="C31" i="1" s="1"/>
  <c r="C33" i="1" s="1"/>
  <c r="C34" i="1" s="1"/>
  <c r="B25" i="2" l="1"/>
  <c r="B27" i="2"/>
  <c r="B29" i="2" l="1"/>
  <c r="B32" i="2" l="1"/>
  <c r="B35" i="2" s="1"/>
  <c r="B38" i="2" s="1"/>
  <c r="B43" i="2" l="1"/>
  <c r="B36" i="2"/>
  <c r="B37" i="2" l="1"/>
  <c r="B41" i="2" s="1"/>
  <c r="B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tc={71E2AA8F-0F0E-4FF7-9ADE-CEB9B18104B3}</author>
  </authors>
  <commentList>
    <comment ref="B46" authorId="0" shapeId="0" xr:uid="{71E2AA8F-0F0E-4FF7-9ADE-CEB9B18104B3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loss for this timestep: 373983760.521265</t>
      </text>
    </comment>
  </commentList>
</comments>
</file>

<file path=xl/sharedStrings.xml><?xml version="1.0" encoding="utf-8"?>
<sst xmlns="http://schemas.openxmlformats.org/spreadsheetml/2006/main" count="151" uniqueCount="149">
  <si>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</si>
  <si>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</si>
  <si>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</si>
  <si>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</si>
  <si>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</si>
  <si>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</si>
  <si>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</si>
  <si>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</si>
  <si>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</si>
  <si>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</si>
  <si>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</si>
  <si>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</si>
  <si>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</si>
  <si>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</si>
  <si>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</si>
  <si>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</si>
  <si>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</si>
  <si>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</si>
  <si>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</si>
  <si>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</si>
  <si>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</si>
  <si>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</si>
  <si>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</si>
  <si>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</si>
  <si>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</si>
  <si>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</si>
  <si>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</si>
  <si>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</si>
  <si>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</si>
  <si>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</si>
  <si>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</si>
  <si>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</si>
  <si>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</si>
  <si>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</si>
  <si>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</si>
  <si>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</si>
  <si>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</si>
  <si>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</si>
  <si>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</si>
  <si>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</si>
  <si>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</si>
  <si>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</si>
  <si>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</si>
  <si>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</si>
  <si>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</si>
  <si>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</si>
  <si>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</si>
  <si>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</si>
  <si>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</si>
  <si>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</si>
  <si>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</si>
  <si>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</si>
  <si>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</si>
  <si>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</si>
  <si>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</si>
  <si>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</si>
  <si>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</si>
  <si>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</si>
  <si>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</si>
  <si>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</si>
  <si>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</si>
  <si>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</si>
  <si>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</si>
  <si>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</si>
  <si>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</si>
  <si>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</si>
  <si>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</si>
  <si>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</si>
  <si>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</si>
  <si>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</si>
  <si>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</si>
  <si>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</si>
  <si>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</si>
  <si>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</si>
  <si>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</si>
  <si>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</si>
  <si>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</si>
  <si>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</si>
  <si>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</si>
  <si>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</si>
  <si>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</si>
  <si>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</si>
  <si>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</si>
  <si>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</si>
  <si>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</si>
  <si>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</si>
  <si>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</si>
  <si>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</si>
  <si>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</si>
  <si>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</si>
  <si>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</si>
  <si>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</si>
  <si>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</si>
  <si>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</si>
  <si>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</si>
  <si>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</si>
  <si>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</si>
  <si>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</si>
  <si>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</si>
  <si>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</si>
  <si>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putGroundwaterBankCost</t>
  </si>
  <si>
    <t>takeGroundwaterBankCost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</si>
  <si>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</si>
  <si>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</si>
  <si>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</si>
  <si>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</si>
  <si>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</si>
  <si>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</si>
  <si>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</si>
  <si>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</si>
  <si>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</si>
  <si>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</si>
  <si>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</si>
  <si>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</si>
  <si>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</si>
  <si>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</si>
  <si>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</si>
  <si>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</si>
  <si>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</si>
  <si>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</si>
  <si>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</si>
  <si>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</si>
  <si>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</si>
  <si>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</si>
  <si>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</si>
  <si>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</si>
  <si>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</si>
  <si>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</si>
  <si>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</si>
  <si>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</si>
  <si>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</si>
  <si>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</si>
  <si>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</si>
  <si>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</si>
  <si>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</si>
  <si>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</si>
  <si>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</si>
  <si>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</si>
  <si>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</si>
  <si>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</si>
  <si>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</si>
  <si>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</si>
  <si>
    <t>rationingProgramCost_Contractor</t>
  </si>
  <si>
    <t>volumeGroundwaterBank</t>
  </si>
  <si>
    <t>Storage Take Tests</t>
  </si>
  <si>
    <t>Storage Puts Tests</t>
  </si>
  <si>
    <t>totalEconomicLoss_Contractor</t>
  </si>
  <si>
    <t>See "CaUWMET_CPED example for Python test.xslx" for test values</t>
  </si>
  <si>
    <t>totalAnnualCost_Contractor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</si>
</sst>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 applyAlignment="1">
      <alignment vertical="center"/>
    </xf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164" fontId="0" fillId="0" borderId="0" xfId="1" applyNumberFormat="1" applyFont="1" applyFill="1"/>
    <xf numFmtId="168" fontId="0" fillId="0" borderId="0" xfId="2" applyNumberFormat="1" applyFont="1" applyFill="1"/>
    <xf numFmtId="164" fontId="0" fillId="0" borderId="0" xfId="0" applyNumberFormat="1" applyFill="1"/>
    <xf numFmtId="166" fontId="0" fillId="0" borderId="0" xfId="2" applyNumberFormat="1" applyFont="1" applyFill="1"/>
    <xf numFmtId="165" fontId="0" fillId="0" borderId="0" xfId="2" applyNumberFormat="1" applyFont="1" applyFill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ly, Kensey" id="{ABA08D6B-941A-49AC-89D5-FF079878CCBC}" userId="S::Kensey.Daly@jacobs.com::2c05a9c7-ae45-4b4b-8861-dac25a878d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6" dT="2023-08-24T15:43:02.96" personId="{ABA08D6B-941A-49AC-89D5-FF079878CCBC}" id="{71E2AA8F-0F0E-4FF7-9ADE-CEB9B18104B3}">
    <text>Economic loss for this timestep: 373983760.521265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8"/>
  <sheetViews>
    <sheetView tabSelected="1" topLeftCell="A19" workbookViewId="0">
      <selection activeCell="H47" sqref="H47"/>
    </sheetView>
  </sheetViews>
  <sheetFormatPr defaultRowHeight="14.4" x14ac:dyDescent="0.3"/>
  <cols>
    <col min="1" max="1" width="62.88671875" bestFit="1" customWidth="1"/>
    <col min="2" max="2" width="27.88671875" bestFit="1" customWidth="1"/>
    <col min="3" max="3" width="10.5546875" bestFit="1" customWidth="1"/>
    <col min="8" max="8" width="11" bestFit="1" customWidth="1"/>
  </cols>
  <sheetData>
    <row r="1" spans="1:3" x14ac:dyDescent="0.3">
      <c r="A1" s="16" t="s">
        <v>24</v>
      </c>
      <c r="B1" s="6" t="s">
        <v>77</v>
      </c>
      <c r="C1" s="6" t="s">
        <v>99</v>
      </c>
    </row>
    <row r="2" spans="1:3" x14ac:dyDescent="0.3">
      <c r="A2" s="17" t="s">
        <v>102</v>
      </c>
      <c r="B2" s="6"/>
      <c r="C2" s="6"/>
    </row>
    <row r="3" spans="1:3" x14ac:dyDescent="0.3">
      <c r="A3" s="18" t="s">
        <v>31</v>
      </c>
      <c r="B3" s="19">
        <f>TestInputData!B4-TestInputData!B5 - TestInputData!B77</f>
        <v>999985</v>
      </c>
    </row>
    <row r="4" spans="1:3" x14ac:dyDescent="0.3">
      <c r="A4" s="17" t="s">
        <v>103</v>
      </c>
      <c r="B4" s="19"/>
    </row>
    <row r="5" spans="1:3" x14ac:dyDescent="0.3">
      <c r="A5" s="18" t="s">
        <v>111</v>
      </c>
      <c r="B5" s="18">
        <f>TestInputData!B6</f>
        <v>35000</v>
      </c>
    </row>
    <row r="6" spans="1:3" x14ac:dyDescent="0.3">
      <c r="A6" s="18" t="s">
        <v>112</v>
      </c>
      <c r="B6" s="18">
        <f>SUM(TestInputData!B70:B76)</f>
        <v>70</v>
      </c>
    </row>
    <row r="7" spans="1:3" x14ac:dyDescent="0.3">
      <c r="A7" s="18" t="s">
        <v>30</v>
      </c>
      <c r="B7" s="19">
        <f>B3-TestInputData!B6-SUM(TestInputData!B70:B76)</f>
        <v>964915</v>
      </c>
    </row>
    <row r="8" spans="1:3" x14ac:dyDescent="0.3">
      <c r="A8" s="18" t="s">
        <v>113</v>
      </c>
      <c r="B8" s="20">
        <f>10*TestInputData!B60*10</f>
        <v>1000</v>
      </c>
    </row>
    <row r="9" spans="1:3" x14ac:dyDescent="0.3">
      <c r="A9" s="18" t="s">
        <v>114</v>
      </c>
      <c r="B9" s="20">
        <f>10*TestInputData!B61*10</f>
        <v>1000</v>
      </c>
    </row>
    <row r="10" spans="1:3" x14ac:dyDescent="0.3">
      <c r="A10" s="18" t="s">
        <v>115</v>
      </c>
      <c r="B10" s="20">
        <f>10*TestInputData!B62*10</f>
        <v>1000</v>
      </c>
    </row>
    <row r="11" spans="1:3" x14ac:dyDescent="0.3">
      <c r="A11" s="18" t="s">
        <v>116</v>
      </c>
      <c r="B11" s="20">
        <f>10*TestInputData!B63*10</f>
        <v>1000</v>
      </c>
    </row>
    <row r="12" spans="1:3" x14ac:dyDescent="0.3">
      <c r="A12" s="18" t="s">
        <v>117</v>
      </c>
      <c r="B12" s="20">
        <f>10*TestInputData!B64*10</f>
        <v>1000</v>
      </c>
    </row>
    <row r="13" spans="1:3" x14ac:dyDescent="0.3">
      <c r="A13" s="18" t="s">
        <v>118</v>
      </c>
      <c r="B13" s="20">
        <f>10*TestInputData!B65</f>
        <v>100</v>
      </c>
    </row>
    <row r="14" spans="1:3" x14ac:dyDescent="0.3">
      <c r="A14" s="18" t="s">
        <v>119</v>
      </c>
      <c r="B14" s="20">
        <f>10*TestInputData!B66*10</f>
        <v>1000</v>
      </c>
    </row>
    <row r="15" spans="1:3" x14ac:dyDescent="0.3">
      <c r="A15" s="18" t="s">
        <v>120</v>
      </c>
      <c r="B15" s="20">
        <f>10*TestInputData!B67*10</f>
        <v>1000</v>
      </c>
    </row>
    <row r="16" spans="1:3" x14ac:dyDescent="0.3">
      <c r="A16" s="17" t="s">
        <v>104</v>
      </c>
      <c r="B16" s="19"/>
    </row>
    <row r="17" spans="1:5" x14ac:dyDescent="0.3">
      <c r="A17" s="18" t="s">
        <v>38</v>
      </c>
      <c r="B17" s="19">
        <f>B7-TestInputData!B7</f>
        <v>959915</v>
      </c>
    </row>
    <row r="18" spans="1:5" x14ac:dyDescent="0.3">
      <c r="A18" s="18" t="s">
        <v>78</v>
      </c>
      <c r="B18" s="20">
        <f>(B7-B17)*TestInputData!B14</f>
        <v>500000</v>
      </c>
    </row>
    <row r="19" spans="1:5" x14ac:dyDescent="0.3">
      <c r="A19" s="17" t="s">
        <v>105</v>
      </c>
    </row>
    <row r="20" spans="1:5" x14ac:dyDescent="0.3">
      <c r="A20" s="18" t="s">
        <v>97</v>
      </c>
      <c r="B20" s="18">
        <v>0</v>
      </c>
    </row>
    <row r="21" spans="1:5" x14ac:dyDescent="0.3">
      <c r="A21" s="18" t="s">
        <v>98</v>
      </c>
      <c r="B21" s="21">
        <f>MIN(B17,TestInputData!B20,TestInputData!B22)</f>
        <v>516500</v>
      </c>
    </row>
    <row r="22" spans="1:5" x14ac:dyDescent="0.3">
      <c r="A22" s="18" t="s">
        <v>95</v>
      </c>
      <c r="B22" s="18">
        <v>0</v>
      </c>
    </row>
    <row r="23" spans="1:5" x14ac:dyDescent="0.3">
      <c r="A23" s="18" t="s">
        <v>96</v>
      </c>
      <c r="B23" s="21">
        <f>MIN(B17-B21, TestInputData!B21,TestInputData!B23)</f>
        <v>95000</v>
      </c>
    </row>
    <row r="24" spans="1:5" x14ac:dyDescent="0.3">
      <c r="A24" s="18" t="s">
        <v>100</v>
      </c>
      <c r="B24" s="22">
        <v>0</v>
      </c>
    </row>
    <row r="25" spans="1:5" x14ac:dyDescent="0.3">
      <c r="A25" s="18" t="s">
        <v>101</v>
      </c>
      <c r="B25" s="23">
        <f>B23*TestInputData!B11</f>
        <v>19506431.092</v>
      </c>
    </row>
    <row r="26" spans="1:5" x14ac:dyDescent="0.3">
      <c r="A26" s="18" t="s">
        <v>143</v>
      </c>
      <c r="B26" s="21">
        <f>TestInputData!B21-test_modelLogic.py!B23</f>
        <v>854900</v>
      </c>
    </row>
    <row r="27" spans="1:5" x14ac:dyDescent="0.3">
      <c r="A27" s="18" t="s">
        <v>39</v>
      </c>
      <c r="B27" s="19">
        <f>B17-B21-B23</f>
        <v>348415</v>
      </c>
    </row>
    <row r="28" spans="1:5" x14ac:dyDescent="0.3">
      <c r="A28" s="11" t="s">
        <v>106</v>
      </c>
      <c r="E28" s="2"/>
    </row>
    <row r="29" spans="1:5" x14ac:dyDescent="0.3">
      <c r="A29" t="s">
        <v>50</v>
      </c>
      <c r="B29" s="7">
        <f>B27-(TestInputData!B26/100 *test_modelLogic.py!B3)</f>
        <v>298415.75</v>
      </c>
      <c r="C29" s="5"/>
    </row>
    <row r="30" spans="1:5" x14ac:dyDescent="0.3">
      <c r="A30" t="s">
        <v>107</v>
      </c>
      <c r="B30" s="14">
        <f>TestInputData!B27*TestInputData!B28*1000</f>
        <v>21900500</v>
      </c>
    </row>
    <row r="31" spans="1:5" x14ac:dyDescent="0.3">
      <c r="A31" s="11" t="s">
        <v>108</v>
      </c>
      <c r="B31" s="3"/>
    </row>
    <row r="32" spans="1:5" x14ac:dyDescent="0.3">
      <c r="A32" t="s">
        <v>94</v>
      </c>
      <c r="B32" s="2">
        <f>MIN(B29, TestInputData!B34)</f>
        <v>1000</v>
      </c>
    </row>
    <row r="33" spans="1:3" x14ac:dyDescent="0.3">
      <c r="A33" t="s">
        <v>93</v>
      </c>
      <c r="B33" s="12">
        <f>(B32 * (1+TestInputData!B33/100))*(TestInputData!B37 + TestInputData!B14)</f>
        <v>670350.36823199992</v>
      </c>
      <c r="C33">
        <v>670350.36823200004</v>
      </c>
    </row>
    <row r="34" spans="1:3" x14ac:dyDescent="0.3">
      <c r="A34" s="11" t="s">
        <v>109</v>
      </c>
    </row>
    <row r="35" spans="1:3" x14ac:dyDescent="0.3">
      <c r="A35" t="s">
        <v>110</v>
      </c>
      <c r="B35" s="2">
        <f>B5+(B7-B17)+B23+B21+B32+B6</f>
        <v>652570</v>
      </c>
    </row>
    <row r="36" spans="1:3" x14ac:dyDescent="0.3">
      <c r="A36" t="s">
        <v>90</v>
      </c>
      <c r="B36" s="13">
        <f>B35*TestInputData!B15</f>
        <v>249290345.11430502</v>
      </c>
    </row>
    <row r="37" spans="1:3" x14ac:dyDescent="0.3">
      <c r="A37" t="s">
        <v>91</v>
      </c>
      <c r="B37" s="13">
        <f>B35*TestInputData!B16</f>
        <v>189150146.48430502</v>
      </c>
    </row>
    <row r="38" spans="1:3" x14ac:dyDescent="0.3">
      <c r="A38" t="s">
        <v>92</v>
      </c>
      <c r="B38" s="15">
        <f>B35*(TestInputData!B18/100)*TestInputData!B17</f>
        <v>79755340.165521502</v>
      </c>
    </row>
    <row r="39" spans="1:3" x14ac:dyDescent="0.3">
      <c r="A39" t="s">
        <v>142</v>
      </c>
      <c r="B39" s="14">
        <f>TestInputData!B45*TestInputData!B28*1000</f>
        <v>175204000</v>
      </c>
    </row>
    <row r="40" spans="1:3" x14ac:dyDescent="0.3">
      <c r="A40" s="11" t="s">
        <v>130</v>
      </c>
    </row>
    <row r="41" spans="1:3" x14ac:dyDescent="0.3">
      <c r="A41" t="s">
        <v>131</v>
      </c>
      <c r="B41" s="13">
        <f>SUM(B36:B39,B33,B30,B25,B24,B18,B8:B15)</f>
        <v>735984213.22436357</v>
      </c>
      <c r="C41" s="13"/>
    </row>
    <row r="42" spans="1:3" x14ac:dyDescent="0.3">
      <c r="A42" s="11" t="s">
        <v>132</v>
      </c>
    </row>
    <row r="43" spans="1:3" x14ac:dyDescent="0.3">
      <c r="A43" t="s">
        <v>62</v>
      </c>
      <c r="B43" s="5">
        <f>B29 - B32</f>
        <v>297415.75</v>
      </c>
    </row>
    <row r="44" spans="1:3" x14ac:dyDescent="0.3">
      <c r="A44" t="s">
        <v>146</v>
      </c>
      <c r="B44" t="s">
        <v>147</v>
      </c>
    </row>
    <row r="46" spans="1:3" x14ac:dyDescent="0.3">
      <c r="A46" t="s">
        <v>148</v>
      </c>
      <c r="B46" s="24">
        <f>B41 + 373983760.521265</f>
        <v>1109967973.7456286</v>
      </c>
    </row>
    <row r="48" spans="1:3" x14ac:dyDescent="0.3">
      <c r="B48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7"/>
  <sheetViews>
    <sheetView topLeftCell="A7" workbookViewId="0">
      <selection activeCell="B33" sqref="B33"/>
    </sheetView>
  </sheetViews>
  <sheetFormatPr defaultRowHeight="14.4" x14ac:dyDescent="0.3"/>
  <cols>
    <col min="1" max="1" width="89.6640625" bestFit="1" customWidth="1"/>
    <col min="2" max="2" width="23.6640625" bestFit="1" customWidth="1"/>
    <col min="3" max="3" width="14.44140625" bestFit="1" customWidth="1"/>
  </cols>
  <sheetData>
    <row r="1" spans="1:3" x14ac:dyDescent="0.3">
      <c r="A1" s="6" t="s">
        <v>24</v>
      </c>
      <c r="B1" s="6" t="s">
        <v>79</v>
      </c>
      <c r="C1" s="6"/>
    </row>
    <row r="2" spans="1:3" x14ac:dyDescent="0.3">
      <c r="A2" t="s">
        <v>33</v>
      </c>
      <c r="B2">
        <v>0</v>
      </c>
    </row>
    <row r="3" spans="1:3" x14ac:dyDescent="0.3">
      <c r="A3" t="s">
        <v>48</v>
      </c>
      <c r="B3" s="9" t="s">
        <v>34</v>
      </c>
    </row>
    <row r="4" spans="1:3" x14ac:dyDescent="0.3">
      <c r="A4" t="s">
        <v>32</v>
      </c>
      <c r="B4">
        <v>1000000</v>
      </c>
    </row>
    <row r="5" spans="1:3" x14ac:dyDescent="0.3">
      <c r="A5" t="s">
        <v>37</v>
      </c>
      <c r="B5">
        <v>5</v>
      </c>
    </row>
    <row r="6" spans="1:3" x14ac:dyDescent="0.3">
      <c r="A6" t="s">
        <v>36</v>
      </c>
      <c r="B6">
        <f>7*5000</f>
        <v>35000</v>
      </c>
    </row>
    <row r="7" spans="1:3" x14ac:dyDescent="0.3">
      <c r="A7" t="s">
        <v>35</v>
      </c>
      <c r="B7">
        <v>5000</v>
      </c>
    </row>
    <row r="9" spans="1:3" x14ac:dyDescent="0.3">
      <c r="A9" s="6" t="s">
        <v>89</v>
      </c>
    </row>
    <row r="10" spans="1:3" x14ac:dyDescent="0.3">
      <c r="A10" t="s">
        <v>80</v>
      </c>
      <c r="B10" s="10">
        <v>67.76025473</v>
      </c>
    </row>
    <row r="11" spans="1:3" x14ac:dyDescent="0.3">
      <c r="A11" t="s">
        <v>81</v>
      </c>
      <c r="B11" s="10">
        <v>205.33085360000001</v>
      </c>
    </row>
    <row r="12" spans="1:3" x14ac:dyDescent="0.3">
      <c r="A12" t="s">
        <v>82</v>
      </c>
      <c r="B12" s="10">
        <v>22.927610130000001</v>
      </c>
    </row>
    <row r="13" spans="1:3" x14ac:dyDescent="0.3">
      <c r="A13" t="s">
        <v>83</v>
      </c>
      <c r="B13" s="10">
        <v>0</v>
      </c>
    </row>
    <row r="14" spans="1:3" x14ac:dyDescent="0.3">
      <c r="A14" t="s">
        <v>84</v>
      </c>
      <c r="B14" s="10">
        <v>100</v>
      </c>
    </row>
    <row r="15" spans="1:3" x14ac:dyDescent="0.3">
      <c r="A15" t="s">
        <v>85</v>
      </c>
      <c r="B15" s="10">
        <v>382.01318650000002</v>
      </c>
    </row>
    <row r="16" spans="1:3" x14ac:dyDescent="0.3">
      <c r="A16" t="s">
        <v>86</v>
      </c>
      <c r="B16" s="10">
        <v>289.85418650000003</v>
      </c>
    </row>
    <row r="17" spans="1:2" x14ac:dyDescent="0.3">
      <c r="A17" t="s">
        <v>87</v>
      </c>
      <c r="B17" s="10">
        <v>244.43458989999999</v>
      </c>
    </row>
    <row r="18" spans="1:2" x14ac:dyDescent="0.3">
      <c r="A18" t="s">
        <v>88</v>
      </c>
      <c r="B18">
        <v>50</v>
      </c>
    </row>
    <row r="20" spans="1:2" x14ac:dyDescent="0.3">
      <c r="A20" t="s">
        <v>40</v>
      </c>
      <c r="B20" s="3">
        <v>516500</v>
      </c>
    </row>
    <row r="21" spans="1:2" x14ac:dyDescent="0.3">
      <c r="A21" t="s">
        <v>41</v>
      </c>
      <c r="B21" s="3">
        <v>949900</v>
      </c>
    </row>
    <row r="22" spans="1:2" x14ac:dyDescent="0.3">
      <c r="A22" t="s">
        <v>42</v>
      </c>
      <c r="B22" s="3">
        <v>815000</v>
      </c>
    </row>
    <row r="23" spans="1:2" x14ac:dyDescent="0.3">
      <c r="A23" t="s">
        <v>43</v>
      </c>
      <c r="B23" s="3">
        <v>95000</v>
      </c>
    </row>
    <row r="25" spans="1:2" x14ac:dyDescent="0.3">
      <c r="A25" s="6" t="s">
        <v>49</v>
      </c>
    </row>
    <row r="26" spans="1:2" x14ac:dyDescent="0.3">
      <c r="A26" t="s">
        <v>44</v>
      </c>
      <c r="B26">
        <v>5</v>
      </c>
    </row>
    <row r="27" spans="1:2" x14ac:dyDescent="0.3">
      <c r="A27" t="s">
        <v>45</v>
      </c>
      <c r="B27">
        <v>0.25</v>
      </c>
    </row>
    <row r="28" spans="1:2" x14ac:dyDescent="0.3">
      <c r="A28" t="s">
        <v>46</v>
      </c>
      <c r="B28">
        <v>87602</v>
      </c>
    </row>
    <row r="29" spans="1:2" x14ac:dyDescent="0.3">
      <c r="A29" t="s">
        <v>47</v>
      </c>
      <c r="B29">
        <v>1000000</v>
      </c>
    </row>
    <row r="31" spans="1:2" x14ac:dyDescent="0.3">
      <c r="A31" s="6" t="s">
        <v>61</v>
      </c>
    </row>
    <row r="32" spans="1:2" x14ac:dyDescent="0.3">
      <c r="A32" t="s">
        <v>51</v>
      </c>
      <c r="B32">
        <v>5</v>
      </c>
    </row>
    <row r="33" spans="1:2" x14ac:dyDescent="0.3">
      <c r="A33" t="s">
        <v>52</v>
      </c>
      <c r="B33">
        <v>18</v>
      </c>
    </row>
    <row r="34" spans="1:2" x14ac:dyDescent="0.3">
      <c r="A34" t="s">
        <v>53</v>
      </c>
      <c r="B34">
        <v>1000</v>
      </c>
    </row>
    <row r="35" spans="1:2" x14ac:dyDescent="0.3">
      <c r="A35" t="s">
        <v>54</v>
      </c>
      <c r="B35">
        <v>1000</v>
      </c>
    </row>
    <row r="36" spans="1:2" x14ac:dyDescent="0.3">
      <c r="A36" t="s">
        <v>55</v>
      </c>
      <c r="B36">
        <v>100</v>
      </c>
    </row>
    <row r="37" spans="1:2" x14ac:dyDescent="0.3">
      <c r="A37" t="s">
        <v>56</v>
      </c>
      <c r="B37">
        <v>468.09353240000002</v>
      </c>
    </row>
    <row r="38" spans="1:2" x14ac:dyDescent="0.3">
      <c r="A38" t="s">
        <v>57</v>
      </c>
      <c r="B38">
        <v>223.87081979999999</v>
      </c>
    </row>
    <row r="39" spans="1:2" x14ac:dyDescent="0.3">
      <c r="A39" t="s">
        <v>58</v>
      </c>
      <c r="B39">
        <v>715.70822710000004</v>
      </c>
    </row>
    <row r="40" spans="1:2" x14ac:dyDescent="0.3">
      <c r="A40" t="s">
        <v>59</v>
      </c>
      <c r="B40">
        <v>319.9769799</v>
      </c>
    </row>
    <row r="41" spans="1:2" x14ac:dyDescent="0.3">
      <c r="A41" t="s">
        <v>60</v>
      </c>
      <c r="B41">
        <v>1193.9777059999999</v>
      </c>
    </row>
    <row r="43" spans="1:2" x14ac:dyDescent="0.3">
      <c r="A43" s="6" t="s">
        <v>68</v>
      </c>
    </row>
    <row r="44" spans="1:2" x14ac:dyDescent="0.3">
      <c r="A44" t="s">
        <v>63</v>
      </c>
      <c r="B44" s="8">
        <v>1000000</v>
      </c>
    </row>
    <row r="45" spans="1:2" x14ac:dyDescent="0.3">
      <c r="A45" t="s">
        <v>64</v>
      </c>
      <c r="B45">
        <v>2</v>
      </c>
    </row>
    <row r="46" spans="1:2" x14ac:dyDescent="0.3">
      <c r="A46" t="s">
        <v>65</v>
      </c>
      <c r="B46">
        <v>0</v>
      </c>
    </row>
    <row r="47" spans="1:2" x14ac:dyDescent="0.3">
      <c r="A47" t="s">
        <v>66</v>
      </c>
      <c r="B47">
        <v>50</v>
      </c>
    </row>
    <row r="48" spans="1:2" x14ac:dyDescent="0.3">
      <c r="A48" t="s">
        <v>67</v>
      </c>
      <c r="B48">
        <v>650</v>
      </c>
    </row>
    <row r="50" spans="1:2" x14ac:dyDescent="0.3">
      <c r="A50" s="6" t="s">
        <v>69</v>
      </c>
    </row>
    <row r="51" spans="1:2" x14ac:dyDescent="0.3">
      <c r="A51" t="s">
        <v>70</v>
      </c>
      <c r="B51">
        <v>-0.2</v>
      </c>
    </row>
    <row r="52" spans="1:2" x14ac:dyDescent="0.3">
      <c r="A52" t="s">
        <v>76</v>
      </c>
      <c r="B52">
        <v>-0.12</v>
      </c>
    </row>
    <row r="53" spans="1:2" x14ac:dyDescent="0.3">
      <c r="A53" t="s">
        <v>71</v>
      </c>
      <c r="B53">
        <v>-0.1</v>
      </c>
    </row>
    <row r="54" spans="1:2" x14ac:dyDescent="0.3">
      <c r="A54" t="s">
        <v>72</v>
      </c>
      <c r="B54">
        <v>-0.11</v>
      </c>
    </row>
    <row r="55" spans="1:2" x14ac:dyDescent="0.3">
      <c r="A55" t="s">
        <v>73</v>
      </c>
      <c r="B55">
        <v>-0.4</v>
      </c>
    </row>
    <row r="56" spans="1:2" x14ac:dyDescent="0.3">
      <c r="A56" t="s">
        <v>74</v>
      </c>
      <c r="B56">
        <v>0</v>
      </c>
    </row>
    <row r="57" spans="1:2" x14ac:dyDescent="0.3">
      <c r="A57" t="s">
        <v>75</v>
      </c>
      <c r="B57">
        <v>0.7</v>
      </c>
    </row>
    <row r="59" spans="1:2" x14ac:dyDescent="0.3">
      <c r="A59" s="6" t="s">
        <v>129</v>
      </c>
    </row>
    <row r="60" spans="1:2" x14ac:dyDescent="0.3">
      <c r="A60" t="s">
        <v>121</v>
      </c>
      <c r="B60">
        <v>10</v>
      </c>
    </row>
    <row r="61" spans="1:2" x14ac:dyDescent="0.3">
      <c r="A61" t="s">
        <v>122</v>
      </c>
      <c r="B61">
        <v>10</v>
      </c>
    </row>
    <row r="62" spans="1:2" x14ac:dyDescent="0.3">
      <c r="A62" t="s">
        <v>123</v>
      </c>
      <c r="B62">
        <v>10</v>
      </c>
    </row>
    <row r="63" spans="1:2" x14ac:dyDescent="0.3">
      <c r="A63" t="s">
        <v>124</v>
      </c>
      <c r="B63">
        <v>10</v>
      </c>
    </row>
    <row r="64" spans="1:2" x14ac:dyDescent="0.3">
      <c r="A64" t="s">
        <v>125</v>
      </c>
      <c r="B64">
        <v>10</v>
      </c>
    </row>
    <row r="65" spans="1:2" x14ac:dyDescent="0.3">
      <c r="A65" t="s">
        <v>126</v>
      </c>
      <c r="B65">
        <v>10</v>
      </c>
    </row>
    <row r="66" spans="1:2" x14ac:dyDescent="0.3">
      <c r="A66" t="s">
        <v>127</v>
      </c>
      <c r="B66">
        <v>10</v>
      </c>
    </row>
    <row r="67" spans="1:2" x14ac:dyDescent="0.3">
      <c r="A67" t="s">
        <v>128</v>
      </c>
      <c r="B67">
        <v>10</v>
      </c>
    </row>
    <row r="69" spans="1:2" x14ac:dyDescent="0.3">
      <c r="A69" s="6" t="s">
        <v>141</v>
      </c>
    </row>
    <row r="70" spans="1:2" x14ac:dyDescent="0.3">
      <c r="A70" t="s">
        <v>133</v>
      </c>
      <c r="B70">
        <v>10</v>
      </c>
    </row>
    <row r="71" spans="1:2" x14ac:dyDescent="0.3">
      <c r="A71" t="s">
        <v>134</v>
      </c>
      <c r="B71">
        <v>10</v>
      </c>
    </row>
    <row r="72" spans="1:2" x14ac:dyDescent="0.3">
      <c r="A72" t="s">
        <v>135</v>
      </c>
      <c r="B72">
        <v>10</v>
      </c>
    </row>
    <row r="73" spans="1:2" x14ac:dyDescent="0.3">
      <c r="A73" t="s">
        <v>136</v>
      </c>
      <c r="B73">
        <v>10</v>
      </c>
    </row>
    <row r="74" spans="1:2" x14ac:dyDescent="0.3">
      <c r="A74" t="s">
        <v>137</v>
      </c>
      <c r="B74">
        <v>10</v>
      </c>
    </row>
    <row r="75" spans="1:2" x14ac:dyDescent="0.3">
      <c r="A75" t="s">
        <v>138</v>
      </c>
      <c r="B75">
        <v>10</v>
      </c>
    </row>
    <row r="76" spans="1:2" x14ac:dyDescent="0.3">
      <c r="A76" t="s">
        <v>139</v>
      </c>
      <c r="B76">
        <v>10</v>
      </c>
    </row>
    <row r="77" spans="1:2" x14ac:dyDescent="0.3">
      <c r="A77" t="s">
        <v>140</v>
      </c>
      <c r="B7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34"/>
  <sheetViews>
    <sheetView workbookViewId="0">
      <selection activeCell="A6" sqref="A6"/>
    </sheetView>
  </sheetViews>
  <sheetFormatPr defaultRowHeight="14.4" x14ac:dyDescent="0.3"/>
  <cols>
    <col min="1" max="1" width="62.109375" bestFit="1" customWidth="1"/>
    <col min="2" max="2" width="17.5546875" bestFit="1" customWidth="1"/>
    <col min="3" max="4" width="21.88671875" bestFit="1" customWidth="1"/>
    <col min="5" max="5" width="10" bestFit="1" customWidth="1"/>
  </cols>
  <sheetData>
    <row r="1" spans="1:2" x14ac:dyDescent="0.3">
      <c r="A1" s="6" t="s">
        <v>145</v>
      </c>
    </row>
    <row r="11" spans="1:2" x14ac:dyDescent="0.3">
      <c r="A11" s="6" t="s">
        <v>144</v>
      </c>
    </row>
    <row r="12" spans="1:2" x14ac:dyDescent="0.3">
      <c r="A12" t="s">
        <v>24</v>
      </c>
      <c r="B12" t="s">
        <v>25</v>
      </c>
    </row>
    <row r="13" spans="1:2" x14ac:dyDescent="0.3">
      <c r="A13" s="1" t="s">
        <v>0</v>
      </c>
      <c r="B13" s="2">
        <v>1000000</v>
      </c>
    </row>
    <row r="14" spans="1:2" x14ac:dyDescent="0.3">
      <c r="A14" s="1" t="s">
        <v>1</v>
      </c>
      <c r="B14" s="2">
        <v>500000</v>
      </c>
    </row>
    <row r="15" spans="1:2" x14ac:dyDescent="0.3">
      <c r="A15" s="1" t="s">
        <v>2</v>
      </c>
      <c r="B15" s="3">
        <v>1000000</v>
      </c>
    </row>
    <row r="16" spans="1:2" x14ac:dyDescent="0.3">
      <c r="A16" s="1" t="s">
        <v>3</v>
      </c>
      <c r="B16" s="3">
        <v>600000</v>
      </c>
    </row>
    <row r="17" spans="1:5" x14ac:dyDescent="0.3">
      <c r="A17" s="1" t="s">
        <v>4</v>
      </c>
      <c r="B17" s="2">
        <v>500000</v>
      </c>
    </row>
    <row r="18" spans="1:5" x14ac:dyDescent="0.3">
      <c r="A18" s="1" t="s">
        <v>5</v>
      </c>
      <c r="B18" s="3">
        <v>1000000</v>
      </c>
    </row>
    <row r="19" spans="1:5" x14ac:dyDescent="0.3">
      <c r="A19" s="1" t="s">
        <v>6</v>
      </c>
      <c r="B19" s="3">
        <v>600000</v>
      </c>
    </row>
    <row r="20" spans="1:5" x14ac:dyDescent="0.3">
      <c r="A20" s="1" t="s">
        <v>7</v>
      </c>
      <c r="B20">
        <v>60</v>
      </c>
    </row>
    <row r="21" spans="1:5" x14ac:dyDescent="0.3">
      <c r="A21" s="1" t="s">
        <v>8</v>
      </c>
      <c r="B21">
        <v>0.25</v>
      </c>
    </row>
    <row r="22" spans="1:5" x14ac:dyDescent="0.3">
      <c r="A22" s="1" t="s">
        <v>9</v>
      </c>
      <c r="B22">
        <v>0.25</v>
      </c>
    </row>
    <row r="24" spans="1:5" x14ac:dyDescent="0.3">
      <c r="B24" t="s">
        <v>26</v>
      </c>
      <c r="C24" t="s">
        <v>27</v>
      </c>
      <c r="D24" t="s">
        <v>28</v>
      </c>
      <c r="E24" t="s">
        <v>29</v>
      </c>
    </row>
    <row r="25" spans="1:5" x14ac:dyDescent="0.3">
      <c r="A25" s="1" t="s">
        <v>10</v>
      </c>
      <c r="B25" t="s">
        <v>11</v>
      </c>
      <c r="C25" t="s">
        <v>12</v>
      </c>
      <c r="D25" t="s">
        <v>13</v>
      </c>
      <c r="E25" t="s">
        <v>14</v>
      </c>
    </row>
    <row r="26" spans="1:5" x14ac:dyDescent="0.3">
      <c r="A26" s="1" t="s">
        <v>15</v>
      </c>
      <c r="C26">
        <f>B14/B15</f>
        <v>0.5</v>
      </c>
      <c r="D26">
        <f>B14/B15</f>
        <v>0.5</v>
      </c>
    </row>
    <row r="27" spans="1:5" x14ac:dyDescent="0.3">
      <c r="A27" s="1" t="s">
        <v>16</v>
      </c>
      <c r="C27" s="4">
        <f>B13/B15</f>
        <v>1</v>
      </c>
      <c r="D27" s="5">
        <f>B13/B15</f>
        <v>1</v>
      </c>
    </row>
    <row r="28" spans="1:5" x14ac:dyDescent="0.3">
      <c r="A28" s="1" t="s">
        <v>17</v>
      </c>
      <c r="B28">
        <f>B17/B18</f>
        <v>0.5</v>
      </c>
      <c r="C28">
        <f>B17/B18</f>
        <v>0.5</v>
      </c>
    </row>
    <row r="29" spans="1:5" x14ac:dyDescent="0.3">
      <c r="A29" s="1" t="s">
        <v>18</v>
      </c>
      <c r="B29" s="4">
        <f>($B$13 - B32)/$B$18</f>
        <v>0.5</v>
      </c>
      <c r="C29" s="4">
        <f>($B$13 - C32)/$B$18</f>
        <v>0.6486508893753401</v>
      </c>
    </row>
    <row r="30" spans="1:5" x14ac:dyDescent="0.3">
      <c r="A30" s="1" t="s">
        <v>19</v>
      </c>
      <c r="C30" s="4">
        <f>1-$B$21*C27*C26^-$B$22</f>
        <v>0.7026982212493198</v>
      </c>
      <c r="D30" s="4">
        <f>1-$B$21*D27*D26^-$B$22</f>
        <v>0.7026982212493198</v>
      </c>
    </row>
    <row r="31" spans="1:5" x14ac:dyDescent="0.3">
      <c r="A31" s="1" t="s">
        <v>20</v>
      </c>
      <c r="B31" s="4">
        <f>1-B21*B29*B28^-B22</f>
        <v>0.8513491106246599</v>
      </c>
      <c r="C31" s="4">
        <f>1-B21*C29*C28^-B22</f>
        <v>0.80715493680050066</v>
      </c>
    </row>
    <row r="32" spans="1:5" x14ac:dyDescent="0.3">
      <c r="A32" s="1" t="s">
        <v>21</v>
      </c>
      <c r="B32" s="2">
        <f>MIN(B14,B13,B15)</f>
        <v>500000</v>
      </c>
      <c r="C32" s="3">
        <f>IF(C26&lt;=(B20/100),MIN(C30*B14,B14,B16))</f>
        <v>351349.11062465992</v>
      </c>
      <c r="D32" s="3">
        <f>IF(D26&lt;=(B20/100),MIN(D30*B14,B14,B16))</f>
        <v>351349.11062465992</v>
      </c>
      <c r="E32" s="2">
        <v>0</v>
      </c>
    </row>
    <row r="33" spans="1:5" x14ac:dyDescent="0.3">
      <c r="A33" s="1" t="s">
        <v>22</v>
      </c>
      <c r="B33" s="3">
        <f>MIN(IF(B28&lt;=($B$20/100),MIN(B31*$B$17,$B$17,$B$19)), B17,B19)</f>
        <v>425674.55531232996</v>
      </c>
      <c r="C33" s="3">
        <f>IF(C28&lt;=($B$20/100),MIN(C31*$B$17,$B$17,$B$19))</f>
        <v>403577.46840025031</v>
      </c>
      <c r="D33" s="2">
        <v>0</v>
      </c>
      <c r="E33" s="2">
        <v>0</v>
      </c>
    </row>
    <row r="34" spans="1:5" x14ac:dyDescent="0.3">
      <c r="A34" s="1" t="s">
        <v>23</v>
      </c>
      <c r="B34" s="2">
        <f>B13-B32-B33</f>
        <v>74325.444687670039</v>
      </c>
      <c r="C34" s="2">
        <f>B13-C32-C33</f>
        <v>245073.42097508977</v>
      </c>
      <c r="D34" s="2">
        <f>B13-D32-D33</f>
        <v>648650.88937534008</v>
      </c>
      <c r="E34" s="2">
        <f>B13-E32-E33</f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2023-08-24T16:17:08Z</dcterms:modified>
</cp:coreProperties>
</file>