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CA1D6D76-B7F5-4B1D-9F30-D2F8ED80F70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PED Calc_trial" sheetId="3" r:id="rId1"/>
  </sheets>
  <definedNames>
    <definedName name="base_conservation">'CPED Calc_trial'!$D$8</definedName>
    <definedName name="base_use_comm">'CPED Calc_trial'!$T$11</definedName>
    <definedName name="base_use_ind">'CPED Calc_trial'!$S$11</definedName>
    <definedName name="base_use_lndscp">'CPED Calc_trial'!$U$11</definedName>
    <definedName name="base_use_mf">'CPED Calc_trial'!$R$11</definedName>
    <definedName name="base_use_sf">'CPED Calc_trial'!$Q$11</definedName>
    <definedName name="base_use_total">'CPED Calc_trial'!$O$6</definedName>
    <definedName name="coeff_2" localSheetId="0">'CPED Calc_trial'!$I$7</definedName>
    <definedName name="coeff_3" localSheetId="0">'CPED Calc_trial'!$H$7</definedName>
    <definedName name="coeff_comm">'CPED Calc_trial'!$T$10</definedName>
    <definedName name="coeff_ind">'CPED Calc_trial'!$S$10</definedName>
    <definedName name="coeff_lndscp">'CPED Calc_trial'!$U$10</definedName>
    <definedName name="coeff_mf">'CPED Calc_trial'!$R$10</definedName>
    <definedName name="coeff_sf" localSheetId="0">'CPED Calc_trial'!$Q$10</definedName>
    <definedName name="cutratio_com">'CPED Calc_trial'!$T$8</definedName>
    <definedName name="cutratio_ind">'CPED Calc_trial'!$S$8</definedName>
    <definedName name="cutratio_lndscp">'CPED Calc_trial'!$U$8</definedName>
    <definedName name="cutratio_mf">'CPED Calc_trial'!$R$8</definedName>
    <definedName name="elasticity_1" localSheetId="0">'CPED Calc_trial'!$H$8</definedName>
    <definedName name="elasticity_comm">'CPED Calc_trial'!$T$9</definedName>
    <definedName name="elasticity_ind">'CPED Calc_trial'!$S$9</definedName>
    <definedName name="elasticity_lndscp">'CPED Calc_trial'!$U$9</definedName>
    <definedName name="elasticity_mf">'CPED Calc_trial'!$R$9</definedName>
    <definedName name="elasticity_sf">'CPED Calc_trial'!$Q$9</definedName>
    <definedName name="foregone_use_total">'CPED Calc_trial'!$P$19:$P$38</definedName>
    <definedName name="hardening_factor">'CPED Calc_trial'!$D$9</definedName>
    <definedName name="incremental_conservation">'CPED Calc_trial'!$D$10</definedName>
    <definedName name="low_bound_lndscp">'CPED Calc_trial'!$U$14</definedName>
    <definedName name="lowerbound_COM">'CPED Calc_trial'!$T$14</definedName>
    <definedName name="lowerbound_IND">'CPED Calc_trial'!$S$14</definedName>
    <definedName name="lowerbound_LNDSCP">'CPED Calc_trial'!$U$14</definedName>
    <definedName name="lowerbound_MF">'CPED Calc_trial'!$R$14</definedName>
    <definedName name="lowerbound_SF">'CPED Calc_trial'!$Q$14</definedName>
    <definedName name="p1_base" localSheetId="0">'CPED Calc_trial'!$H$9</definedName>
    <definedName name="pct_def" localSheetId="0">'CPED Calc_trial'!$N$19:$N$38</definedName>
    <definedName name="quan_1" localSheetId="0">'CPED Calc_trial'!$O$19:$O$38</definedName>
    <definedName name="shortage_af_COM">'CPED Calc_trial'!$H$19:$H$38</definedName>
    <definedName name="shortage_af_IND">'CPED Calc_trial'!$F$19:$F$38</definedName>
    <definedName name="shortage_af_LNDSCP">'CPED Calc_trial'!$J$19:$J$38</definedName>
    <definedName name="shortage_af_MF">'CPED Calc_trial'!$D$19:$D$38</definedName>
    <definedName name="shortage_af_SF">'CPED Calc_trial'!$B$19:$B$38</definedName>
    <definedName name="shortage_COM">'CPED Calc_trial'!$I$19:$I$38</definedName>
    <definedName name="shortage_dist_comm">'CPED Calc_trial'!$I$38</definedName>
    <definedName name="shortage_dist_comm_actual">'CPED Calc_trial'!$I$63</definedName>
    <definedName name="shortage_dist_ind">'CPED Calc_trial'!$G$38</definedName>
    <definedName name="shortage_dist_ind_actual">'CPED Calc_trial'!$G$63</definedName>
    <definedName name="shortage_dist_lndscp">'CPED Calc_trial'!$K$38</definedName>
    <definedName name="shortage_dist_lndscp_actual">'CPED Calc_trial'!$K$63</definedName>
    <definedName name="shortage_dist_mf">'CPED Calc_trial'!$E$38</definedName>
    <definedName name="shortage_dist_mf_actual">'CPED Calc_trial'!$E$63</definedName>
    <definedName name="shortage_dist_sf">'CPED Calc_trial'!$C$38</definedName>
    <definedName name="shortage_dist_sf_actual">'CPED Calc_trial'!$C$63</definedName>
    <definedName name="shortage_IND">'CPED Calc_trial'!$G$19:$G$38</definedName>
    <definedName name="shortage_LNDSCP">'CPED Calc_trial'!$K$19:$K$38</definedName>
    <definedName name="shortage_MF">'CPED Calc_trial'!$E$19:$E$38</definedName>
    <definedName name="shortage_SF">'CPED Calc_trial'!$C$19:$C$38</definedName>
    <definedName name="size_com">'CPED Calc_trial'!$T$12</definedName>
    <definedName name="size_ind">'CPED Calc_trial'!$S$12</definedName>
    <definedName name="size_lndscp">'CPED Calc_trial'!$U$12</definedName>
    <definedName name="size_mf">'CPED Calc_trial'!$R$12</definedName>
    <definedName name="size_sf">'CPED Calc_trial'!$Q$12</definedName>
    <definedName name="Total_actual_shortage">'CPED Calc_trial'!$H$12</definedName>
    <definedName name="Total_adjusted_shortage">'CPED Calc_trial'!$H$13</definedName>
    <definedName name="upper_bound_lndscp">'CPED Calc_trial'!$U$15</definedName>
    <definedName name="upper_boundary">'CPED Calc_trial'!$P$15</definedName>
    <definedName name="upperbound_COM">'CPED Calc_trial'!$T$15</definedName>
    <definedName name="upperbound_IND">'CPED Calc_trial'!$S$15</definedName>
    <definedName name="upperbound_LNDSCP">'CPED Calc_trial'!$U$15</definedName>
    <definedName name="upperbound_MF">'CPED Calc_trial'!$R$15</definedName>
    <definedName name="upperbound_SF">'CPED Calc_trial'!$Q$15</definedName>
    <definedName name="use_2" localSheetId="0">'CPED Calc_trial'!$I$10</definedName>
    <definedName name="use_3" localSheetId="0">'CPED Calc_trial'!$H$10</definedName>
  </definedNames>
  <calcPr calcId="191028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X39" i="3"/>
  <c r="Y39" i="3" s="1"/>
  <c r="T39" i="3"/>
  <c r="T38" i="3"/>
  <c r="AU38" i="3"/>
  <c r="AO38" i="3"/>
  <c r="AI38" i="3"/>
  <c r="AB38" i="3"/>
  <c r="R12" i="3"/>
  <c r="S12" i="3"/>
  <c r="T12" i="3"/>
  <c r="U12" i="3"/>
  <c r="Q12" i="3"/>
  <c r="O7" i="3" l="1"/>
  <c r="R11" i="3" l="1"/>
  <c r="S11" i="3"/>
  <c r="T11" i="3"/>
  <c r="U11" i="3"/>
  <c r="Q11" i="3"/>
  <c r="V11" i="3"/>
  <c r="V10" i="3"/>
  <c r="D10" i="3"/>
  <c r="D8" i="3"/>
  <c r="V39" i="3" l="1"/>
  <c r="R39" i="3"/>
  <c r="R38" i="3"/>
  <c r="U10" i="3"/>
  <c r="AT38" i="3" s="1"/>
  <c r="AS38" i="3"/>
  <c r="S10" i="3"/>
  <c r="AH38" i="3" s="1"/>
  <c r="AG38" i="3"/>
  <c r="T10" i="3"/>
  <c r="AN38" i="3" s="1"/>
  <c r="AM38" i="3"/>
  <c r="R10" i="3"/>
  <c r="AA38" i="3" s="1"/>
  <c r="Z38" i="3"/>
  <c r="Q10" i="3"/>
  <c r="V12" i="3" s="1"/>
  <c r="D7" i="3"/>
  <c r="H13" i="3" s="1"/>
  <c r="W39" i="3" l="1"/>
  <c r="S39" i="3"/>
  <c r="U39" i="3" s="1"/>
  <c r="S38" i="3"/>
  <c r="AV38" i="3"/>
  <c r="AC38" i="3"/>
  <c r="AP38" i="3"/>
  <c r="AJ38" i="3"/>
  <c r="N38" i="3"/>
  <c r="C38" i="3"/>
  <c r="Y38" i="3" s="1"/>
  <c r="H14" i="3"/>
  <c r="J13" i="3"/>
  <c r="N63" i="3"/>
  <c r="N44" i="3"/>
  <c r="O44" i="3" s="1"/>
  <c r="P44" i="3" s="1"/>
  <c r="J12" i="3"/>
  <c r="B38" i="3" l="1"/>
  <c r="V38" i="3" s="1"/>
  <c r="U38" i="3"/>
  <c r="N45" i="3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O63" i="3"/>
  <c r="P63" i="3" s="1"/>
  <c r="N19" i="3"/>
  <c r="H7" i="3"/>
  <c r="Q38" i="3" l="1"/>
  <c r="O45" i="3"/>
  <c r="P45" i="3" s="1"/>
  <c r="N20" i="3"/>
  <c r="O46" i="3"/>
  <c r="P46" i="3" s="1"/>
  <c r="O19" i="3"/>
  <c r="P19" i="3" s="1"/>
  <c r="BA19" i="3" s="1"/>
  <c r="O38" i="3" l="1"/>
  <c r="P38" i="3" s="1"/>
  <c r="BA38" i="3" s="1"/>
  <c r="O47" i="3"/>
  <c r="P47" i="3" s="1"/>
  <c r="O20" i="3"/>
  <c r="P20" i="3" s="1"/>
  <c r="BA20" i="3" s="1"/>
  <c r="N21" i="3"/>
  <c r="O48" i="3" l="1"/>
  <c r="P48" i="3" s="1"/>
  <c r="O21" i="3"/>
  <c r="P21" i="3" s="1"/>
  <c r="BA21" i="3" s="1"/>
  <c r="N22" i="3"/>
  <c r="O49" i="3" l="1"/>
  <c r="P49" i="3" s="1"/>
  <c r="N23" i="3"/>
  <c r="O22" i="3"/>
  <c r="P22" i="3" s="1"/>
  <c r="BA22" i="3" s="1"/>
  <c r="O50" i="3" l="1"/>
  <c r="P50" i="3" s="1"/>
  <c r="O23" i="3"/>
  <c r="P23" i="3" s="1"/>
  <c r="BA23" i="3" s="1"/>
  <c r="N24" i="3"/>
  <c r="N25" i="3" s="1"/>
  <c r="O51" i="3" l="1"/>
  <c r="P51" i="3" s="1"/>
  <c r="O24" i="3"/>
  <c r="P24" i="3" s="1"/>
  <c r="BA24" i="3" s="1"/>
  <c r="O25" i="3"/>
  <c r="P25" i="3" s="1"/>
  <c r="BA25" i="3" s="1"/>
  <c r="N26" i="3"/>
  <c r="O52" i="3" l="1"/>
  <c r="P52" i="3" s="1"/>
  <c r="O26" i="3"/>
  <c r="P26" i="3" s="1"/>
  <c r="BA26" i="3" s="1"/>
  <c r="N27" i="3"/>
  <c r="O53" i="3" l="1"/>
  <c r="P53" i="3" s="1"/>
  <c r="N28" i="3"/>
  <c r="O27" i="3"/>
  <c r="P27" i="3" s="1"/>
  <c r="BA27" i="3" s="1"/>
  <c r="O54" i="3" l="1"/>
  <c r="P54" i="3" s="1"/>
  <c r="O28" i="3"/>
  <c r="P28" i="3" s="1"/>
  <c r="BA28" i="3" s="1"/>
  <c r="N29" i="3"/>
  <c r="O55" i="3" l="1"/>
  <c r="P55" i="3" s="1"/>
  <c r="O29" i="3"/>
  <c r="P29" i="3" s="1"/>
  <c r="BA29" i="3" s="1"/>
  <c r="N30" i="3"/>
  <c r="O56" i="3" l="1"/>
  <c r="P56" i="3" s="1"/>
  <c r="N31" i="3"/>
  <c r="O30" i="3"/>
  <c r="P30" i="3" s="1"/>
  <c r="BA30" i="3" s="1"/>
  <c r="O57" i="3" l="1"/>
  <c r="P57" i="3" s="1"/>
  <c r="O31" i="3"/>
  <c r="P31" i="3" s="1"/>
  <c r="BA31" i="3" s="1"/>
  <c r="N32" i="3"/>
  <c r="O58" i="3" l="1"/>
  <c r="P58" i="3" s="1"/>
  <c r="N33" i="3"/>
  <c r="O32" i="3"/>
  <c r="P32" i="3" s="1"/>
  <c r="BA32" i="3" s="1"/>
  <c r="O59" i="3" l="1"/>
  <c r="P59" i="3" s="1"/>
  <c r="O33" i="3"/>
  <c r="P33" i="3" s="1"/>
  <c r="BA33" i="3" s="1"/>
  <c r="N34" i="3"/>
  <c r="O60" i="3" l="1"/>
  <c r="P60" i="3" s="1"/>
  <c r="O34" i="3"/>
  <c r="P34" i="3" s="1"/>
  <c r="BA34" i="3" s="1"/>
  <c r="N35" i="3"/>
  <c r="O61" i="3" l="1"/>
  <c r="P61" i="3" s="1"/>
  <c r="N36" i="3"/>
  <c r="O35" i="3"/>
  <c r="P35" i="3" s="1"/>
  <c r="BA35" i="3" s="1"/>
  <c r="O62" i="3" l="1"/>
  <c r="P62" i="3" s="1"/>
  <c r="N37" i="3"/>
  <c r="O36" i="3"/>
  <c r="P36" i="3" s="1"/>
  <c r="BA36" i="3" s="1"/>
  <c r="O37" i="3" l="1"/>
  <c r="P37" i="3" s="1"/>
  <c r="BA37" i="3" s="1"/>
  <c r="C37" i="3"/>
  <c r="C36" i="3"/>
  <c r="C62" i="3"/>
  <c r="I62" i="3" s="1"/>
  <c r="H62" i="3" s="1"/>
  <c r="C35" i="3"/>
  <c r="C61" i="3"/>
  <c r="K61" i="3" s="1"/>
  <c r="J61" i="3" s="1"/>
  <c r="C34" i="3"/>
  <c r="C60" i="3"/>
  <c r="E60" i="3" s="1"/>
  <c r="D60" i="3" s="1"/>
  <c r="C59" i="3"/>
  <c r="C33" i="3"/>
  <c r="C32" i="3"/>
  <c r="C58" i="3"/>
  <c r="K58" i="3" s="1"/>
  <c r="J58" i="3" s="1"/>
  <c r="C57" i="3"/>
  <c r="C31" i="3"/>
  <c r="C56" i="3"/>
  <c r="K56" i="3" s="1"/>
  <c r="J56" i="3" s="1"/>
  <c r="C30" i="3"/>
  <c r="C29" i="3"/>
  <c r="C55" i="3"/>
  <c r="G55" i="3" s="1"/>
  <c r="F55" i="3" s="1"/>
  <c r="C28" i="3"/>
  <c r="C54" i="3"/>
  <c r="I54" i="3" s="1"/>
  <c r="H54" i="3" s="1"/>
  <c r="C27" i="3"/>
  <c r="C53" i="3"/>
  <c r="B53" i="3" s="1"/>
  <c r="C26" i="3"/>
  <c r="C52" i="3"/>
  <c r="G52" i="3" s="1"/>
  <c r="F52" i="3" s="1"/>
  <c r="C24" i="3"/>
  <c r="C25" i="3"/>
  <c r="C51" i="3"/>
  <c r="I51" i="3" s="1"/>
  <c r="H51" i="3" s="1"/>
  <c r="C50" i="3"/>
  <c r="I50" i="3" s="1"/>
  <c r="H50" i="3" s="1"/>
  <c r="C23" i="3"/>
  <c r="C49" i="3"/>
  <c r="I49" i="3" s="1"/>
  <c r="H49" i="3" s="1"/>
  <c r="C48" i="3"/>
  <c r="G48" i="3" s="1"/>
  <c r="F48" i="3" s="1"/>
  <c r="C22" i="3"/>
  <c r="C21" i="3"/>
  <c r="C47" i="3"/>
  <c r="K47" i="3" s="1"/>
  <c r="J47" i="3" s="1"/>
  <c r="C19" i="3"/>
  <c r="E19" i="3" s="1"/>
  <c r="D19" i="3" s="1"/>
  <c r="AF19" i="3" s="1"/>
  <c r="C46" i="3"/>
  <c r="I46" i="3" s="1"/>
  <c r="H46" i="3" s="1"/>
  <c r="C63" i="3"/>
  <c r="I63" i="3" s="1"/>
  <c r="H63" i="3" s="1"/>
  <c r="C20" i="3"/>
  <c r="C44" i="3"/>
  <c r="I44" i="3" s="1"/>
  <c r="H44" i="3" s="1"/>
  <c r="C45" i="3"/>
  <c r="K45" i="3" s="1"/>
  <c r="J45" i="3" s="1"/>
  <c r="K34" i="3" l="1"/>
  <c r="J34" i="3" s="1"/>
  <c r="AX34" i="3" s="1"/>
  <c r="B32" i="3"/>
  <c r="Y32" i="3" s="1"/>
  <c r="G22" i="3"/>
  <c r="F22" i="3" s="1"/>
  <c r="AL22" i="3" s="1"/>
  <c r="C40" i="3"/>
  <c r="E23" i="3"/>
  <c r="D23" i="3" s="1"/>
  <c r="E29" i="3"/>
  <c r="D29" i="3" s="1"/>
  <c r="AF29" i="3" s="1"/>
  <c r="I35" i="3"/>
  <c r="H35" i="3" s="1"/>
  <c r="AR35" i="3" s="1"/>
  <c r="G26" i="3"/>
  <c r="E21" i="3"/>
  <c r="D21" i="3" s="1"/>
  <c r="AF21" i="3" s="1"/>
  <c r="I30" i="3"/>
  <c r="H30" i="3" s="1"/>
  <c r="AR30" i="3" s="1"/>
  <c r="K36" i="3"/>
  <c r="J36" i="3" s="1"/>
  <c r="AX36" i="3" s="1"/>
  <c r="U61" i="3" s="1"/>
  <c r="I33" i="3"/>
  <c r="H33" i="3" s="1"/>
  <c r="AR33" i="3" s="1"/>
  <c r="I20" i="3"/>
  <c r="H20" i="3" s="1"/>
  <c r="AR20" i="3" s="1"/>
  <c r="G25" i="3"/>
  <c r="F25" i="3" s="1"/>
  <c r="AL25" i="3" s="1"/>
  <c r="K31" i="3"/>
  <c r="J31" i="3" s="1"/>
  <c r="AX31" i="3" s="1"/>
  <c r="U56" i="3" s="1"/>
  <c r="G37" i="3"/>
  <c r="F37" i="3" s="1"/>
  <c r="AL37" i="3" s="1"/>
  <c r="I27" i="3"/>
  <c r="H27" i="3" s="1"/>
  <c r="AR27" i="3" s="1"/>
  <c r="I24" i="3"/>
  <c r="H24" i="3" s="1"/>
  <c r="AR24" i="3" s="1"/>
  <c r="T49" i="3" s="1"/>
  <c r="B31" i="3"/>
  <c r="Y31" i="3" s="1"/>
  <c r="B59" i="3"/>
  <c r="B28" i="3"/>
  <c r="Y28" i="3" s="1"/>
  <c r="I45" i="3"/>
  <c r="H45" i="3" s="1"/>
  <c r="E52" i="3"/>
  <c r="D52" i="3" s="1"/>
  <c r="B57" i="3"/>
  <c r="I55" i="3"/>
  <c r="H55" i="3" s="1"/>
  <c r="B26" i="3"/>
  <c r="Y26" i="3" s="1"/>
  <c r="E33" i="3"/>
  <c r="D33" i="3" s="1"/>
  <c r="B61" i="3"/>
  <c r="K29" i="3"/>
  <c r="J29" i="3" s="1"/>
  <c r="B50" i="3"/>
  <c r="E31" i="3"/>
  <c r="D31" i="3" s="1"/>
  <c r="K26" i="3"/>
  <c r="J26" i="3" s="1"/>
  <c r="I31" i="3"/>
  <c r="H31" i="3" s="1"/>
  <c r="AR31" i="3" s="1"/>
  <c r="B27" i="3"/>
  <c r="Y27" i="3" s="1"/>
  <c r="B47" i="3"/>
  <c r="B54" i="3"/>
  <c r="B48" i="3"/>
  <c r="E35" i="3"/>
  <c r="D35" i="3" s="1"/>
  <c r="E48" i="3"/>
  <c r="D48" i="3" s="1"/>
  <c r="I60" i="3"/>
  <c r="H60" i="3" s="1"/>
  <c r="G35" i="3"/>
  <c r="F35" i="3" s="1"/>
  <c r="AL35" i="3" s="1"/>
  <c r="K48" i="3"/>
  <c r="J48" i="3" s="1"/>
  <c r="B34" i="3"/>
  <c r="Y34" i="3" s="1"/>
  <c r="I26" i="3"/>
  <c r="E24" i="3"/>
  <c r="D24" i="3" s="1"/>
  <c r="E63" i="3"/>
  <c r="D63" i="3" s="1"/>
  <c r="I28" i="3"/>
  <c r="H28" i="3" s="1"/>
  <c r="B62" i="3"/>
  <c r="E44" i="3"/>
  <c r="D44" i="3" s="1"/>
  <c r="E20" i="3"/>
  <c r="D20" i="3" s="1"/>
  <c r="K55" i="3"/>
  <c r="J55" i="3" s="1"/>
  <c r="K63" i="3"/>
  <c r="J63" i="3" s="1"/>
  <c r="B51" i="3"/>
  <c r="K28" i="3"/>
  <c r="J28" i="3" s="1"/>
  <c r="B19" i="3"/>
  <c r="Y19" i="3" s="1"/>
  <c r="G24" i="3"/>
  <c r="F24" i="3" s="1"/>
  <c r="AL24" i="3" s="1"/>
  <c r="G49" i="3"/>
  <c r="F49" i="3" s="1"/>
  <c r="B24" i="3"/>
  <c r="Y24" i="3" s="1"/>
  <c r="K60" i="3"/>
  <c r="J60" i="3" s="1"/>
  <c r="G19" i="3"/>
  <c r="F19" i="3" s="1"/>
  <c r="AL19" i="3" s="1"/>
  <c r="B55" i="3"/>
  <c r="K44" i="3"/>
  <c r="J44" i="3" s="1"/>
  <c r="E26" i="3"/>
  <c r="E55" i="3"/>
  <c r="D55" i="3" s="1"/>
  <c r="E56" i="3"/>
  <c r="D56" i="3" s="1"/>
  <c r="G32" i="3"/>
  <c r="E51" i="3"/>
  <c r="D51" i="3" s="1"/>
  <c r="G56" i="3"/>
  <c r="F56" i="3" s="1"/>
  <c r="I65" i="3"/>
  <c r="B22" i="3"/>
  <c r="Y22" i="3" s="1"/>
  <c r="B25" i="3"/>
  <c r="Y25" i="3" s="1"/>
  <c r="K25" i="3"/>
  <c r="J25" i="3" s="1"/>
  <c r="I56" i="3"/>
  <c r="H56" i="3" s="1"/>
  <c r="G31" i="3"/>
  <c r="K33" i="3"/>
  <c r="J33" i="3" s="1"/>
  <c r="G51" i="3"/>
  <c r="F51" i="3" s="1"/>
  <c r="G54" i="3"/>
  <c r="F54" i="3" s="1"/>
  <c r="E28" i="3"/>
  <c r="D28" i="3" s="1"/>
  <c r="AF28" i="3" s="1"/>
  <c r="I29" i="3"/>
  <c r="H29" i="3" s="1"/>
  <c r="E58" i="3"/>
  <c r="D58" i="3" s="1"/>
  <c r="I36" i="3"/>
  <c r="H36" i="3" s="1"/>
  <c r="AR36" i="3" s="1"/>
  <c r="E49" i="3"/>
  <c r="D49" i="3" s="1"/>
  <c r="B44" i="3"/>
  <c r="G44" i="3"/>
  <c r="F44" i="3" s="1"/>
  <c r="E25" i="3"/>
  <c r="I58" i="3"/>
  <c r="H58" i="3" s="1"/>
  <c r="K32" i="3"/>
  <c r="G20" i="3"/>
  <c r="I22" i="3"/>
  <c r="K51" i="3"/>
  <c r="J51" i="3" s="1"/>
  <c r="B20" i="3"/>
  <c r="Y20" i="3" s="1"/>
  <c r="I19" i="3"/>
  <c r="H19" i="3" s="1"/>
  <c r="AR19" i="3" s="1"/>
  <c r="E53" i="3"/>
  <c r="D53" i="3" s="1"/>
  <c r="G28" i="3"/>
  <c r="C65" i="3"/>
  <c r="E22" i="3"/>
  <c r="D22" i="3" s="1"/>
  <c r="AF22" i="3" s="1"/>
  <c r="K49" i="3"/>
  <c r="J49" i="3" s="1"/>
  <c r="K27" i="3"/>
  <c r="J27" i="3" s="1"/>
  <c r="I57" i="3"/>
  <c r="H57" i="3" s="1"/>
  <c r="G60" i="3"/>
  <c r="F60" i="3" s="1"/>
  <c r="F26" i="3"/>
  <c r="AL26" i="3" s="1"/>
  <c r="G38" i="3"/>
  <c r="K57" i="3"/>
  <c r="J57" i="3" s="1"/>
  <c r="G34" i="3"/>
  <c r="K62" i="3"/>
  <c r="J62" i="3" s="1"/>
  <c r="E46" i="3"/>
  <c r="D46" i="3" s="1"/>
  <c r="B23" i="3"/>
  <c r="Y23" i="3" s="1"/>
  <c r="I25" i="3"/>
  <c r="E57" i="3"/>
  <c r="D57" i="3" s="1"/>
  <c r="I59" i="3"/>
  <c r="H59" i="3" s="1"/>
  <c r="I61" i="3"/>
  <c r="H61" i="3" s="1"/>
  <c r="E62" i="3"/>
  <c r="D62" i="3" s="1"/>
  <c r="K37" i="3"/>
  <c r="G45" i="3"/>
  <c r="F45" i="3" s="1"/>
  <c r="I53" i="3"/>
  <c r="H53" i="3" s="1"/>
  <c r="K53" i="3"/>
  <c r="J53" i="3" s="1"/>
  <c r="G57" i="3"/>
  <c r="F57" i="3" s="1"/>
  <c r="E30" i="3"/>
  <c r="B33" i="3"/>
  <c r="Y33" i="3" s="1"/>
  <c r="E59" i="3"/>
  <c r="D59" i="3" s="1"/>
  <c r="I32" i="3"/>
  <c r="G33" i="3"/>
  <c r="G61" i="3"/>
  <c r="F61" i="3" s="1"/>
  <c r="G62" i="3"/>
  <c r="F62" i="3" s="1"/>
  <c r="B37" i="3"/>
  <c r="Y37" i="3" s="1"/>
  <c r="G21" i="3"/>
  <c r="I38" i="3"/>
  <c r="I21" i="3"/>
  <c r="I48" i="3"/>
  <c r="H48" i="3" s="1"/>
  <c r="K22" i="3"/>
  <c r="E50" i="3"/>
  <c r="D50" i="3" s="1"/>
  <c r="K50" i="3"/>
  <c r="J50" i="3" s="1"/>
  <c r="I52" i="3"/>
  <c r="H52" i="3" s="1"/>
  <c r="K52" i="3"/>
  <c r="J52" i="3" s="1"/>
  <c r="B29" i="3"/>
  <c r="Y29" i="3" s="1"/>
  <c r="K30" i="3"/>
  <c r="E34" i="3"/>
  <c r="E37" i="3"/>
  <c r="K38" i="3"/>
  <c r="I23" i="3"/>
  <c r="B45" i="3"/>
  <c r="G53" i="3"/>
  <c r="F53" i="3" s="1"/>
  <c r="E27" i="3"/>
  <c r="K54" i="3"/>
  <c r="J54" i="3" s="1"/>
  <c r="G29" i="3"/>
  <c r="G30" i="3"/>
  <c r="E61" i="3"/>
  <c r="D61" i="3" s="1"/>
  <c r="K35" i="3"/>
  <c r="I37" i="3"/>
  <c r="K21" i="3"/>
  <c r="B46" i="3"/>
  <c r="I47" i="3"/>
  <c r="H47" i="3" s="1"/>
  <c r="G47" i="3"/>
  <c r="F47" i="3" s="1"/>
  <c r="E45" i="3"/>
  <c r="D45" i="3" s="1"/>
  <c r="B63" i="3"/>
  <c r="K19" i="3"/>
  <c r="K46" i="3"/>
  <c r="J46" i="3" s="1"/>
  <c r="G50" i="3"/>
  <c r="F50" i="3" s="1"/>
  <c r="B52" i="3"/>
  <c r="E54" i="3"/>
  <c r="D54" i="3" s="1"/>
  <c r="G27" i="3"/>
  <c r="B30" i="3"/>
  <c r="Y30" i="3" s="1"/>
  <c r="B58" i="3"/>
  <c r="E32" i="3"/>
  <c r="B60" i="3"/>
  <c r="E47" i="3"/>
  <c r="D47" i="3" s="1"/>
  <c r="B35" i="3"/>
  <c r="Y35" i="3" s="1"/>
  <c r="B36" i="3"/>
  <c r="G59" i="3"/>
  <c r="F59" i="3" s="1"/>
  <c r="G46" i="3"/>
  <c r="F46" i="3" s="1"/>
  <c r="G63" i="3"/>
  <c r="G23" i="3"/>
  <c r="K20" i="3"/>
  <c r="B49" i="3"/>
  <c r="K23" i="3"/>
  <c r="K24" i="3"/>
  <c r="B56" i="3"/>
  <c r="G58" i="3"/>
  <c r="F58" i="3" s="1"/>
  <c r="K59" i="3"/>
  <c r="J59" i="3" s="1"/>
  <c r="I34" i="3"/>
  <c r="G36" i="3"/>
  <c r="E36" i="3"/>
  <c r="E38" i="3"/>
  <c r="B21" i="3"/>
  <c r="Y21" i="3" s="1"/>
  <c r="AF20" i="3" l="1"/>
  <c r="R45" i="3" s="1"/>
  <c r="Y36" i="3"/>
  <c r="AF23" i="3"/>
  <c r="R48" i="3" s="1"/>
  <c r="AF33" i="3"/>
  <c r="R58" i="3" s="1"/>
  <c r="Q53" i="3"/>
  <c r="T60" i="3"/>
  <c r="AX29" i="3"/>
  <c r="U54" i="3" s="1"/>
  <c r="Q50" i="3"/>
  <c r="K65" i="3"/>
  <c r="AX27" i="3"/>
  <c r="U52" i="3" s="1"/>
  <c r="T56" i="3"/>
  <c r="AX26" i="3"/>
  <c r="U51" i="3" s="1"/>
  <c r="Q57" i="3"/>
  <c r="T45" i="3"/>
  <c r="L48" i="3"/>
  <c r="S60" i="3"/>
  <c r="AX28" i="3"/>
  <c r="U53" i="3" s="1"/>
  <c r="AF31" i="3"/>
  <c r="R56" i="3" s="1"/>
  <c r="AF35" i="3"/>
  <c r="R60" i="3" s="1"/>
  <c r="T58" i="3"/>
  <c r="AR29" i="3"/>
  <c r="T54" i="3" s="1"/>
  <c r="T55" i="3"/>
  <c r="T52" i="3"/>
  <c r="R46" i="3"/>
  <c r="AX33" i="3"/>
  <c r="U58" i="3" s="1"/>
  <c r="L55" i="3"/>
  <c r="R54" i="3"/>
  <c r="Q51" i="3"/>
  <c r="H26" i="3"/>
  <c r="AR26" i="3" s="1"/>
  <c r="T51" i="3" s="1"/>
  <c r="S49" i="3"/>
  <c r="AF24" i="3"/>
  <c r="R49" i="3" s="1"/>
  <c r="T61" i="3"/>
  <c r="L49" i="3"/>
  <c r="R47" i="3"/>
  <c r="E65" i="3"/>
  <c r="U59" i="3"/>
  <c r="L51" i="3"/>
  <c r="L60" i="3"/>
  <c r="D25" i="3"/>
  <c r="AF25" i="3" s="1"/>
  <c r="R50" i="3" s="1"/>
  <c r="L61" i="3"/>
  <c r="F28" i="3"/>
  <c r="AL28" i="3" s="1"/>
  <c r="S53" i="3" s="1"/>
  <c r="D26" i="3"/>
  <c r="F32" i="3"/>
  <c r="AL32" i="3" s="1"/>
  <c r="S57" i="3" s="1"/>
  <c r="F31" i="3"/>
  <c r="L31" i="3" s="1"/>
  <c r="L44" i="3"/>
  <c r="S51" i="3"/>
  <c r="L58" i="3"/>
  <c r="S62" i="3"/>
  <c r="J32" i="3"/>
  <c r="AX32" i="3" s="1"/>
  <c r="U57" i="3" s="1"/>
  <c r="L56" i="3"/>
  <c r="H22" i="3"/>
  <c r="AR22" i="3" s="1"/>
  <c r="F20" i="3"/>
  <c r="AL20" i="3" s="1"/>
  <c r="S45" i="3" s="1"/>
  <c r="Q48" i="3"/>
  <c r="Q46" i="3"/>
  <c r="R53" i="3"/>
  <c r="Q58" i="3"/>
  <c r="Q60" i="3"/>
  <c r="F27" i="3"/>
  <c r="J23" i="3"/>
  <c r="Q59" i="3"/>
  <c r="Q45" i="3"/>
  <c r="D30" i="3"/>
  <c r="AF30" i="3" s="1"/>
  <c r="K40" i="3"/>
  <c r="J38" i="3"/>
  <c r="AX38" i="3" s="1"/>
  <c r="H37" i="3"/>
  <c r="AR37" i="3" s="1"/>
  <c r="T62" i="3" s="1"/>
  <c r="Q54" i="3"/>
  <c r="J35" i="3"/>
  <c r="L35" i="3" s="1"/>
  <c r="H25" i="3"/>
  <c r="AR25" i="3" s="1"/>
  <c r="T50" i="3" s="1"/>
  <c r="L45" i="3"/>
  <c r="S50" i="3"/>
  <c r="Q56" i="3"/>
  <c r="J22" i="3"/>
  <c r="F30" i="3"/>
  <c r="AL30" i="3" s="1"/>
  <c r="S55" i="3" s="1"/>
  <c r="D34" i="3"/>
  <c r="AF34" i="3" s="1"/>
  <c r="H21" i="3"/>
  <c r="AR21" i="3" s="1"/>
  <c r="T46" i="3" s="1"/>
  <c r="AX25" i="3"/>
  <c r="U50" i="3" s="1"/>
  <c r="D36" i="3"/>
  <c r="AF36" i="3" s="1"/>
  <c r="F23" i="3"/>
  <c r="AL23" i="3" s="1"/>
  <c r="S48" i="3" s="1"/>
  <c r="L46" i="3"/>
  <c r="F29" i="3"/>
  <c r="L29" i="3" s="1"/>
  <c r="J30" i="3"/>
  <c r="AX30" i="3" s="1"/>
  <c r="U55" i="3" s="1"/>
  <c r="H38" i="3"/>
  <c r="AR38" i="3" s="1"/>
  <c r="I40" i="3"/>
  <c r="L53" i="3"/>
  <c r="Q62" i="3"/>
  <c r="Q52" i="3"/>
  <c r="L47" i="3"/>
  <c r="Q55" i="3"/>
  <c r="F36" i="3"/>
  <c r="AL36" i="3" s="1"/>
  <c r="S61" i="3" s="1"/>
  <c r="F63" i="3"/>
  <c r="L63" i="3" s="1"/>
  <c r="G65" i="3"/>
  <c r="D32" i="3"/>
  <c r="AF32" i="3" s="1"/>
  <c r="J19" i="3"/>
  <c r="L19" i="3" s="1"/>
  <c r="L54" i="3"/>
  <c r="F21" i="3"/>
  <c r="AL21" i="3" s="1"/>
  <c r="S46" i="3" s="1"/>
  <c r="S47" i="3"/>
  <c r="J21" i="3"/>
  <c r="AX21" i="3" s="1"/>
  <c r="U46" i="3" s="1"/>
  <c r="J24" i="3"/>
  <c r="L24" i="3" s="1"/>
  <c r="D37" i="3"/>
  <c r="AF37" i="3" s="1"/>
  <c r="F38" i="3"/>
  <c r="AK38" i="3" s="1"/>
  <c r="G40" i="3"/>
  <c r="J20" i="3"/>
  <c r="H34" i="3"/>
  <c r="AR34" i="3" s="1"/>
  <c r="T59" i="3" s="1"/>
  <c r="D27" i="3"/>
  <c r="AF27" i="3" s="1"/>
  <c r="R52" i="3" s="1"/>
  <c r="L59" i="3"/>
  <c r="L62" i="3"/>
  <c r="D38" i="3"/>
  <c r="AE38" i="3" s="1"/>
  <c r="E40" i="3"/>
  <c r="L52" i="3"/>
  <c r="L50" i="3"/>
  <c r="J37" i="3"/>
  <c r="AX37" i="3" s="1"/>
  <c r="U62" i="3" s="1"/>
  <c r="F34" i="3"/>
  <c r="AL34" i="3" s="1"/>
  <c r="S59" i="3" s="1"/>
  <c r="Q47" i="3"/>
  <c r="AR28" i="3"/>
  <c r="T53" i="3" s="1"/>
  <c r="F33" i="3"/>
  <c r="L33" i="3" s="1"/>
  <c r="Q49" i="3"/>
  <c r="H23" i="3"/>
  <c r="AR23" i="3" s="1"/>
  <c r="T48" i="3" s="1"/>
  <c r="H32" i="3"/>
  <c r="AR32" i="3" s="1"/>
  <c r="T57" i="3" s="1"/>
  <c r="L57" i="3"/>
  <c r="AZ32" i="3" l="1"/>
  <c r="AZ34" i="3"/>
  <c r="AZ30" i="3"/>
  <c r="AY30" i="3" s="1"/>
  <c r="AZ36" i="3"/>
  <c r="AY36" i="3" s="1"/>
  <c r="AZ37" i="3"/>
  <c r="AF38" i="3"/>
  <c r="R63" i="3" s="1"/>
  <c r="AD38" i="3"/>
  <c r="Q63" i="3"/>
  <c r="T63" i="3"/>
  <c r="AQ38" i="3"/>
  <c r="AL38" i="3"/>
  <c r="S63" i="3" s="1"/>
  <c r="Q61" i="3"/>
  <c r="AZ28" i="3"/>
  <c r="AY28" i="3" s="1"/>
  <c r="U63" i="3"/>
  <c r="AW38" i="3"/>
  <c r="AZ21" i="3"/>
  <c r="AY21" i="3" s="1"/>
  <c r="AZ25" i="3"/>
  <c r="AY25" i="3" s="1"/>
  <c r="L22" i="3"/>
  <c r="AX35" i="3"/>
  <c r="U60" i="3" s="1"/>
  <c r="AL31" i="3"/>
  <c r="L20" i="3"/>
  <c r="L26" i="3"/>
  <c r="AF26" i="3"/>
  <c r="AL29" i="3"/>
  <c r="L23" i="3"/>
  <c r="L30" i="3"/>
  <c r="L28" i="3"/>
  <c r="AL33" i="3"/>
  <c r="L25" i="3"/>
  <c r="L27" i="3"/>
  <c r="T47" i="3"/>
  <c r="AX19" i="3"/>
  <c r="AZ19" i="3" s="1"/>
  <c r="AX24" i="3"/>
  <c r="U49" i="3" s="1"/>
  <c r="L38" i="3"/>
  <c r="AX22" i="3"/>
  <c r="U47" i="3" s="1"/>
  <c r="L21" i="3"/>
  <c r="L32" i="3"/>
  <c r="R62" i="3"/>
  <c r="AY37" i="3"/>
  <c r="R55" i="3"/>
  <c r="R61" i="3"/>
  <c r="R57" i="3"/>
  <c r="AY32" i="3"/>
  <c r="R59" i="3"/>
  <c r="AY34" i="3"/>
  <c r="AL27" i="3"/>
  <c r="S52" i="3" s="1"/>
  <c r="L37" i="3"/>
  <c r="L34" i="3"/>
  <c r="L36" i="3"/>
  <c r="AX20" i="3"/>
  <c r="AZ20" i="3" s="1"/>
  <c r="AX23" i="3"/>
  <c r="U48" i="3" s="1"/>
  <c r="AZ38" i="3" l="1"/>
  <c r="AY38" i="3" s="1"/>
  <c r="AZ23" i="3"/>
  <c r="AZ35" i="3"/>
  <c r="AY35" i="3" s="1"/>
  <c r="S56" i="3"/>
  <c r="AZ31" i="3"/>
  <c r="AY31" i="3" s="1"/>
  <c r="S58" i="3"/>
  <c r="AZ33" i="3"/>
  <c r="AY33" i="3" s="1"/>
  <c r="S54" i="3"/>
  <c r="AZ29" i="3"/>
  <c r="AY29" i="3" s="1"/>
  <c r="AZ26" i="3"/>
  <c r="AY26" i="3" s="1"/>
  <c r="AZ24" i="3"/>
  <c r="AY24" i="3" s="1"/>
  <c r="AZ27" i="3"/>
  <c r="AY27" i="3" s="1"/>
  <c r="AZ22" i="3"/>
  <c r="AY22" i="3" s="1"/>
  <c r="R51" i="3"/>
  <c r="U45" i="3"/>
  <c r="AY20" i="3"/>
  <c r="AY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tc={03C90890-4810-43B6-8CF5-E504F9C79B2D}</author>
    <author>tc={A85D0A2C-5470-4799-AC19-014C2FAB88B6}</author>
    <author>tc={B7D09D5A-B054-412B-847E-F2F3C8745C48}</author>
  </authors>
  <commentList>
    <comment ref="Q12" authorId="0" shapeId="0" xr:uid="{03C90890-4810-43B6-8CF5-E504F9C79B2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normal year demand (1 MAF) but the test's timestep corresponds to the dry year demand of 1.5 MAF, input to cell O6</t>
      </text>
    </comment>
    <comment ref="R38" authorId="1" shapeId="0" xr:uid="{A85D0A2C-5470-4799-AC19-014C2FAB88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calculates values if the shortage is within the loss boundaries</t>
      </text>
    </comment>
    <comment ref="R39" authorId="2" shapeId="0" xr:uid="{B7D09D5A-B054-412B-847E-F2F3C8745C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calculates values if the shortage is above the upper loss boundaries</t>
      </text>
    </comment>
  </commentList>
</comments>
</file>

<file path=xl/sharedStrings.xml><?xml version="1.0" encoding="utf-8"?>
<sst xmlns="http://schemas.openxmlformats.org/spreadsheetml/2006/main" count="133" uniqueCount="80">
  <si>
    <t>Demand Curve Analysis [CPED:  Quantity = Constant of integration*(price^elasticity)]</t>
  </si>
  <si>
    <t>SDBSIM parameters:</t>
  </si>
  <si>
    <t>.15 to .32</t>
  </si>
  <si>
    <t>.8 for ag</t>
  </si>
  <si>
    <t>30% for ag</t>
  </si>
  <si>
    <t>after cutoffs, remaining shortage valued at $3000</t>
  </si>
  <si>
    <t>Demand hardening adjustment factor</t>
  </si>
  <si>
    <t>Agency parameters</t>
  </si>
  <si>
    <t>Use type parameters</t>
  </si>
  <si>
    <t>base demand:</t>
  </si>
  <si>
    <t>SF</t>
  </si>
  <si>
    <t>MF</t>
  </si>
  <si>
    <t>IND</t>
  </si>
  <si>
    <t>COM</t>
  </si>
  <si>
    <t>LNDSCP</t>
  </si>
  <si>
    <t>(calculated)</t>
  </si>
  <si>
    <t>coeff</t>
  </si>
  <si>
    <t>(input data)</t>
  </si>
  <si>
    <t>elasticity</t>
  </si>
  <si>
    <t>(set)</t>
  </si>
  <si>
    <t>cut ratio</t>
  </si>
  <si>
    <t>$/AF</t>
  </si>
  <si>
    <t>(internal calc)</t>
  </si>
  <si>
    <t>base use</t>
  </si>
  <si>
    <t>AF</t>
  </si>
  <si>
    <t>Constant of integration</t>
  </si>
  <si>
    <t>Total available supply to meet shortage</t>
  </si>
  <si>
    <t>Shortage volume</t>
  </si>
  <si>
    <t>use by type percentage (customer size)</t>
  </si>
  <si>
    <t>Actual Shortage</t>
  </si>
  <si>
    <t>Adjusted Applied shortage</t>
  </si>
  <si>
    <t>lower boundary (%shortage)</t>
  </si>
  <si>
    <t>Adjusted Applied shortage volume</t>
  </si>
  <si>
    <t>upper boundary (%shortage)</t>
  </si>
  <si>
    <t>iterations N</t>
  </si>
  <si>
    <t>year i=1 to i=I</t>
  </si>
  <si>
    <t>Adjusted Shortages by Use Type</t>
  </si>
  <si>
    <t>Loss Calculations--based on adjusted shortages</t>
  </si>
  <si>
    <t>SF shortage (AF)</t>
  </si>
  <si>
    <t>SF shortage (%)</t>
  </si>
  <si>
    <t>MF shortage (AF)</t>
  </si>
  <si>
    <t>MF shortage (%)</t>
  </si>
  <si>
    <t>IND shortage (AF)</t>
  </si>
  <si>
    <t>IND shortage (%)</t>
  </si>
  <si>
    <t>COM shortage (AF)</t>
  </si>
  <si>
    <t>COM shortage (%)</t>
  </si>
  <si>
    <t>LNDSCP shortage (AF)</t>
  </si>
  <si>
    <t>LNDSCP shortage (%)</t>
  </si>
  <si>
    <t>Total shortage</t>
  </si>
  <si>
    <t>Shortage % (set %)</t>
  </si>
  <si>
    <t>Constrained use (AF)</t>
  </si>
  <si>
    <t>foregone use (AF)</t>
  </si>
  <si>
    <t>single family residential Loss ($)</t>
  </si>
  <si>
    <t>multi-family residential Loss ($)</t>
  </si>
  <si>
    <t>industrial customer  Loss ($)</t>
  </si>
  <si>
    <t>commercial customer loss ($)</t>
  </si>
  <si>
    <t>landscape  loss ($)</t>
  </si>
  <si>
    <t xml:space="preserve">$/AF </t>
  </si>
  <si>
    <t>sum of losses_  year 1 ($)</t>
  </si>
  <si>
    <t>Volume of contingent water supply</t>
  </si>
  <si>
    <t>CHECK--ratios compared to SF</t>
  </si>
  <si>
    <t>Actual Shortages by Use Type</t>
  </si>
  <si>
    <t>Actual shortages</t>
  </si>
  <si>
    <t>Loss calculation per actual AF of shortage</t>
  </si>
  <si>
    <t>Long-term WMO Conservation as % of Demand</t>
  </si>
  <si>
    <t>Hardening factor</t>
  </si>
  <si>
    <t>Retail price</t>
  </si>
  <si>
    <t>baseConservationAsPercentOfDemand</t>
  </si>
  <si>
    <t>applied demand:</t>
  </si>
  <si>
    <t>base use by type normal year (AF)</t>
  </si>
  <si>
    <t>base use by type dry year (AF)</t>
  </si>
  <si>
    <t>exponent</t>
  </si>
  <si>
    <t>b</t>
  </si>
  <si>
    <t>a</t>
  </si>
  <si>
    <t>c</t>
  </si>
  <si>
    <t>d</t>
  </si>
  <si>
    <t>e</t>
  </si>
  <si>
    <t>NOTE: Python test file specifies which cell each test variable is in so if you change any rows/columns please update the Python test file accordingly</t>
  </si>
  <si>
    <t>Yellow indicates variable included in Python unit test file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</si>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</sst>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0.0%"/>
    <numFmt numFmtId="167" formatCode="_(&quot;$&quot;* #,##0_);_(&quot;$&quot;* \(#,##0\);_(&quot;$&quot;* &quot;-&quot;??_);_(@_)"/>
    <numFmt numFmtId="168" formatCode="_(* #,##0_);_(* \(#,##0\);_(* &quot;-&quot;??_);_(@_)"/>
    <numFmt numFmtId="169" formatCode="0.0000%"/>
    <numFmt numFmtId="170" formatCode="_(* #,##0.0000_);_(* \(#,##0.0000\);_(* &quot;-&quot;??_);_(@_)"/>
    <numFmt numFmtId="171" formatCode="0.00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0" fillId="2" borderId="0" xfId="0" applyNumberFormat="1" applyFill="1" applyAlignment="1">
      <alignment vertical="top"/>
    </xf>
    <xf numFmtId="9" fontId="2" fillId="0" borderId="0" xfId="3" applyFont="1" applyFill="1" applyBorder="1" applyAlignment="1">
      <alignment horizontal="center" vertical="top"/>
    </xf>
    <xf numFmtId="6" fontId="2" fillId="0" borderId="0" xfId="0" quotePrefix="1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0" applyFont="1"/>
    <xf numFmtId="0" fontId="0" fillId="0" borderId="3" xfId="0" applyBorder="1"/>
    <xf numFmtId="0" fontId="0" fillId="3" borderId="2" xfId="0" applyFill="1" applyBorder="1"/>
    <xf numFmtId="0" fontId="0" fillId="3" borderId="2" xfId="0" applyFill="1" applyBorder="1" applyAlignment="1">
      <alignment vertical="top"/>
    </xf>
    <xf numFmtId="0" fontId="0" fillId="3" borderId="3" xfId="0" applyFill="1" applyBorder="1"/>
    <xf numFmtId="0" fontId="0" fillId="3" borderId="1" xfId="0" applyFill="1" applyBorder="1"/>
    <xf numFmtId="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7" fillId="0" borderId="0" xfId="0" applyFont="1" applyAlignment="1">
      <alignment horizontal="center" wrapText="1"/>
    </xf>
    <xf numFmtId="0" fontId="2" fillId="0" borderId="4" xfId="0" applyFont="1" applyBorder="1"/>
    <xf numFmtId="0" fontId="0" fillId="0" borderId="5" xfId="0" applyBorder="1"/>
    <xf numFmtId="0" fontId="2" fillId="0" borderId="7" xfId="0" applyFont="1" applyBorder="1"/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top"/>
    </xf>
    <xf numFmtId="2" fontId="2" fillId="0" borderId="5" xfId="0" applyNumberFormat="1" applyFont="1" applyBorder="1" applyAlignment="1">
      <alignment horizontal="center" vertical="top"/>
    </xf>
    <xf numFmtId="9" fontId="2" fillId="0" borderId="8" xfId="3" applyFont="1" applyFill="1" applyBorder="1" applyAlignment="1">
      <alignment horizontal="center" vertical="top"/>
    </xf>
    <xf numFmtId="2" fontId="2" fillId="0" borderId="8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6" fontId="2" fillId="0" borderId="2" xfId="0" quotePrefix="1" applyNumberFormat="1" applyFont="1" applyBorder="1" applyAlignment="1">
      <alignment horizontal="center" vertical="top" wrapText="1"/>
    </xf>
    <xf numFmtId="6" fontId="2" fillId="0" borderId="5" xfId="0" quotePrefix="1" applyNumberFormat="1" applyFont="1" applyBorder="1" applyAlignment="1">
      <alignment horizontal="center" vertical="top" wrapText="1"/>
    </xf>
    <xf numFmtId="164" fontId="0" fillId="2" borderId="8" xfId="0" applyNumberFormat="1" applyFill="1" applyBorder="1" applyAlignment="1">
      <alignment vertical="top"/>
    </xf>
    <xf numFmtId="0" fontId="0" fillId="0" borderId="0" xfId="0" applyAlignment="1">
      <alignment vertical="top" wrapText="1"/>
    </xf>
    <xf numFmtId="4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/>
    <xf numFmtId="3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0" fontId="0" fillId="0" borderId="6" xfId="0" applyBorder="1"/>
    <xf numFmtId="167" fontId="0" fillId="0" borderId="0" xfId="2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7" fontId="0" fillId="0" borderId="0" xfId="2" applyNumberFormat="1" applyFont="1" applyAlignment="1">
      <alignment vertical="top"/>
    </xf>
    <xf numFmtId="166" fontId="0" fillId="0" borderId="0" xfId="0" applyNumberFormat="1"/>
    <xf numFmtId="166" fontId="0" fillId="0" borderId="1" xfId="0" applyNumberFormat="1" applyBorder="1"/>
    <xf numFmtId="9" fontId="0" fillId="0" borderId="0" xfId="3" applyFont="1" applyFill="1" applyBorder="1"/>
    <xf numFmtId="168" fontId="0" fillId="0" borderId="8" xfId="1" applyNumberFormat="1" applyFont="1" applyFill="1" applyBorder="1"/>
    <xf numFmtId="168" fontId="0" fillId="0" borderId="0" xfId="1" applyNumberFormat="1" applyFont="1" applyFill="1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8" fontId="0" fillId="0" borderId="7" xfId="1" applyNumberFormat="1" applyFont="1" applyFill="1" applyBorder="1"/>
    <xf numFmtId="168" fontId="2" fillId="0" borderId="10" xfId="1" applyNumberFormat="1" applyFont="1" applyBorder="1" applyAlignment="1">
      <alignment wrapText="1"/>
    </xf>
    <xf numFmtId="0" fontId="0" fillId="0" borderId="4" xfId="0" applyBorder="1"/>
    <xf numFmtId="9" fontId="0" fillId="0" borderId="1" xfId="0" applyNumberFormat="1" applyBorder="1"/>
    <xf numFmtId="164" fontId="0" fillId="5" borderId="0" xfId="0" applyNumberFormat="1" applyFill="1" applyAlignment="1">
      <alignment vertical="top"/>
    </xf>
    <xf numFmtId="168" fontId="0" fillId="0" borderId="0" xfId="1" applyNumberFormat="1" applyFont="1" applyFill="1" applyAlignment="1">
      <alignment vertical="top"/>
    </xf>
    <xf numFmtId="0" fontId="2" fillId="4" borderId="7" xfId="0" applyFont="1" applyFill="1" applyBorder="1"/>
    <xf numFmtId="0" fontId="2" fillId="4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0" fontId="1" fillId="0" borderId="0" xfId="0" applyFont="1"/>
    <xf numFmtId="168" fontId="1" fillId="4" borderId="3" xfId="1" applyNumberFormat="1" applyFont="1" applyFill="1" applyBorder="1"/>
    <xf numFmtId="9" fontId="1" fillId="4" borderId="1" xfId="3" applyFont="1" applyFill="1" applyBorder="1"/>
    <xf numFmtId="168" fontId="1" fillId="4" borderId="1" xfId="1" applyNumberFormat="1" applyFont="1" applyFill="1" applyBorder="1"/>
    <xf numFmtId="168" fontId="1" fillId="4" borderId="6" xfId="1" applyNumberFormat="1" applyFont="1" applyFill="1" applyBorder="1"/>
    <xf numFmtId="0" fontId="1" fillId="0" borderId="2" xfId="0" applyFont="1" applyBorder="1"/>
    <xf numFmtId="44" fontId="1" fillId="0" borderId="0" xfId="2" applyFont="1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" xfId="0" applyFont="1" applyBorder="1" applyAlignment="1">
      <alignment wrapText="1"/>
    </xf>
    <xf numFmtId="0" fontId="2" fillId="0" borderId="12" xfId="0" applyFont="1" applyBorder="1"/>
    <xf numFmtId="2" fontId="0" fillId="0" borderId="16" xfId="0" applyNumberFormat="1" applyBorder="1"/>
    <xf numFmtId="165" fontId="0" fillId="0" borderId="16" xfId="0" applyNumberFormat="1" applyBorder="1"/>
    <xf numFmtId="0" fontId="2" fillId="0" borderId="15" xfId="0" applyFont="1" applyBorder="1"/>
    <xf numFmtId="164" fontId="1" fillId="0" borderId="16" xfId="0" applyNumberFormat="1" applyFont="1" applyBorder="1"/>
    <xf numFmtId="4" fontId="1" fillId="0" borderId="16" xfId="0" applyNumberFormat="1" applyFont="1" applyBorder="1"/>
    <xf numFmtId="9" fontId="0" fillId="0" borderId="0" xfId="0" applyNumberFormat="1"/>
    <xf numFmtId="0" fontId="7" fillId="0" borderId="16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9" fontId="1" fillId="6" borderId="1" xfId="3" applyFont="1" applyFill="1" applyBorder="1"/>
    <xf numFmtId="168" fontId="1" fillId="6" borderId="1" xfId="1" applyNumberFormat="1" applyFont="1" applyFill="1" applyBorder="1"/>
    <xf numFmtId="0" fontId="1" fillId="0" borderId="15" xfId="0" applyFont="1" applyBorder="1"/>
    <xf numFmtId="2" fontId="2" fillId="7" borderId="0" xfId="0" applyNumberFormat="1" applyFont="1" applyFill="1" applyAlignment="1">
      <alignment horizontal="center" vertical="top"/>
    </xf>
    <xf numFmtId="2" fontId="2" fillId="7" borderId="8" xfId="0" applyNumberFormat="1" applyFont="1" applyFill="1" applyBorder="1" applyAlignment="1">
      <alignment horizontal="center" vertical="top"/>
    </xf>
    <xf numFmtId="166" fontId="0" fillId="7" borderId="16" xfId="0" applyNumberFormat="1" applyFill="1" applyBorder="1"/>
    <xf numFmtId="9" fontId="0" fillId="7" borderId="16" xfId="0" applyNumberFormat="1" applyFill="1" applyBorder="1"/>
    <xf numFmtId="164" fontId="0" fillId="7" borderId="0" xfId="0" applyNumberFormat="1" applyFill="1"/>
    <xf numFmtId="0" fontId="2" fillId="8" borderId="15" xfId="0" applyFont="1" applyFill="1" applyBorder="1"/>
    <xf numFmtId="0" fontId="0" fillId="8" borderId="0" xfId="0" applyFill="1"/>
    <xf numFmtId="0" fontId="6" fillId="8" borderId="15" xfId="0" applyFont="1" applyFill="1" applyBorder="1"/>
    <xf numFmtId="0" fontId="5" fillId="8" borderId="0" xfId="0" applyFont="1" applyFill="1"/>
    <xf numFmtId="2" fontId="5" fillId="8" borderId="0" xfId="0" applyNumberFormat="1" applyFont="1" applyFill="1"/>
    <xf numFmtId="164" fontId="6" fillId="8" borderId="0" xfId="0" applyNumberFormat="1" applyFont="1" applyFill="1" applyAlignment="1">
      <alignment horizontal="center"/>
    </xf>
    <xf numFmtId="165" fontId="5" fillId="8" borderId="0" xfId="0" applyNumberFormat="1" applyFont="1" applyFill="1"/>
    <xf numFmtId="164" fontId="3" fillId="8" borderId="0" xfId="0" applyNumberFormat="1" applyFont="1" applyFill="1" applyAlignment="1">
      <alignment horizontal="center"/>
    </xf>
    <xf numFmtId="3" fontId="0" fillId="8" borderId="0" xfId="0" applyNumberFormat="1" applyFill="1"/>
    <xf numFmtId="166" fontId="0" fillId="7" borderId="0" xfId="0" applyNumberFormat="1" applyFill="1" applyBorder="1"/>
    <xf numFmtId="2" fontId="2" fillId="7" borderId="1" xfId="0" applyNumberFormat="1" applyFont="1" applyFill="1" applyBorder="1" applyAlignment="1">
      <alignment horizontal="center" vertical="top"/>
    </xf>
    <xf numFmtId="2" fontId="2" fillId="7" borderId="6" xfId="0" applyNumberFormat="1" applyFont="1" applyFill="1" applyBorder="1" applyAlignment="1">
      <alignment horizontal="center" vertical="top"/>
    </xf>
    <xf numFmtId="0" fontId="2" fillId="8" borderId="17" xfId="0" applyFont="1" applyFill="1" applyBorder="1"/>
    <xf numFmtId="164" fontId="3" fillId="8" borderId="18" xfId="0" applyNumberFormat="1" applyFont="1" applyFill="1" applyBorder="1" applyAlignment="1">
      <alignment horizontal="center"/>
    </xf>
    <xf numFmtId="3" fontId="1" fillId="8" borderId="18" xfId="0" applyNumberFormat="1" applyFont="1" applyFill="1" applyBorder="1"/>
    <xf numFmtId="0" fontId="0" fillId="9" borderId="0" xfId="0" applyFill="1"/>
    <xf numFmtId="168" fontId="2" fillId="9" borderId="2" xfId="1" applyNumberFormat="1" applyFont="1" applyFill="1" applyBorder="1" applyAlignment="1">
      <alignment horizontal="center"/>
    </xf>
    <xf numFmtId="168" fontId="2" fillId="6" borderId="0" xfId="1" applyNumberFormat="1" applyFont="1" applyFill="1" applyAlignment="1">
      <alignment horizontal="center" vertical="top"/>
    </xf>
    <xf numFmtId="168" fontId="2" fillId="6" borderId="8" xfId="1" applyNumberFormat="1" applyFont="1" applyFill="1" applyBorder="1" applyAlignment="1">
      <alignment horizontal="center" vertical="top"/>
    </xf>
    <xf numFmtId="170" fontId="0" fillId="0" borderId="0" xfId="0" applyNumberFormat="1"/>
    <xf numFmtId="168" fontId="0" fillId="9" borderId="0" xfId="1" applyNumberFormat="1" applyFont="1" applyFill="1"/>
    <xf numFmtId="169" fontId="0" fillId="9" borderId="16" xfId="0" applyNumberFormat="1" applyFill="1" applyBorder="1"/>
    <xf numFmtId="168" fontId="1" fillId="9" borderId="3" xfId="1" applyNumberFormat="1" applyFont="1" applyFill="1" applyBorder="1"/>
    <xf numFmtId="0" fontId="0" fillId="0" borderId="14" xfId="0" applyFill="1" applyBorder="1"/>
    <xf numFmtId="1" fontId="2" fillId="0" borderId="0" xfId="0" applyNumberFormat="1" applyFont="1" applyAlignment="1">
      <alignment horizontal="center" vertical="top"/>
    </xf>
    <xf numFmtId="168" fontId="2" fillId="0" borderId="0" xfId="1" applyNumberFormat="1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2" fillId="8" borderId="0" xfId="0" applyFont="1" applyFill="1" applyBorder="1"/>
    <xf numFmtId="164" fontId="3" fillId="8" borderId="0" xfId="0" applyNumberFormat="1" applyFont="1" applyFill="1" applyBorder="1" applyAlignment="1">
      <alignment horizontal="center"/>
    </xf>
    <xf numFmtId="3" fontId="1" fillId="8" borderId="0" xfId="0" applyNumberFormat="1" applyFont="1" applyFill="1" applyBorder="1"/>
    <xf numFmtId="0" fontId="7" fillId="0" borderId="0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171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vertical="top"/>
    </xf>
    <xf numFmtId="168" fontId="0" fillId="0" borderId="0" xfId="1" applyNumberFormat="1" applyFont="1" applyAlignment="1">
      <alignment vertical="top"/>
    </xf>
    <xf numFmtId="168" fontId="1" fillId="9" borderId="1" xfId="1" applyNumberFormat="1" applyFont="1" applyFill="1" applyBorder="1"/>
    <xf numFmtId="0" fontId="0" fillId="0" borderId="0" xfId="0" applyFont="1" applyAlignment="1">
      <alignment vertical="top"/>
    </xf>
    <xf numFmtId="164" fontId="0" fillId="9" borderId="0" xfId="0" applyNumberFormat="1" applyFill="1" applyAlignment="1">
      <alignment vertical="top"/>
    </xf>
    <xf numFmtId="0" fontId="8" fillId="0" borderId="0" xfId="0" applyFont="1"/>
    <xf numFmtId="0" fontId="1" fillId="9" borderId="0" xfId="0" applyFont="1" applyFill="1"/>
    <xf numFmtId="0" fontId="1" fillId="0" borderId="0" xfId="0" quotePrefix="1" applyFont="1" applyAlignment="1">
      <alignment vertical="top"/>
    </xf>
    <xf numFmtId="164" fontId="1" fillId="9" borderId="0" xfId="0" quotePrefix="1" applyNumberFormat="1" applyFont="1" applyFill="1" applyAlignment="1">
      <alignment vertical="top"/>
    </xf>
    <xf numFmtId="169" fontId="0" fillId="9" borderId="0" xfId="0" applyNumberFormat="1" applyFill="1"/>
    <xf numFmtId="169" fontId="1" fillId="9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shortage losses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total losses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'CPED Calc_trial'!$P$19:$P$38</c:f>
              <c:numCache>
                <c:formatCode>0</c:formatCode>
                <c:ptCount val="20"/>
                <c:pt idx="0">
                  <c:v>0</c:v>
                </c:pt>
                <c:pt idx="1">
                  <c:v>69196.133479706245</c:v>
                </c:pt>
                <c:pt idx="2">
                  <c:v>138392.26695941272</c:v>
                </c:pt>
                <c:pt idx="3">
                  <c:v>207588.40043911897</c:v>
                </c:pt>
                <c:pt idx="4">
                  <c:v>276784.53391882544</c:v>
                </c:pt>
                <c:pt idx="5">
                  <c:v>345980.66739853169</c:v>
                </c:pt>
                <c:pt idx="6">
                  <c:v>415176.80087823793</c:v>
                </c:pt>
                <c:pt idx="7">
                  <c:v>484372.93435794441</c:v>
                </c:pt>
                <c:pt idx="8">
                  <c:v>553569.06783765077</c:v>
                </c:pt>
                <c:pt idx="9">
                  <c:v>622765.20131735713</c:v>
                </c:pt>
                <c:pt idx="10">
                  <c:v>691961.33479706338</c:v>
                </c:pt>
                <c:pt idx="11">
                  <c:v>761157.46827676974</c:v>
                </c:pt>
                <c:pt idx="12">
                  <c:v>830353.6017564761</c:v>
                </c:pt>
                <c:pt idx="13">
                  <c:v>899549.73523618234</c:v>
                </c:pt>
                <c:pt idx="14">
                  <c:v>968745.86871588859</c:v>
                </c:pt>
                <c:pt idx="15">
                  <c:v>1037942.0021955948</c:v>
                </c:pt>
                <c:pt idx="16">
                  <c:v>1107138.1356753011</c:v>
                </c:pt>
                <c:pt idx="17">
                  <c:v>1176334.2691550073</c:v>
                </c:pt>
                <c:pt idx="18">
                  <c:v>1245530.4026347136</c:v>
                </c:pt>
                <c:pt idx="19">
                  <c:v>1383922.6695941268</c:v>
                </c:pt>
              </c:numCache>
            </c:numRef>
          </c:cat>
          <c:val>
            <c:numRef>
              <c:f>'CPED Calc_trial'!$AZ$19:$AZ$38</c:f>
              <c:numCache>
                <c:formatCode>"$"#,##0</c:formatCode>
                <c:ptCount val="20"/>
                <c:pt idx="0">
                  <c:v>0</c:v>
                </c:pt>
                <c:pt idx="1">
                  <c:v>49058502.392924607</c:v>
                </c:pt>
                <c:pt idx="2">
                  <c:v>107548140.87291643</c:v>
                </c:pt>
                <c:pt idx="3">
                  <c:v>177781681.71136856</c:v>
                </c:pt>
                <c:pt idx="4">
                  <c:v>262772154.91537166</c:v>
                </c:pt>
                <c:pt idx="5">
                  <c:v>366491430.72424567</c:v>
                </c:pt>
                <c:pt idx="6">
                  <c:v>494245158.94430643</c:v>
                </c:pt>
                <c:pt idx="7">
                  <c:v>653228433.90731168</c:v>
                </c:pt>
                <c:pt idx="8">
                  <c:v>853371068.88973713</c:v>
                </c:pt>
                <c:pt idx="9">
                  <c:v>1108665366.9296954</c:v>
                </c:pt>
                <c:pt idx="10">
                  <c:v>1439338897.8280289</c:v>
                </c:pt>
                <c:pt idx="11">
                  <c:v>1875608810.4274888</c:v>
                </c:pt>
                <c:pt idx="12">
                  <c:v>2464680250.0551219</c:v>
                </c:pt>
                <c:pt idx="13">
                  <c:v>3136169175.4372315</c:v>
                </c:pt>
                <c:pt idx="14">
                  <c:v>3997692702.3955197</c:v>
                </c:pt>
                <c:pt idx="15">
                  <c:v>5205177019.6790686</c:v>
                </c:pt>
                <c:pt idx="16">
                  <c:v>6942461766.0623312</c:v>
                </c:pt>
                <c:pt idx="17">
                  <c:v>9520867655.2637615</c:v>
                </c:pt>
                <c:pt idx="18">
                  <c:v>13493246564.177263</c:v>
                </c:pt>
                <c:pt idx="19">
                  <c:v>26403482129.485783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774-9E9D-28BE1FB6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732072"/>
        <c:axId val="1"/>
      </c:barChart>
      <c:catAx>
        <c:axId val="657732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732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675217</xdr:colOff>
      <xdr:row>0</xdr:row>
      <xdr:rowOff>0</xdr:rowOff>
    </xdr:from>
    <xdr:to>
      <xdr:col>29</xdr:col>
      <xdr:colOff>994834</xdr:colOff>
      <xdr:row>14</xdr:row>
      <xdr:rowOff>296333</xdr:rowOff>
    </xdr:to>
    <xdr:graphicFrame macro="">
      <xdr:nvGraphicFramePr>
        <xdr:cNvPr id="24105" name="Chart 4">
          <a:extLst>
            <a:ext uri="{FF2B5EF4-FFF2-40B4-BE49-F238E27FC236}">
              <a16:creationId xmlns:a16="http://schemas.microsoft.com/office/drawing/2014/main" id="{42ACBAA4-FF6B-49BB-AD8B-1242B92D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Kensey" id="{79623E20-E023-4718-B645-967085162D08}" userId="S::Kensey.Daly@jacobs.com::2c05a9c7-ae45-4b4b-8861-dac25a878d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3-07-06T20:07:17.72" personId="{79623E20-E023-4718-B645-967085162D08}" id="{03C90890-4810-43B6-8CF5-E504F9C79B2D}">
    <text>Uses normal year demand (1 MAF) but the test's timestep corresponds to the dry year demand of 1.5 MAF, input to cell O6</text>
  </threadedComment>
  <threadedComment ref="R38" dT="2023-07-28T00:02:52.82" personId="{79623E20-E023-4718-B645-967085162D08}" id="{A85D0A2C-5470-4799-AC19-014C2FAB88B6}">
    <text>This row calculates values if the shortage is within the loss boundaries</text>
  </threadedComment>
  <threadedComment ref="R39" dT="2023-07-28T00:03:19.01" personId="{79623E20-E023-4718-B645-967085162D08}" id="{B7D09D5A-B054-412B-847E-F2F3C8745C48}">
    <text>This row calculates values if the shortage is above the upper loss boundaries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68"/>
  <sheetViews>
    <sheetView tabSelected="1" topLeftCell="P10" zoomScale="90" zoomScaleNormal="90" workbookViewId="0">
      <selection activeCell="C38" sqref="C38"/>
    </sheetView>
  </sheetViews>
  <sheetFormatPr defaultRowHeight="13.2" x14ac:dyDescent="0.25"/>
  <cols>
    <col min="1" max="1" width="75.5546875" customWidth="1"/>
    <col min="2" max="2" width="30.88671875" bestFit="1" customWidth="1"/>
    <col min="3" max="3" width="13.88671875" customWidth="1"/>
    <col min="4" max="4" width="14.5546875" bestFit="1" customWidth="1"/>
    <col min="6" max="6" width="21.88671875" customWidth="1"/>
    <col min="7" max="7" width="10.6640625" customWidth="1"/>
    <col min="8" max="8" width="13.33203125" bestFit="1" customWidth="1"/>
    <col min="9" max="10" width="10.6640625" customWidth="1"/>
    <col min="12" max="12" width="11" bestFit="1" customWidth="1"/>
    <col min="13" max="13" width="11" customWidth="1"/>
    <col min="14" max="14" width="15.5546875" customWidth="1"/>
    <col min="15" max="15" width="11.5546875" customWidth="1"/>
    <col min="16" max="16" width="12.109375" customWidth="1"/>
    <col min="17" max="17" width="18.6640625" style="11" customWidth="1"/>
    <col min="18" max="18" width="30" style="11" bestFit="1" customWidth="1"/>
    <col min="19" max="19" width="16.44140625" style="11" customWidth="1"/>
    <col min="20" max="24" width="14.109375" style="11" customWidth="1"/>
    <col min="25" max="25" width="20" bestFit="1" customWidth="1"/>
    <col min="26" max="26" width="15.6640625" customWidth="1"/>
    <col min="27" max="27" width="13.109375" customWidth="1"/>
    <col min="28" max="28" width="11.5546875" customWidth="1"/>
    <col min="29" max="29" width="18.5546875" customWidth="1"/>
    <col min="30" max="30" width="17.88671875" customWidth="1"/>
    <col min="31" max="31" width="17.5546875" customWidth="1"/>
    <col min="32" max="32" width="19" customWidth="1"/>
    <col min="33" max="33" width="14.6640625" customWidth="1"/>
    <col min="35" max="35" width="12" bestFit="1" customWidth="1"/>
    <col min="41" max="41" width="12" bestFit="1" customWidth="1"/>
    <col min="47" max="47" width="13.109375" bestFit="1" customWidth="1"/>
    <col min="49" max="49" width="20" bestFit="1" customWidth="1"/>
    <col min="52" max="52" width="14.88671875" bestFit="1" customWidth="1"/>
  </cols>
  <sheetData>
    <row r="1" spans="1:33" x14ac:dyDescent="0.25">
      <c r="A1" s="145" t="s">
        <v>77</v>
      </c>
      <c r="F1" s="1" t="s">
        <v>0</v>
      </c>
      <c r="O1" s="68" t="s">
        <v>1</v>
      </c>
      <c r="P1" s="20"/>
      <c r="Q1" s="69" t="s">
        <v>2</v>
      </c>
      <c r="R1" s="21"/>
      <c r="S1" s="21">
        <v>0.1</v>
      </c>
      <c r="T1" s="21">
        <v>0.1</v>
      </c>
      <c r="U1" s="70" t="s">
        <v>3</v>
      </c>
      <c r="Y1" s="11"/>
      <c r="Z1" s="11"/>
      <c r="AA1" s="11"/>
      <c r="AB1" s="11"/>
      <c r="AC1" s="11"/>
      <c r="AD1" s="11"/>
      <c r="AG1" s="1"/>
    </row>
    <row r="2" spans="1:33" x14ac:dyDescent="0.25">
      <c r="A2" s="146" t="s">
        <v>78</v>
      </c>
      <c r="F2" s="1"/>
      <c r="O2" s="22"/>
      <c r="P2" s="23"/>
      <c r="Q2" s="24">
        <v>0.3</v>
      </c>
      <c r="R2" s="25"/>
      <c r="S2" s="24">
        <v>0.2</v>
      </c>
      <c r="T2" s="24">
        <v>0.2</v>
      </c>
      <c r="U2" s="71" t="s">
        <v>4</v>
      </c>
      <c r="V2" s="72" t="s">
        <v>5</v>
      </c>
      <c r="W2" s="72"/>
      <c r="X2" s="72"/>
      <c r="Y2" s="11"/>
      <c r="Z2" s="11"/>
      <c r="AA2" s="11"/>
      <c r="AB2" s="11"/>
      <c r="AC2" s="11"/>
      <c r="AD2" s="11"/>
    </row>
    <row r="3" spans="1:33" x14ac:dyDescent="0.25">
      <c r="F3" s="1"/>
      <c r="Y3" s="11"/>
      <c r="Z3" s="11"/>
      <c r="AA3" s="11"/>
      <c r="AB3" s="11"/>
      <c r="AC3" s="11"/>
      <c r="AD3" s="11"/>
    </row>
    <row r="4" spans="1:33" x14ac:dyDescent="0.25">
      <c r="F4" s="1"/>
      <c r="Y4" s="11"/>
      <c r="Z4" s="11"/>
      <c r="AA4" s="11"/>
      <c r="AB4" s="11"/>
      <c r="AC4" s="11"/>
      <c r="AD4" s="11"/>
    </row>
    <row r="5" spans="1:33" x14ac:dyDescent="0.25">
      <c r="A5" t="s">
        <v>6</v>
      </c>
      <c r="F5" s="1" t="s">
        <v>7</v>
      </c>
      <c r="N5" s="1" t="s">
        <v>8</v>
      </c>
      <c r="O5" s="3"/>
      <c r="P5" s="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3" x14ac:dyDescent="0.25">
      <c r="A6" s="81"/>
      <c r="B6" s="82"/>
      <c r="C6" s="82"/>
      <c r="D6" s="130"/>
      <c r="F6" s="90"/>
      <c r="G6" s="82"/>
      <c r="H6" s="82"/>
      <c r="I6" s="83"/>
      <c r="J6" s="73"/>
      <c r="N6" s="27" t="s">
        <v>9</v>
      </c>
      <c r="O6" s="123">
        <v>1500000</v>
      </c>
      <c r="P6" s="30"/>
      <c r="Q6" s="30" t="s">
        <v>10</v>
      </c>
      <c r="R6" s="31" t="s">
        <v>11</v>
      </c>
      <c r="S6" s="31" t="s">
        <v>12</v>
      </c>
      <c r="T6" s="31" t="s">
        <v>13</v>
      </c>
      <c r="U6" s="32" t="s">
        <v>14</v>
      </c>
      <c r="V6" s="16"/>
      <c r="W6" s="16"/>
      <c r="X6" s="16"/>
      <c r="Y6" s="13"/>
      <c r="Z6" s="13"/>
      <c r="AA6" s="13"/>
      <c r="AB6" s="13"/>
      <c r="AC6" s="13"/>
      <c r="AD6" s="13"/>
      <c r="AE6" s="2"/>
    </row>
    <row r="7" spans="1:33" x14ac:dyDescent="0.25">
      <c r="A7" s="84" t="s">
        <v>6</v>
      </c>
      <c r="C7" t="s">
        <v>15</v>
      </c>
      <c r="D7" s="128">
        <f>1+(((1+base_conservation)*(1+incremental_conservation)-1)*hardening_factor)</f>
        <v>1.0000050000111111</v>
      </c>
      <c r="F7" s="109" t="s">
        <v>16</v>
      </c>
      <c r="G7" s="110"/>
      <c r="H7" s="111">
        <f>use_3/(p1_base^elasticity_1)</f>
        <v>300742.82203264243</v>
      </c>
      <c r="I7" s="91"/>
      <c r="J7" s="5"/>
      <c r="N7" s="29" t="s">
        <v>68</v>
      </c>
      <c r="O7" s="133">
        <f>base_use_total-15</f>
        <v>1499985</v>
      </c>
      <c r="P7" s="26"/>
      <c r="Q7" s="15"/>
      <c r="R7" s="15"/>
      <c r="S7" s="15"/>
      <c r="T7" s="15"/>
      <c r="U7" s="33"/>
      <c r="Y7" s="15"/>
      <c r="Z7" s="15"/>
      <c r="AA7" s="15"/>
      <c r="AB7" s="15"/>
      <c r="AC7" s="15"/>
      <c r="AD7" s="15"/>
      <c r="AE7" s="2"/>
    </row>
    <row r="8" spans="1:33" x14ac:dyDescent="0.25">
      <c r="A8" s="101" t="s">
        <v>67</v>
      </c>
      <c r="C8" t="s">
        <v>17</v>
      </c>
      <c r="D8" s="128">
        <f>5/base_use_total</f>
        <v>3.3333333333333333E-6</v>
      </c>
      <c r="F8" s="109" t="s">
        <v>18</v>
      </c>
      <c r="G8" s="112" t="s">
        <v>19</v>
      </c>
      <c r="H8" s="113">
        <v>-0.17</v>
      </c>
      <c r="I8" s="92"/>
      <c r="J8" s="5"/>
      <c r="N8" s="66" t="s">
        <v>20</v>
      </c>
      <c r="O8" s="7"/>
      <c r="P8" s="26" t="s">
        <v>17</v>
      </c>
      <c r="Q8" s="102">
        <v>1</v>
      </c>
      <c r="R8" s="102">
        <v>0.6</v>
      </c>
      <c r="S8" s="102">
        <v>0.25</v>
      </c>
      <c r="T8" s="102">
        <v>0.55000000000000004</v>
      </c>
      <c r="U8" s="103">
        <v>1.6</v>
      </c>
      <c r="V8" s="13"/>
      <c r="W8" s="13"/>
      <c r="X8" s="13"/>
      <c r="Y8" s="13"/>
      <c r="Z8" s="13"/>
      <c r="AA8" s="13"/>
      <c r="AB8" s="13"/>
      <c r="AC8" s="13"/>
      <c r="AD8" s="13"/>
      <c r="AE8" s="2"/>
    </row>
    <row r="9" spans="1:33" x14ac:dyDescent="0.25">
      <c r="A9" s="101" t="s">
        <v>65</v>
      </c>
      <c r="C9" t="s">
        <v>19</v>
      </c>
      <c r="D9" s="105">
        <v>0.5</v>
      </c>
      <c r="F9" s="93" t="s">
        <v>66</v>
      </c>
      <c r="G9" s="4" t="s">
        <v>19</v>
      </c>
      <c r="H9" s="106">
        <v>650</v>
      </c>
      <c r="I9" s="94" t="s">
        <v>21</v>
      </c>
      <c r="J9" s="5"/>
      <c r="N9" s="66" t="s">
        <v>18</v>
      </c>
      <c r="O9" s="7"/>
      <c r="P9" s="26" t="s">
        <v>17</v>
      </c>
      <c r="Q9" s="102">
        <v>-0.2</v>
      </c>
      <c r="R9" s="102">
        <v>-0.12</v>
      </c>
      <c r="S9" s="102">
        <v>-0.1</v>
      </c>
      <c r="T9" s="102">
        <v>-0.11</v>
      </c>
      <c r="U9" s="103">
        <v>-0.4</v>
      </c>
      <c r="V9" s="13"/>
      <c r="W9" s="13"/>
      <c r="X9" s="13"/>
      <c r="Y9" s="13"/>
      <c r="Z9" s="13"/>
      <c r="AA9" s="13"/>
      <c r="AB9" s="13"/>
      <c r="AC9" s="13"/>
      <c r="AD9" s="13"/>
      <c r="AE9" s="2"/>
    </row>
    <row r="10" spans="1:33" ht="26.4" x14ac:dyDescent="0.25">
      <c r="A10" s="101" t="s">
        <v>64</v>
      </c>
      <c r="C10" t="s">
        <v>22</v>
      </c>
      <c r="D10" s="104">
        <f>10/base_use_total</f>
        <v>6.6666666666666666E-6</v>
      </c>
      <c r="F10" s="107" t="s">
        <v>23</v>
      </c>
      <c r="G10" s="114" t="s">
        <v>19</v>
      </c>
      <c r="H10" s="115">
        <v>100000</v>
      </c>
      <c r="I10" s="95" t="s">
        <v>24</v>
      </c>
      <c r="J10" s="5"/>
      <c r="N10" s="29" t="s">
        <v>25</v>
      </c>
      <c r="O10" s="7"/>
      <c r="P10" s="26" t="s">
        <v>22</v>
      </c>
      <c r="Q10" s="13">
        <f>Q11/(p1_base^elasticity_sf)</f>
        <v>4108949.9456299157</v>
      </c>
      <c r="R10" s="131">
        <f>base_use_mf/(p1_base^elasticity_mf)</f>
        <v>1223679.7878046185</v>
      </c>
      <c r="S10" s="13">
        <f>base_use_ind/(p1_base^elasticity_ind)</f>
        <v>430001.04479625466</v>
      </c>
      <c r="T10" s="13">
        <f>base_use_comm/(p1_base^elasticity_comm)</f>
        <v>229386.91925479213</v>
      </c>
      <c r="U10" s="34">
        <f>base_use_lndscp/(p1_base^elasticity_lndscp)</f>
        <v>3001535.7319248011</v>
      </c>
      <c r="V10" s="132">
        <f>size_sf*base_use_total</f>
        <v>1125000</v>
      </c>
      <c r="W10" s="132"/>
      <c r="X10" s="132"/>
      <c r="Y10" s="13"/>
      <c r="Z10" s="13"/>
      <c r="AA10" s="13"/>
      <c r="AB10" s="13"/>
      <c r="AC10" s="13"/>
      <c r="AD10" s="13"/>
      <c r="AE10" s="2"/>
    </row>
    <row r="11" spans="1:33" ht="39.6" x14ac:dyDescent="0.25">
      <c r="A11" s="84"/>
      <c r="D11" s="85"/>
      <c r="F11" s="107" t="s">
        <v>26</v>
      </c>
      <c r="G11" s="108"/>
      <c r="H11" s="108">
        <v>15000</v>
      </c>
      <c r="I11" s="85"/>
      <c r="J11" s="5" t="s">
        <v>27</v>
      </c>
      <c r="N11" s="138" t="s">
        <v>70</v>
      </c>
      <c r="O11" s="7"/>
      <c r="P11" s="26" t="s">
        <v>22</v>
      </c>
      <c r="Q11" s="124">
        <f>(size_sf*O7)</f>
        <v>1124988.75</v>
      </c>
      <c r="R11" s="124">
        <f>(size_mf*O7)</f>
        <v>562494.375</v>
      </c>
      <c r="S11" s="124">
        <f>(size_ind*O7)</f>
        <v>224997.75</v>
      </c>
      <c r="T11" s="124">
        <f>(size_com*O7)</f>
        <v>112498.875</v>
      </c>
      <c r="U11" s="125">
        <f>(size_lndscp*O7)</f>
        <v>224997.75</v>
      </c>
      <c r="V11" s="132">
        <f>size_sf*O7</f>
        <v>1124988.75</v>
      </c>
      <c r="W11" s="132"/>
      <c r="X11" s="132"/>
      <c r="Y11" s="13"/>
      <c r="Z11" s="13"/>
      <c r="AA11" s="13"/>
      <c r="AB11" s="13"/>
      <c r="AC11" s="13"/>
      <c r="AD11" s="13"/>
      <c r="AE11" s="2"/>
    </row>
    <row r="12" spans="1:33" x14ac:dyDescent="0.25">
      <c r="A12" s="84"/>
      <c r="D12" s="85"/>
      <c r="F12" s="93" t="s">
        <v>29</v>
      </c>
      <c r="H12" s="104">
        <f>1383915.75/1500000</f>
        <v>0.9226105</v>
      </c>
      <c r="I12" s="85"/>
      <c r="J12" s="122">
        <f>Total_actual_shortage*base_use_total</f>
        <v>1383915.75</v>
      </c>
      <c r="N12" s="29" t="s">
        <v>28</v>
      </c>
      <c r="O12" s="7"/>
      <c r="P12" s="26" t="s">
        <v>17</v>
      </c>
      <c r="Q12" s="116">
        <f>Q13/1000000</f>
        <v>0.75</v>
      </c>
      <c r="R12" s="116">
        <f t="shared" ref="R12:U12" si="0">R13/1000000</f>
        <v>0.375</v>
      </c>
      <c r="S12" s="116">
        <f t="shared" si="0"/>
        <v>0.15</v>
      </c>
      <c r="T12" s="116">
        <f t="shared" si="0"/>
        <v>7.4999999999999997E-2</v>
      </c>
      <c r="U12" s="116">
        <f t="shared" si="0"/>
        <v>0.15</v>
      </c>
      <c r="V12" s="139">
        <f>V11/coeff_sf</f>
        <v>0.27378984044244314</v>
      </c>
      <c r="W12" s="139"/>
      <c r="X12" s="139"/>
      <c r="Y12" s="13"/>
      <c r="Z12" s="13"/>
      <c r="AA12" s="13"/>
      <c r="AB12" s="13"/>
      <c r="AC12" s="13"/>
      <c r="AD12" s="13"/>
      <c r="AE12" s="2"/>
    </row>
    <row r="13" spans="1:33" ht="39.6" x14ac:dyDescent="0.25">
      <c r="A13" s="86"/>
      <c r="B13" s="87"/>
      <c r="C13" s="87"/>
      <c r="D13" s="88"/>
      <c r="F13" s="93" t="s">
        <v>30</v>
      </c>
      <c r="G13" s="4"/>
      <c r="H13" s="149">
        <f>H12*D7</f>
        <v>0.92261511306275124</v>
      </c>
      <c r="I13" s="97" t="s">
        <v>17</v>
      </c>
      <c r="J13">
        <f>Total_adjusted_shortage*base_use_total</f>
        <v>1383922.6695941268</v>
      </c>
      <c r="K13" s="74"/>
      <c r="L13" s="74"/>
      <c r="M13" s="74"/>
      <c r="N13" s="138" t="s">
        <v>69</v>
      </c>
      <c r="Q13" s="11">
        <v>750000</v>
      </c>
      <c r="R13" s="11">
        <v>375000</v>
      </c>
      <c r="S13" s="11">
        <v>150000</v>
      </c>
      <c r="T13" s="11">
        <v>75000</v>
      </c>
      <c r="U13" s="11">
        <v>150000</v>
      </c>
      <c r="Y13" s="13"/>
      <c r="Z13" s="13"/>
      <c r="AA13" s="13"/>
      <c r="AB13" s="13"/>
      <c r="AC13" s="13"/>
      <c r="AD13" s="13"/>
      <c r="AE13" s="2"/>
    </row>
    <row r="14" spans="1:33" x14ac:dyDescent="0.25">
      <c r="F14" s="93" t="s">
        <v>32</v>
      </c>
      <c r="H14" s="127">
        <f>Total_adjusted_shortage*base_use_total</f>
        <v>1383922.6695941268</v>
      </c>
      <c r="I14" s="85"/>
      <c r="J14" s="5"/>
      <c r="K14" s="74"/>
      <c r="L14" s="74"/>
      <c r="M14" s="74"/>
      <c r="N14" s="66" t="s">
        <v>31</v>
      </c>
      <c r="O14" s="7"/>
      <c r="P14" s="7"/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AB14" s="13"/>
      <c r="AC14" s="13"/>
      <c r="AD14" s="13"/>
      <c r="AE14" s="2"/>
    </row>
    <row r="15" spans="1:33" ht="26.4" x14ac:dyDescent="0.25">
      <c r="D15" s="126"/>
      <c r="F15" s="119" t="s">
        <v>34</v>
      </c>
      <c r="G15" s="120"/>
      <c r="H15" s="121">
        <v>20</v>
      </c>
      <c r="I15" s="98" t="s">
        <v>17</v>
      </c>
      <c r="J15" s="5"/>
      <c r="K15" s="74"/>
      <c r="L15" s="74"/>
      <c r="M15" s="74"/>
      <c r="N15" s="67" t="s">
        <v>33</v>
      </c>
      <c r="O15" s="35"/>
      <c r="P15" s="35"/>
      <c r="Q15" s="117">
        <v>0.7</v>
      </c>
      <c r="R15" s="117">
        <v>0.7</v>
      </c>
      <c r="S15" s="117">
        <v>0.7</v>
      </c>
      <c r="T15" s="117">
        <v>0.7</v>
      </c>
      <c r="U15" s="118">
        <v>0.7</v>
      </c>
      <c r="V15" s="13"/>
      <c r="W15" s="13"/>
      <c r="X15" s="13"/>
      <c r="Y15" s="13"/>
      <c r="Z15" s="13"/>
      <c r="AA15" s="13"/>
      <c r="AB15" s="13"/>
      <c r="AC15" s="13" t="s">
        <v>35</v>
      </c>
      <c r="AD15" s="13"/>
      <c r="AE15" s="2"/>
    </row>
    <row r="16" spans="1:33" x14ac:dyDescent="0.25">
      <c r="D16" s="126"/>
      <c r="F16" s="134"/>
      <c r="G16" s="135"/>
      <c r="H16" s="136"/>
      <c r="I16" s="137"/>
      <c r="J16" s="5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3"/>
      <c r="W16" s="13"/>
      <c r="X16" s="13"/>
      <c r="Y16" s="13"/>
      <c r="Z16" s="13"/>
      <c r="AA16" s="13"/>
      <c r="AB16" s="13"/>
      <c r="AC16" s="13"/>
      <c r="AD16" s="13"/>
      <c r="AE16" s="2"/>
    </row>
    <row r="17" spans="1:53" x14ac:dyDescent="0.25">
      <c r="A17">
        <v>0.51553974435822825</v>
      </c>
      <c r="B17" s="1" t="s">
        <v>36</v>
      </c>
      <c r="F17" s="1"/>
      <c r="G17" s="4"/>
      <c r="H17" s="5"/>
      <c r="I17" s="5"/>
      <c r="J17" s="5"/>
      <c r="K17" s="74"/>
      <c r="L17" s="74"/>
      <c r="M17" s="74"/>
      <c r="N17" s="1" t="s">
        <v>37</v>
      </c>
      <c r="O17" s="7"/>
      <c r="P17" s="7"/>
      <c r="Q17" s="13"/>
      <c r="R17" s="13"/>
      <c r="S17" s="13"/>
      <c r="T17" s="13"/>
      <c r="U17" s="13"/>
      <c r="V17" s="13"/>
      <c r="W17" s="13"/>
      <c r="X17" s="13"/>
      <c r="Z17" s="13"/>
      <c r="AA17" s="13"/>
      <c r="AB17" s="13"/>
      <c r="AC17" s="13"/>
      <c r="AD17" s="13"/>
      <c r="AE17" s="2"/>
    </row>
    <row r="18" spans="1:53" ht="66" x14ac:dyDescent="0.25">
      <c r="B18" s="56" t="s">
        <v>38</v>
      </c>
      <c r="C18" s="57" t="s">
        <v>39</v>
      </c>
      <c r="D18" s="58" t="s">
        <v>40</v>
      </c>
      <c r="E18" s="57" t="s">
        <v>41</v>
      </c>
      <c r="F18" s="58" t="s">
        <v>42</v>
      </c>
      <c r="G18" s="57" t="s">
        <v>43</v>
      </c>
      <c r="H18" s="58" t="s">
        <v>44</v>
      </c>
      <c r="I18" s="57" t="s">
        <v>45</v>
      </c>
      <c r="J18" s="61" t="s">
        <v>46</v>
      </c>
      <c r="K18" s="57" t="s">
        <v>47</v>
      </c>
      <c r="L18" s="59" t="s">
        <v>48</v>
      </c>
      <c r="M18" s="89"/>
      <c r="N18" s="36" t="s">
        <v>49</v>
      </c>
      <c r="O18" s="36" t="s">
        <v>50</v>
      </c>
      <c r="P18" s="36" t="s">
        <v>51</v>
      </c>
      <c r="Y18" s="37" t="s">
        <v>52</v>
      </c>
      <c r="AF18" s="37" t="s">
        <v>53</v>
      </c>
      <c r="AL18" s="37" t="s">
        <v>54</v>
      </c>
      <c r="AR18" s="37" t="s">
        <v>55</v>
      </c>
      <c r="AX18" s="38" t="s">
        <v>56</v>
      </c>
      <c r="AY18" s="72" t="s">
        <v>57</v>
      </c>
      <c r="AZ18" s="16" t="s">
        <v>58</v>
      </c>
      <c r="BA18" s="16" t="s">
        <v>59</v>
      </c>
    </row>
    <row r="19" spans="1:53" x14ac:dyDescent="0.25">
      <c r="B19" s="55">
        <f t="shared" ref="B19:B37" si="1">C19*base_use_sf</f>
        <v>0</v>
      </c>
      <c r="C19" s="53">
        <f t="shared" ref="C19:C37" si="2">N19/(size_sf+cutratio_mf*size_mf+cutratio_ind*size_ind+cutratio_com*size_com+cutratio_lndscp*size_lndscp)</f>
        <v>0</v>
      </c>
      <c r="D19" s="55">
        <f t="shared" ref="D19:D37" si="3">E19*base_use_mf</f>
        <v>0</v>
      </c>
      <c r="E19" s="53">
        <f t="shared" ref="E19:E37" si="4">C19*cutratio_mf</f>
        <v>0</v>
      </c>
      <c r="F19" s="55">
        <f t="shared" ref="F19:F37" si="5">G19*base_use_ind</f>
        <v>0</v>
      </c>
      <c r="G19" s="53">
        <f t="shared" ref="G19:G37" si="6">C19*cutratio_ind</f>
        <v>0</v>
      </c>
      <c r="H19" s="55">
        <f t="shared" ref="H19:H37" si="7">I19*base_use_comm</f>
        <v>0</v>
      </c>
      <c r="I19" s="53">
        <f t="shared" ref="I19:I37" si="8">C19*cutratio_com</f>
        <v>0</v>
      </c>
      <c r="J19" s="55">
        <f t="shared" ref="J19:J37" si="9">K19*base_use_lndscp</f>
        <v>0</v>
      </c>
      <c r="K19" s="53">
        <f t="shared" ref="K19:K37" si="10">C19*cutratio_lndscp</f>
        <v>0</v>
      </c>
      <c r="L19" s="55">
        <f t="shared" ref="L19:L36" si="11">J19+H19+F19+D19+B19</f>
        <v>0</v>
      </c>
      <c r="M19" s="55"/>
      <c r="N19" s="51">
        <f>0</f>
        <v>0</v>
      </c>
      <c r="O19" s="43">
        <f t="shared" ref="O19:O38" si="12">base_use_total-(N19*base_use_total)</f>
        <v>1500000</v>
      </c>
      <c r="P19" s="45">
        <f t="shared" ref="P19:P37" si="13">base_use_total-O19</f>
        <v>0</v>
      </c>
      <c r="Y19" s="14">
        <f>((elasticity_sf*base_use_sf*EXP((LN(base_use_sf/coeff_sf))/elasticity_sf))/(elasticity_sf + 1))-((elasticity_sf*(base_use_sf-B19)*EXP((LN((base_use_sf-B19)/coeff_sf))/elasticity_sf))/(elasticity_sf + 1))</f>
        <v>0</v>
      </c>
      <c r="AF19" s="14">
        <f>((elasticity_mf*base_use_mf*EXP((LN(base_use_mf/coeff_mf))/elasticity_mf))/(elasticity_mf + 1))-((elasticity_mf*(base_use_mf-D19)*EXP((LN((base_use_mf-D19)/coeff_mf))/elasticity_mf))/(elasticity_mf + 1))</f>
        <v>0</v>
      </c>
      <c r="AL19" s="14">
        <f>((elasticity_ind*base_use_ind*EXP((LN(base_use_ind/coeff_ind))/elasticity_ind))/(elasticity_ind + 1))-((elasticity_ind*(base_use_ind-F19)*EXP((LN((base_use_ind-F19)/coeff_ind))/elasticity_ind))/(elasticity_ind + 1))</f>
        <v>0</v>
      </c>
      <c r="AR19" s="14">
        <f>((elasticity_comm*base_use_comm*EXP((LN(base_use_comm/coeff_comm))/elasticity_comm))/(elasticity_comm + 1))-((elasticity_comm*(base_use_comm-H19)*EXP((LN((base_use_comm-H19)/coeff_comm))/elasticity_comm))/(elasticity_comm + 1))</f>
        <v>0</v>
      </c>
      <c r="AX19" s="39">
        <f>IF(shortage_LNDSCP&lt;upperbound_LNDSCP,((elasticity_lndscp*base_use_lndscp*EXP((LN(base_use_lndscp/coeff_lndscp))/elasticity_lndscp))/(elasticity_lndscp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+ 1)), 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+ 1)))</f>
        <v>0</v>
      </c>
      <c r="AY19" s="48"/>
      <c r="AZ19" s="14">
        <f t="shared" ref="AZ19:AZ38" si="14">SUM(Y19,AF19,AL19,AR19,AX19)</f>
        <v>0</v>
      </c>
      <c r="BA19" s="65">
        <f t="shared" ref="BA19:BA38" si="15">Total_adjusted_shortage*use_3-foregone_use_total</f>
        <v>92261.511306275119</v>
      </c>
    </row>
    <row r="20" spans="1:53" x14ac:dyDescent="0.25">
      <c r="B20" s="60">
        <f t="shared" si="1"/>
        <v>40113.299430940031</v>
      </c>
      <c r="C20" s="53">
        <f t="shared" si="2"/>
        <v>3.5656622727062853E-2</v>
      </c>
      <c r="D20" s="55">
        <f t="shared" si="3"/>
        <v>12033.989829282009</v>
      </c>
      <c r="E20" s="53">
        <f t="shared" si="4"/>
        <v>2.1393973636237712E-2</v>
      </c>
      <c r="F20" s="55">
        <f t="shared" si="5"/>
        <v>2005.6649715470014</v>
      </c>
      <c r="G20" s="53">
        <f t="shared" si="6"/>
        <v>8.9141556817657133E-3</v>
      </c>
      <c r="H20" s="55">
        <f t="shared" si="7"/>
        <v>2206.2314687017015</v>
      </c>
      <c r="I20" s="53">
        <f t="shared" si="8"/>
        <v>1.9611142499884569E-2</v>
      </c>
      <c r="J20" s="55">
        <f t="shared" si="9"/>
        <v>12836.25581790081</v>
      </c>
      <c r="K20" s="53">
        <f t="shared" si="10"/>
        <v>5.7050596363300565E-2</v>
      </c>
      <c r="L20" s="54">
        <f t="shared" si="11"/>
        <v>69195.441518371546</v>
      </c>
      <c r="M20" s="55"/>
      <c r="N20" s="51">
        <f>($N$38/20)+N19</f>
        <v>4.613075565313756E-2</v>
      </c>
      <c r="O20" s="43">
        <f>base_use_total-(N20*base_use_total)</f>
        <v>1430803.8665202938</v>
      </c>
      <c r="P20" s="45">
        <f t="shared" si="13"/>
        <v>69196.133479706245</v>
      </c>
      <c r="Y20" s="64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28574605.296013534</v>
      </c>
      <c r="AF20" s="64">
        <f t="shared" ref="AF20:AF37" si="16">IF(shortage_MF&lt;=lowerbound_MF,((elasticity_mf*base_use_mf*EXP((LN(base_use_mf/coeff_mf))/elasticity_mf))/(elasticity_mf + 1))-((elasticity_mf*(base_use_mf*(1-lowerbound_MF)*EXP((LN((base_use_mf*(1-lowerbound_MF)/coeff_mf))/elasticity_mf))/(elasticity_mf + 1)))), IF(shortage_MF&gt;=upperbound_MF,((elasticity_mf*base_use_mf*EXP((LN(base_use_mf/coeff_mf))/elasticity_mf))/(elasticity_mf + 1))-((elasticity_mf*(base_use_mf*(1-upperbound_MF))*EXP((LN((base_use_mf*(1-upperbound_MF))/coeff_mf))/elasticity_mf))/(elasticity_mf + 1)), ((elasticity_mf*base_use_mf*EXP((LN(base_use_mf/coeff_mf))/elasticity_mf))/(elasticity_mf + 1))-((elasticity_mf*(base_use_mf-shortage_af_MF)*EXP((LN((base_use_mf-shortage_af_MF)/coeff_mf))/elasticity_mf))/(elasticity_mf + 1))))</f>
        <v>8568471.8775434792</v>
      </c>
      <c r="AL20" s="64">
        <f t="shared" ref="AL20:AL37" si="17"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1363739.5678167623</v>
      </c>
      <c r="AR20" s="64">
        <f t="shared" ref="AR20:AR37" si="18">IF(shortage_COM&lt;=lowerbound_COM,((elasticity_comm*base_use_comm*EXP((LN(base_use_comm/coeff_comm))/elasticity_comm))/(elasticity_comm + 1))-((elasticity_comm*(base_use_comm*(1-lowerbound_COM)*EXP((LN((base_use_comm*(1-lowerbound_COM)/coeff_comm))/elasticity_comm))/(elasticity_comm + 1)))), IF(shortage_COM&gt;=upperbound_COM,((elasticity_comm*base_use_comm*EXP((LN(base_use_comm/coeff_comm))/elasticity_comm))/(elasticity_comm + 1))-((elasticity_comm*(base_use_comm*(1-upperbound_COM))*EXP((LN((base_use_comm*(1-upperbound_COM))/coeff_comm))/elasticity_comm))/(elasticity_comm + 1)), ((elasticity_comm*base_use_comm*EXP((LN(base_use_comm/coeff_comm))/elasticity_comm))/(elasticity_comm + 1))-((elasticity_comm*(base_use_comm-shortage_af_COM)*EXP((LN((base_use_comm-shortage_af_COM)/coeff_comm))/elasticity_comm))/(elasticity_comm + 1))))</f>
        <v>1570797.6915409286</v>
      </c>
      <c r="AX20" s="64">
        <f t="shared" ref="AX20:AX37" si="19">IF(shortage_LNDSCP&lt;=$U$14,((elasticity_lndscp*base_use_lndscp*EXP((LN(base_use_lndscp/coeff_lndscp))/elasticity_lndscp))/(elasticity_lndscp + 1))-((elasticity_lndscp*(base_use_lndscp*(1-low_bound_lndscp)*EXP((LN((base_use_lndscp*(1-low_bound_lndscp)/coeff_lndscp))/elasticity_lndscp))/(elasticity_lndscp + 1)))), IF(shortage_LNDSCP&gt;=upperbound_LNDSCP,((elasticity_lndscp*base_use_lndscp*EXP((LN(base_use_lndscp/coeff_lndscp))/elasticity_lndscp))/(elasticity_lndscp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+ 1)), 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+ 1))))</f>
        <v>8980887.9600099027</v>
      </c>
      <c r="AY20" s="48">
        <f t="shared" ref="AY20:AY38" si="20">AZ20/P45</f>
        <v>708.98105456093754</v>
      </c>
      <c r="AZ20" s="14">
        <f t="shared" si="14"/>
        <v>49058502.392924607</v>
      </c>
      <c r="BA20" s="65">
        <f t="shared" si="15"/>
        <v>23065.377826568874</v>
      </c>
    </row>
    <row r="21" spans="1:53" x14ac:dyDescent="0.25">
      <c r="B21" s="60">
        <f t="shared" si="1"/>
        <v>80226.598861880062</v>
      </c>
      <c r="C21" s="53">
        <f t="shared" si="2"/>
        <v>7.1313245454125707E-2</v>
      </c>
      <c r="D21" s="55">
        <f t="shared" si="3"/>
        <v>24067.979658564018</v>
      </c>
      <c r="E21" s="53">
        <f t="shared" si="4"/>
        <v>4.2787947272475424E-2</v>
      </c>
      <c r="F21" s="55">
        <f t="shared" si="5"/>
        <v>4011.3299430940028</v>
      </c>
      <c r="G21" s="53">
        <f t="shared" si="6"/>
        <v>1.7828311363531427E-2</v>
      </c>
      <c r="H21" s="55">
        <f t="shared" si="7"/>
        <v>4412.462937403403</v>
      </c>
      <c r="I21" s="53">
        <f t="shared" si="8"/>
        <v>3.9222284999769139E-2</v>
      </c>
      <c r="J21" s="55">
        <f t="shared" si="9"/>
        <v>25672.51163580162</v>
      </c>
      <c r="K21" s="53">
        <f t="shared" si="10"/>
        <v>0.11410119272660113</v>
      </c>
      <c r="L21" s="54">
        <f t="shared" si="11"/>
        <v>138390.88303674309</v>
      </c>
      <c r="M21" s="55"/>
      <c r="N21" s="51">
        <f t="shared" ref="N21:N37" si="21">($N$38/20)+N20</f>
        <v>9.2261511306275121E-2</v>
      </c>
      <c r="O21" s="43">
        <f t="shared" si="12"/>
        <v>1361607.7330405873</v>
      </c>
      <c r="P21" s="45">
        <f t="shared" si="13"/>
        <v>138392.26695941272</v>
      </c>
      <c r="Y21" s="64">
        <f t="shared" ref="Y21:Y37" si="22"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62956877.512874365</v>
      </c>
      <c r="AF21" s="64">
        <f t="shared" si="16"/>
        <v>18849960.653162234</v>
      </c>
      <c r="AL21" s="64">
        <f t="shared" si="17"/>
        <v>2855834.6239179652</v>
      </c>
      <c r="AR21" s="64">
        <f t="shared" si="18"/>
        <v>3454991.8274118621</v>
      </c>
      <c r="AX21" s="64">
        <f t="shared" si="19"/>
        <v>19430476.255549997</v>
      </c>
      <c r="AY21" s="48">
        <f t="shared" si="20"/>
        <v>777.12924990496322</v>
      </c>
      <c r="AZ21" s="14">
        <f t="shared" si="14"/>
        <v>107548140.87291643</v>
      </c>
      <c r="BA21" s="65">
        <f t="shared" si="15"/>
        <v>-46130.755653137603</v>
      </c>
    </row>
    <row r="22" spans="1:53" x14ac:dyDescent="0.25">
      <c r="B22" s="60">
        <f t="shared" si="1"/>
        <v>120339.89829282007</v>
      </c>
      <c r="C22" s="53">
        <f t="shared" si="2"/>
        <v>0.10696986818118855</v>
      </c>
      <c r="D22" s="55">
        <f t="shared" si="3"/>
        <v>36101.969487846021</v>
      </c>
      <c r="E22" s="53">
        <f t="shared" si="4"/>
        <v>6.4181920908713122E-2</v>
      </c>
      <c r="F22" s="55">
        <f t="shared" si="5"/>
        <v>6016.9949146410036</v>
      </c>
      <c r="G22" s="53">
        <f t="shared" si="6"/>
        <v>2.6742467045297137E-2</v>
      </c>
      <c r="H22" s="55">
        <f t="shared" si="7"/>
        <v>6618.6944061051054</v>
      </c>
      <c r="I22" s="53">
        <f t="shared" si="8"/>
        <v>5.8833427499653708E-2</v>
      </c>
      <c r="J22" s="55">
        <f t="shared" si="9"/>
        <v>38508.767453702429</v>
      </c>
      <c r="K22" s="53">
        <f t="shared" si="10"/>
        <v>0.1711517890899017</v>
      </c>
      <c r="L22" s="54">
        <f t="shared" si="11"/>
        <v>207586.32455511461</v>
      </c>
      <c r="M22" s="55"/>
      <c r="N22" s="51">
        <f t="shared" si="21"/>
        <v>0.13839226695941267</v>
      </c>
      <c r="O22" s="43">
        <f t="shared" si="12"/>
        <v>1292411.599560881</v>
      </c>
      <c r="P22" s="45">
        <f t="shared" si="13"/>
        <v>207588.40043911897</v>
      </c>
      <c r="Y22" s="64">
        <f t="shared" si="22"/>
        <v>104622636.69087741</v>
      </c>
      <c r="AF22" s="64">
        <f t="shared" si="16"/>
        <v>31237333.955084987</v>
      </c>
      <c r="AL22" s="64">
        <f t="shared" si="17"/>
        <v>4489699.5597629938</v>
      </c>
      <c r="AR22" s="64">
        <f t="shared" si="18"/>
        <v>5723523.8166936468</v>
      </c>
      <c r="AX22" s="64">
        <f t="shared" si="19"/>
        <v>31708487.68894954</v>
      </c>
      <c r="AY22" s="48">
        <f t="shared" si="20"/>
        <v>856.41861609648095</v>
      </c>
      <c r="AZ22" s="14">
        <f t="shared" si="14"/>
        <v>177781681.71136856</v>
      </c>
      <c r="BA22" s="65">
        <f t="shared" si="15"/>
        <v>-115326.88913284385</v>
      </c>
    </row>
    <row r="23" spans="1:53" x14ac:dyDescent="0.25">
      <c r="B23" s="60">
        <f t="shared" si="1"/>
        <v>160453.19772376012</v>
      </c>
      <c r="C23" s="53">
        <f t="shared" si="2"/>
        <v>0.14262649090825141</v>
      </c>
      <c r="D23" s="55">
        <f t="shared" si="3"/>
        <v>48135.959317128036</v>
      </c>
      <c r="E23" s="53">
        <f t="shared" si="4"/>
        <v>8.5575894544950848E-2</v>
      </c>
      <c r="F23" s="55">
        <f t="shared" si="5"/>
        <v>8022.6598861880057</v>
      </c>
      <c r="G23" s="53">
        <f t="shared" si="6"/>
        <v>3.5656622727062853E-2</v>
      </c>
      <c r="H23" s="55">
        <f t="shared" si="7"/>
        <v>8824.925874806806</v>
      </c>
      <c r="I23" s="53">
        <f t="shared" si="8"/>
        <v>7.8444569999538277E-2</v>
      </c>
      <c r="J23" s="55">
        <f t="shared" si="9"/>
        <v>51345.023271603241</v>
      </c>
      <c r="K23" s="53">
        <f t="shared" si="10"/>
        <v>0.22820238545320226</v>
      </c>
      <c r="L23" s="54">
        <f t="shared" si="11"/>
        <v>276781.76607348619</v>
      </c>
      <c r="M23" s="55"/>
      <c r="N23" s="51">
        <f t="shared" si="21"/>
        <v>0.18452302261255024</v>
      </c>
      <c r="O23" s="43">
        <f t="shared" si="12"/>
        <v>1223215.4660811746</v>
      </c>
      <c r="P23" s="45">
        <f t="shared" si="13"/>
        <v>276784.53391882544</v>
      </c>
      <c r="Y23" s="64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155504365.87194231</v>
      </c>
      <c r="AF23" s="64">
        <f t="shared" si="16"/>
        <v>46225693.334588774</v>
      </c>
      <c r="AL23" s="64">
        <f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6280292.7244417835</v>
      </c>
      <c r="AR23" s="64">
        <f t="shared" si="18"/>
        <v>8465384.4106408022</v>
      </c>
      <c r="AX23" s="64">
        <f t="shared" si="19"/>
        <v>46296418.573757976</v>
      </c>
      <c r="AY23" s="48">
        <f t="shared" si="20"/>
        <v>949.37916168441518</v>
      </c>
      <c r="AZ23" s="14">
        <f t="shared" si="14"/>
        <v>262772154.91537166</v>
      </c>
      <c r="BA23" s="65">
        <f t="shared" si="15"/>
        <v>-184523.02261255032</v>
      </c>
    </row>
    <row r="24" spans="1:53" x14ac:dyDescent="0.25">
      <c r="B24" s="60">
        <f t="shared" si="1"/>
        <v>200566.49715470016</v>
      </c>
      <c r="C24" s="53">
        <f t="shared" si="2"/>
        <v>0.17828311363531427</v>
      </c>
      <c r="D24" s="55">
        <f t="shared" si="3"/>
        <v>60169.949146410043</v>
      </c>
      <c r="E24" s="53">
        <f t="shared" si="4"/>
        <v>0.10696986818118856</v>
      </c>
      <c r="F24" s="55">
        <f t="shared" si="5"/>
        <v>10028.324857735008</v>
      </c>
      <c r="G24" s="53">
        <f t="shared" si="6"/>
        <v>4.4570778408828567E-2</v>
      </c>
      <c r="H24" s="55">
        <f t="shared" si="7"/>
        <v>11031.157343508508</v>
      </c>
      <c r="I24" s="53">
        <f t="shared" si="8"/>
        <v>9.8055712499422854E-2</v>
      </c>
      <c r="J24" s="55">
        <f t="shared" si="9"/>
        <v>64181.279089504045</v>
      </c>
      <c r="K24" s="53">
        <f t="shared" si="10"/>
        <v>0.28525298181650283</v>
      </c>
      <c r="L24" s="54">
        <f t="shared" si="11"/>
        <v>345977.20759185776</v>
      </c>
      <c r="M24" s="55"/>
      <c r="N24" s="51">
        <f t="shared" si="21"/>
        <v>0.23065377826568781</v>
      </c>
      <c r="O24" s="43">
        <f t="shared" si="12"/>
        <v>1154019.3326014683</v>
      </c>
      <c r="P24" s="45">
        <f t="shared" si="13"/>
        <v>345980.66739853169</v>
      </c>
      <c r="Y24" s="64">
        <f t="shared" si="22"/>
        <v>218160082.25755116</v>
      </c>
      <c r="AF24" s="64">
        <f t="shared" si="16"/>
        <v>64442295.962985493</v>
      </c>
      <c r="AL24" s="64">
        <f t="shared" si="17"/>
        <v>8244310.7907152753</v>
      </c>
      <c r="AR24" s="64">
        <f t="shared" si="18"/>
        <v>11792735.863012906</v>
      </c>
      <c r="AX24" s="64">
        <f t="shared" si="19"/>
        <v>63852005.849980861</v>
      </c>
      <c r="AY24" s="48">
        <f t="shared" si="20"/>
        <v>1059.2882716285169</v>
      </c>
      <c r="AZ24" s="14">
        <f t="shared" si="14"/>
        <v>366491430.72424567</v>
      </c>
      <c r="BA24" s="65">
        <f t="shared" si="15"/>
        <v>-253719.15609225657</v>
      </c>
    </row>
    <row r="25" spans="1:53" x14ac:dyDescent="0.25">
      <c r="B25" s="60">
        <f t="shared" si="1"/>
        <v>240679.79658564014</v>
      </c>
      <c r="C25" s="53">
        <f t="shared" si="2"/>
        <v>0.21393973636237709</v>
      </c>
      <c r="D25" s="55">
        <f t="shared" si="3"/>
        <v>72203.938975692043</v>
      </c>
      <c r="E25" s="53">
        <f t="shared" si="4"/>
        <v>0.12836384181742624</v>
      </c>
      <c r="F25" s="55">
        <f t="shared" si="5"/>
        <v>12033.989829282007</v>
      </c>
      <c r="G25" s="53">
        <f t="shared" si="6"/>
        <v>5.3484934090594273E-2</v>
      </c>
      <c r="H25" s="55">
        <f t="shared" si="7"/>
        <v>13237.388812210211</v>
      </c>
      <c r="I25" s="53">
        <f t="shared" si="8"/>
        <v>0.11766685499930742</v>
      </c>
      <c r="J25" s="55">
        <f t="shared" si="9"/>
        <v>77017.534907404857</v>
      </c>
      <c r="K25" s="53">
        <f t="shared" si="10"/>
        <v>0.34230357817980339</v>
      </c>
      <c r="L25" s="54">
        <f t="shared" si="11"/>
        <v>415172.64911022922</v>
      </c>
      <c r="M25" s="55"/>
      <c r="N25" s="51">
        <f t="shared" si="21"/>
        <v>0.27678453391882535</v>
      </c>
      <c r="O25" s="43">
        <f t="shared" si="12"/>
        <v>1084823.1991217621</v>
      </c>
      <c r="P25" s="45">
        <f t="shared" si="13"/>
        <v>415176.80087823793</v>
      </c>
      <c r="Y25" s="64">
        <f t="shared" si="22"/>
        <v>296015823.96552992</v>
      </c>
      <c r="AC25">
        <v>-183232543.96318501</v>
      </c>
      <c r="AF25" s="64">
        <f t="shared" si="16"/>
        <v>86686255.531868875</v>
      </c>
      <c r="AL25" s="64">
        <f t="shared" si="17"/>
        <v>10400409.727604901</v>
      </c>
      <c r="AR25" s="64">
        <f t="shared" si="18"/>
        <v>15847645.195009496</v>
      </c>
      <c r="AX25" s="64">
        <f t="shared" si="19"/>
        <v>85295024.524293244</v>
      </c>
      <c r="AY25" s="48">
        <f t="shared" si="20"/>
        <v>1190.4509816783918</v>
      </c>
      <c r="AZ25" s="14">
        <f t="shared" si="14"/>
        <v>494245158.94430643</v>
      </c>
      <c r="BA25" s="65">
        <f t="shared" si="15"/>
        <v>-322915.28957196278</v>
      </c>
    </row>
    <row r="26" spans="1:53" x14ac:dyDescent="0.25">
      <c r="B26" s="60">
        <f t="shared" si="1"/>
        <v>280793.09601658018</v>
      </c>
      <c r="C26" s="53">
        <f t="shared" si="2"/>
        <v>0.24959635908943995</v>
      </c>
      <c r="D26" s="55">
        <f t="shared" si="3"/>
        <v>84237.928804974043</v>
      </c>
      <c r="E26" s="53">
        <f t="shared" si="4"/>
        <v>0.14975781545366396</v>
      </c>
      <c r="F26" s="55">
        <f t="shared" si="5"/>
        <v>14039.654800829008</v>
      </c>
      <c r="G26" s="53">
        <f t="shared" si="6"/>
        <v>6.2399089772359986E-2</v>
      </c>
      <c r="H26" s="55">
        <f t="shared" si="7"/>
        <v>15443.620280911911</v>
      </c>
      <c r="I26" s="53">
        <f t="shared" si="8"/>
        <v>0.13727799749919198</v>
      </c>
      <c r="J26" s="55">
        <f t="shared" si="9"/>
        <v>89853.790725305662</v>
      </c>
      <c r="K26" s="53">
        <f t="shared" si="10"/>
        <v>0.39935417454310396</v>
      </c>
      <c r="L26" s="54">
        <f t="shared" si="11"/>
        <v>484368.0906286008</v>
      </c>
      <c r="M26" s="55"/>
      <c r="N26" s="51">
        <f t="shared" si="21"/>
        <v>0.32291528957196292</v>
      </c>
      <c r="O26" s="43">
        <f t="shared" si="12"/>
        <v>1015627.0656420556</v>
      </c>
      <c r="P26" s="45">
        <f t="shared" si="13"/>
        <v>484372.93435794441</v>
      </c>
      <c r="Y26" s="64">
        <f t="shared" si="22"/>
        <v>393719200.26706111</v>
      </c>
      <c r="AF26" s="64">
        <f t="shared" si="16"/>
        <v>113981570.28413814</v>
      </c>
      <c r="AL26" s="64">
        <f t="shared" si="17"/>
        <v>12769456.320098592</v>
      </c>
      <c r="AR26" s="64">
        <f t="shared" si="18"/>
        <v>20810987.255893812</v>
      </c>
      <c r="AX26" s="64">
        <f t="shared" si="19"/>
        <v>111947219.78011999</v>
      </c>
      <c r="AY26" s="48">
        <f t="shared" si="20"/>
        <v>1348.6131319922406</v>
      </c>
      <c r="AZ26" s="14">
        <f t="shared" si="14"/>
        <v>653228433.90731168</v>
      </c>
      <c r="BA26" s="65">
        <f t="shared" si="15"/>
        <v>-392111.42305166926</v>
      </c>
    </row>
    <row r="27" spans="1:53" x14ac:dyDescent="0.25">
      <c r="B27" s="60">
        <f t="shared" si="1"/>
        <v>320906.39544752025</v>
      </c>
      <c r="C27" s="53">
        <f t="shared" si="2"/>
        <v>0.28525298181650283</v>
      </c>
      <c r="D27" s="55">
        <f t="shared" si="3"/>
        <v>96271.918634256072</v>
      </c>
      <c r="E27" s="53">
        <f t="shared" si="4"/>
        <v>0.1711517890899017</v>
      </c>
      <c r="F27" s="55">
        <f t="shared" si="5"/>
        <v>16045.319772376011</v>
      </c>
      <c r="G27" s="53">
        <f t="shared" si="6"/>
        <v>7.1313245454125707E-2</v>
      </c>
      <c r="H27" s="55">
        <f t="shared" si="7"/>
        <v>17649.851749613612</v>
      </c>
      <c r="I27" s="53">
        <f t="shared" si="8"/>
        <v>0.15688913999907655</v>
      </c>
      <c r="J27" s="55">
        <f t="shared" si="9"/>
        <v>102690.04654320648</v>
      </c>
      <c r="K27" s="53">
        <f t="shared" si="10"/>
        <v>0.45640477090640452</v>
      </c>
      <c r="L27" s="54">
        <f t="shared" si="11"/>
        <v>553563.53214697237</v>
      </c>
      <c r="M27" s="55"/>
      <c r="N27" s="51">
        <f t="shared" si="21"/>
        <v>0.36904604522510048</v>
      </c>
      <c r="O27" s="43">
        <f t="shared" si="12"/>
        <v>946430.93216234923</v>
      </c>
      <c r="P27" s="45">
        <f t="shared" si="13"/>
        <v>553569.06783765077</v>
      </c>
      <c r="Y27" s="64">
        <f t="shared" si="22"/>
        <v>517663515.23055243</v>
      </c>
      <c r="AF27" s="64">
        <f t="shared" si="16"/>
        <v>147648447.96805242</v>
      </c>
      <c r="AL27" s="64">
        <f t="shared" si="17"/>
        <v>15374814.80523912</v>
      </c>
      <c r="AR27" s="64">
        <f t="shared" si="18"/>
        <v>26914288.915903799</v>
      </c>
      <c r="AX27" s="64">
        <f t="shared" si="19"/>
        <v>145770001.96998942</v>
      </c>
      <c r="AY27" s="48">
        <f t="shared" si="20"/>
        <v>1541.5878258660928</v>
      </c>
      <c r="AZ27" s="14">
        <f t="shared" si="14"/>
        <v>853371068.88973713</v>
      </c>
      <c r="BA27" s="65">
        <f t="shared" si="15"/>
        <v>-461307.55653137562</v>
      </c>
    </row>
    <row r="28" spans="1:53" x14ac:dyDescent="0.25">
      <c r="B28" s="60">
        <f t="shared" si="1"/>
        <v>361019.69487846026</v>
      </c>
      <c r="C28" s="53">
        <f t="shared" si="2"/>
        <v>0.32090960454356565</v>
      </c>
      <c r="D28" s="55">
        <f t="shared" si="3"/>
        <v>108305.90846353807</v>
      </c>
      <c r="E28" s="53">
        <f t="shared" si="4"/>
        <v>0.19254576272613938</v>
      </c>
      <c r="F28" s="55">
        <f t="shared" si="5"/>
        <v>18050.984743923011</v>
      </c>
      <c r="G28" s="53">
        <f t="shared" si="6"/>
        <v>8.0227401135891413E-2</v>
      </c>
      <c r="H28" s="55">
        <f t="shared" si="7"/>
        <v>19856.083218315314</v>
      </c>
      <c r="I28" s="53">
        <f t="shared" si="8"/>
        <v>0.17650028249896113</v>
      </c>
      <c r="J28" s="55">
        <f t="shared" si="9"/>
        <v>115526.30236110729</v>
      </c>
      <c r="K28" s="53">
        <f t="shared" si="10"/>
        <v>0.51345536726970509</v>
      </c>
      <c r="L28" s="54">
        <f t="shared" si="11"/>
        <v>622758.97366534395</v>
      </c>
      <c r="M28" s="55"/>
      <c r="N28" s="51">
        <f t="shared" si="21"/>
        <v>0.41517680087823805</v>
      </c>
      <c r="O28" s="43">
        <f t="shared" si="12"/>
        <v>877234.79868264287</v>
      </c>
      <c r="P28" s="45">
        <f t="shared" si="13"/>
        <v>622765.20131735713</v>
      </c>
      <c r="Y28" s="64">
        <f t="shared" si="22"/>
        <v>676779006.66675019</v>
      </c>
      <c r="AF28" s="64">
        <f t="shared" si="16"/>
        <v>189399946.21605444</v>
      </c>
      <c r="AL28" s="64">
        <f t="shared" si="17"/>
        <v>18242673.930189677</v>
      </c>
      <c r="AR28" s="64">
        <f t="shared" si="18"/>
        <v>34455586.870899804</v>
      </c>
      <c r="AX28" s="64">
        <f t="shared" si="19"/>
        <v>189788153.24580124</v>
      </c>
      <c r="AY28" s="48">
        <f t="shared" si="20"/>
        <v>1780.2390177287334</v>
      </c>
      <c r="AZ28" s="14">
        <f t="shared" si="14"/>
        <v>1108665366.9296954</v>
      </c>
      <c r="BA28" s="65">
        <f t="shared" si="15"/>
        <v>-530503.69001108198</v>
      </c>
    </row>
    <row r="29" spans="1:53" x14ac:dyDescent="0.25">
      <c r="B29" s="60">
        <f t="shared" si="1"/>
        <v>401132.99430940032</v>
      </c>
      <c r="C29" s="53">
        <f t="shared" si="2"/>
        <v>0.35656622727062853</v>
      </c>
      <c r="D29" s="55">
        <f t="shared" si="3"/>
        <v>120339.89829282009</v>
      </c>
      <c r="E29" s="53">
        <f t="shared" si="4"/>
        <v>0.21393973636237712</v>
      </c>
      <c r="F29" s="55">
        <f t="shared" si="5"/>
        <v>20056.649715470016</v>
      </c>
      <c r="G29" s="53">
        <f t="shared" si="6"/>
        <v>8.9141556817657133E-2</v>
      </c>
      <c r="H29" s="55">
        <f t="shared" si="7"/>
        <v>22062.314687017017</v>
      </c>
      <c r="I29" s="53">
        <f t="shared" si="8"/>
        <v>0.19611142499884571</v>
      </c>
      <c r="J29" s="55">
        <f t="shared" si="9"/>
        <v>128362.55817900809</v>
      </c>
      <c r="K29" s="53">
        <f t="shared" si="10"/>
        <v>0.57050596363300565</v>
      </c>
      <c r="L29" s="54">
        <f t="shared" si="11"/>
        <v>691954.41518371552</v>
      </c>
      <c r="M29" s="55"/>
      <c r="N29" s="51">
        <f t="shared" si="21"/>
        <v>0.46130755653137562</v>
      </c>
      <c r="O29" s="43">
        <f t="shared" si="12"/>
        <v>808038.66520293662</v>
      </c>
      <c r="P29" s="45">
        <f t="shared" si="13"/>
        <v>691961.33479706338</v>
      </c>
      <c r="Y29" s="64">
        <f t="shared" si="22"/>
        <v>883751397.62873793</v>
      </c>
      <c r="AF29" s="64">
        <f t="shared" si="16"/>
        <v>241473925.35487264</v>
      </c>
      <c r="AL29" s="64">
        <f t="shared" si="17"/>
        <v>21402420.601556301</v>
      </c>
      <c r="AR29" s="64">
        <f t="shared" si="18"/>
        <v>43820801.319632061</v>
      </c>
      <c r="AX29" s="64">
        <f t="shared" si="19"/>
        <v>248890352.9232299</v>
      </c>
      <c r="AY29" s="48">
        <f t="shared" si="20"/>
        <v>2080.0961298807811</v>
      </c>
      <c r="AZ29" s="14">
        <f t="shared" si="14"/>
        <v>1439338897.8280289</v>
      </c>
      <c r="BA29" s="65">
        <f t="shared" si="15"/>
        <v>-599699.82349078823</v>
      </c>
    </row>
    <row r="30" spans="1:53" x14ac:dyDescent="0.25">
      <c r="B30" s="60">
        <f t="shared" si="1"/>
        <v>441246.29374034028</v>
      </c>
      <c r="C30" s="53">
        <f t="shared" si="2"/>
        <v>0.39222284999769136</v>
      </c>
      <c r="D30" s="55">
        <f t="shared" si="3"/>
        <v>132373.88812210207</v>
      </c>
      <c r="E30" s="53">
        <f t="shared" si="4"/>
        <v>0.2353337099986148</v>
      </c>
      <c r="F30" s="55">
        <f t="shared" si="5"/>
        <v>22062.314687017017</v>
      </c>
      <c r="G30" s="53">
        <f t="shared" si="6"/>
        <v>9.805571249942284E-2</v>
      </c>
      <c r="H30" s="55">
        <f t="shared" si="7"/>
        <v>24268.546155718719</v>
      </c>
      <c r="I30" s="53">
        <f t="shared" si="8"/>
        <v>0.21572256749873026</v>
      </c>
      <c r="J30" s="55">
        <f t="shared" si="9"/>
        <v>141198.8139969089</v>
      </c>
      <c r="K30" s="53">
        <f t="shared" si="10"/>
        <v>0.62755655999630622</v>
      </c>
      <c r="L30" s="54">
        <f t="shared" si="11"/>
        <v>761149.85670208698</v>
      </c>
      <c r="M30" s="55"/>
      <c r="N30" s="51">
        <f t="shared" si="21"/>
        <v>0.50743831218451318</v>
      </c>
      <c r="O30" s="43">
        <f t="shared" si="12"/>
        <v>738842.53172323026</v>
      </c>
      <c r="P30" s="45">
        <f t="shared" si="13"/>
        <v>761157.46827676974</v>
      </c>
      <c r="Y30" s="64">
        <f t="shared" si="22"/>
        <v>1156940271.6101468</v>
      </c>
      <c r="AF30" s="64">
        <f t="shared" si="16"/>
        <v>306814681.94322813</v>
      </c>
      <c r="AL30" s="64">
        <f t="shared" si="17"/>
        <v>24887067.309836023</v>
      </c>
      <c r="AR30" s="64">
        <f t="shared" si="18"/>
        <v>55512746.12551827</v>
      </c>
      <c r="AX30" s="64">
        <f t="shared" si="19"/>
        <v>331454043.43875968</v>
      </c>
      <c r="AY30" s="48">
        <f t="shared" si="20"/>
        <v>2464.1657825925381</v>
      </c>
      <c r="AZ30" s="14">
        <f t="shared" si="14"/>
        <v>1875608810.4274888</v>
      </c>
      <c r="BA30" s="65">
        <f t="shared" si="15"/>
        <v>-668895.95697049459</v>
      </c>
    </row>
    <row r="31" spans="1:53" x14ac:dyDescent="0.25">
      <c r="B31" s="60">
        <f t="shared" si="1"/>
        <v>481359.59317128028</v>
      </c>
      <c r="C31" s="53">
        <f t="shared" si="2"/>
        <v>0.42787947272475418</v>
      </c>
      <c r="D31" s="55">
        <f t="shared" si="3"/>
        <v>144407.87795138409</v>
      </c>
      <c r="E31" s="53">
        <f t="shared" si="4"/>
        <v>0.25672768363485249</v>
      </c>
      <c r="F31" s="55">
        <f t="shared" si="5"/>
        <v>24067.979658564014</v>
      </c>
      <c r="G31" s="53">
        <f t="shared" si="6"/>
        <v>0.10696986818118855</v>
      </c>
      <c r="H31" s="55">
        <f t="shared" si="7"/>
        <v>26474.777624420421</v>
      </c>
      <c r="I31" s="53">
        <f t="shared" si="8"/>
        <v>0.23533370999861483</v>
      </c>
      <c r="J31" s="55">
        <f t="shared" si="9"/>
        <v>154035.06981480971</v>
      </c>
      <c r="K31" s="53">
        <f t="shared" si="10"/>
        <v>0.68460715635960678</v>
      </c>
      <c r="L31" s="54">
        <f t="shared" si="11"/>
        <v>830345.29822045844</v>
      </c>
      <c r="M31" s="55"/>
      <c r="N31" s="51">
        <f t="shared" si="21"/>
        <v>0.5535690678376507</v>
      </c>
      <c r="O31" s="43">
        <f t="shared" si="12"/>
        <v>669646.3982435239</v>
      </c>
      <c r="P31" s="45">
        <f t="shared" si="13"/>
        <v>830353.6017564761</v>
      </c>
      <c r="Y31" s="64">
        <f t="shared" si="22"/>
        <v>1523473742.7842546</v>
      </c>
      <c r="AF31" s="64">
        <f t="shared" si="16"/>
        <v>389325110.62179905</v>
      </c>
      <c r="AL31" s="64">
        <f t="shared" si="17"/>
        <v>28733741.706567012</v>
      </c>
      <c r="AR31" s="64">
        <f t="shared" si="18"/>
        <v>70190793.295484543</v>
      </c>
      <c r="AX31" s="64">
        <f t="shared" si="19"/>
        <v>452956861.64701688</v>
      </c>
      <c r="AY31" s="48">
        <f t="shared" si="20"/>
        <v>2968.244574684938</v>
      </c>
      <c r="AZ31" s="14">
        <f t="shared" si="14"/>
        <v>2464680250.0551219</v>
      </c>
      <c r="BA31" s="65">
        <f t="shared" si="15"/>
        <v>-738092.09045020095</v>
      </c>
    </row>
    <row r="32" spans="1:53" x14ac:dyDescent="0.25">
      <c r="B32" s="60">
        <f t="shared" si="1"/>
        <v>521472.89260222029</v>
      </c>
      <c r="C32" s="53">
        <f t="shared" si="2"/>
        <v>0.46353609545181701</v>
      </c>
      <c r="D32" s="55">
        <f t="shared" si="3"/>
        <v>156441.86778066607</v>
      </c>
      <c r="E32" s="53">
        <f t="shared" si="4"/>
        <v>0.27812165727109017</v>
      </c>
      <c r="F32" s="55">
        <f t="shared" si="5"/>
        <v>26073.644630111015</v>
      </c>
      <c r="G32" s="53">
        <f t="shared" si="6"/>
        <v>0.11588402386295425</v>
      </c>
      <c r="H32" s="55">
        <f t="shared" si="7"/>
        <v>28681.009093122117</v>
      </c>
      <c r="I32" s="53">
        <f t="shared" si="8"/>
        <v>0.25494485249849935</v>
      </c>
      <c r="J32" s="55">
        <f t="shared" si="9"/>
        <v>166871.3256327105</v>
      </c>
      <c r="K32" s="53">
        <f t="shared" si="10"/>
        <v>0.74165775272290724</v>
      </c>
      <c r="L32" s="54">
        <f t="shared" si="11"/>
        <v>899540.73973883002</v>
      </c>
      <c r="M32" s="55"/>
      <c r="N32" s="51">
        <f t="shared" si="21"/>
        <v>0.59969982349078821</v>
      </c>
      <c r="O32" s="43">
        <f t="shared" si="12"/>
        <v>600450.26476381766</v>
      </c>
      <c r="P32" s="45">
        <f t="shared" si="13"/>
        <v>899549.73523618234</v>
      </c>
      <c r="Y32" s="64">
        <f t="shared" si="22"/>
        <v>2024378312.3982561</v>
      </c>
      <c r="AF32" s="64">
        <f t="shared" si="16"/>
        <v>494219946.55014473</v>
      </c>
      <c r="AL32" s="64">
        <f t="shared" si="17"/>
        <v>32984248.118405528</v>
      </c>
      <c r="AR32" s="64">
        <f t="shared" si="18"/>
        <v>88725523.067535028</v>
      </c>
      <c r="AX32" s="64">
        <f t="shared" si="19"/>
        <v>495861145.30289018</v>
      </c>
      <c r="AY32" s="48">
        <f t="shared" si="20"/>
        <v>3486.3940630192396</v>
      </c>
      <c r="AZ32" s="14">
        <f t="shared" si="14"/>
        <v>3136169175.4372315</v>
      </c>
      <c r="BA32" s="65">
        <f t="shared" si="15"/>
        <v>-807288.2239299072</v>
      </c>
    </row>
    <row r="33" spans="2:53" x14ac:dyDescent="0.25">
      <c r="B33" s="60">
        <f t="shared" si="1"/>
        <v>561586.19203316025</v>
      </c>
      <c r="C33" s="53">
        <f t="shared" si="2"/>
        <v>0.49919271817887978</v>
      </c>
      <c r="D33" s="55">
        <f t="shared" si="3"/>
        <v>168475.85760994806</v>
      </c>
      <c r="E33" s="53">
        <f t="shared" si="4"/>
        <v>0.29951563090732786</v>
      </c>
      <c r="F33" s="55">
        <f t="shared" si="5"/>
        <v>28079.309601658013</v>
      </c>
      <c r="G33" s="53">
        <f t="shared" si="6"/>
        <v>0.12479817954471994</v>
      </c>
      <c r="H33" s="55">
        <f t="shared" si="7"/>
        <v>30887.240561823815</v>
      </c>
      <c r="I33" s="53">
        <f t="shared" si="8"/>
        <v>0.2745559949983839</v>
      </c>
      <c r="J33" s="55">
        <f t="shared" si="9"/>
        <v>179707.58145061129</v>
      </c>
      <c r="K33" s="53">
        <f t="shared" si="10"/>
        <v>0.79870834908620769</v>
      </c>
      <c r="L33" s="54">
        <f t="shared" si="11"/>
        <v>968736.18125720148</v>
      </c>
      <c r="M33" s="55"/>
      <c r="N33" s="51">
        <f t="shared" si="21"/>
        <v>0.64583057914392572</v>
      </c>
      <c r="O33" s="43">
        <f t="shared" si="12"/>
        <v>531254.13128411141</v>
      </c>
      <c r="P33" s="45">
        <f t="shared" si="13"/>
        <v>968745.86871588859</v>
      </c>
      <c r="Y33" s="64">
        <f t="shared" si="22"/>
        <v>2723345875.4905276</v>
      </c>
      <c r="AF33" s="64">
        <f t="shared" si="16"/>
        <v>628525337.4805541</v>
      </c>
      <c r="AL33" s="64">
        <f t="shared" si="17"/>
        <v>37685712.442599781</v>
      </c>
      <c r="AR33" s="64">
        <f t="shared" si="18"/>
        <v>112274631.67894769</v>
      </c>
      <c r="AX33" s="64">
        <f t="shared" si="19"/>
        <v>495861145.30289018</v>
      </c>
      <c r="AY33" s="48">
        <f t="shared" si="20"/>
        <v>4126.6887632796597</v>
      </c>
      <c r="AZ33" s="14">
        <f t="shared" si="14"/>
        <v>3997692702.3955197</v>
      </c>
      <c r="BA33" s="65">
        <f t="shared" si="15"/>
        <v>-876484.35740961344</v>
      </c>
    </row>
    <row r="34" spans="2:53" x14ac:dyDescent="0.25">
      <c r="B34" s="60">
        <f t="shared" si="1"/>
        <v>601699.4914641002</v>
      </c>
      <c r="C34" s="53">
        <f t="shared" si="2"/>
        <v>0.53484934090594261</v>
      </c>
      <c r="D34" s="55">
        <f t="shared" si="3"/>
        <v>180509.84743923007</v>
      </c>
      <c r="E34" s="53">
        <f t="shared" si="4"/>
        <v>0.32090960454356554</v>
      </c>
      <c r="F34" s="55">
        <f t="shared" si="5"/>
        <v>30084.974573205011</v>
      </c>
      <c r="G34" s="53">
        <f t="shared" si="6"/>
        <v>0.13371233522648565</v>
      </c>
      <c r="H34" s="55">
        <f t="shared" si="7"/>
        <v>33093.472030525518</v>
      </c>
      <c r="I34" s="53">
        <f t="shared" si="8"/>
        <v>0.29416713749826845</v>
      </c>
      <c r="J34" s="55">
        <f t="shared" si="9"/>
        <v>192543.83726851208</v>
      </c>
      <c r="K34" s="53">
        <f t="shared" si="10"/>
        <v>0.85575894544950826</v>
      </c>
      <c r="L34" s="54">
        <f t="shared" si="11"/>
        <v>1037931.6227755729</v>
      </c>
      <c r="M34" s="55"/>
      <c r="N34" s="51">
        <f t="shared" si="21"/>
        <v>0.69196133479706323</v>
      </c>
      <c r="O34" s="43">
        <f t="shared" si="12"/>
        <v>462057.99780440517</v>
      </c>
      <c r="P34" s="45">
        <f t="shared" si="13"/>
        <v>1037942.0021955948</v>
      </c>
      <c r="Y34" s="64">
        <f t="shared" si="22"/>
        <v>3722242773.799583</v>
      </c>
      <c r="AF34" s="64">
        <f t="shared" si="16"/>
        <v>801792511.96554291</v>
      </c>
      <c r="AL34" s="64">
        <f t="shared" si="17"/>
        <v>42891323.831077576</v>
      </c>
      <c r="AR34" s="64">
        <f t="shared" si="18"/>
        <v>142389264.7799747</v>
      </c>
      <c r="AX34" s="64">
        <f t="shared" si="19"/>
        <v>495861145.30289018</v>
      </c>
      <c r="AY34" s="48">
        <f t="shared" si="20"/>
        <v>5014.9266862804025</v>
      </c>
      <c r="AZ34" s="14">
        <f t="shared" si="14"/>
        <v>5205177019.6790686</v>
      </c>
      <c r="BA34" s="65">
        <f t="shared" si="15"/>
        <v>-945680.49088931968</v>
      </c>
    </row>
    <row r="35" spans="2:53" x14ac:dyDescent="0.25">
      <c r="B35" s="60">
        <f t="shared" si="1"/>
        <v>641812.79089504026</v>
      </c>
      <c r="C35" s="53">
        <f t="shared" si="2"/>
        <v>0.57050596363300543</v>
      </c>
      <c r="D35" s="55">
        <f t="shared" si="3"/>
        <v>192543.83726851206</v>
      </c>
      <c r="E35" s="53">
        <f t="shared" si="4"/>
        <v>0.34230357817980323</v>
      </c>
      <c r="F35" s="55">
        <f t="shared" si="5"/>
        <v>32090.639544752012</v>
      </c>
      <c r="G35" s="53">
        <f t="shared" si="6"/>
        <v>0.14262649090825136</v>
      </c>
      <c r="H35" s="55">
        <f t="shared" si="7"/>
        <v>35299.703499227217</v>
      </c>
      <c r="I35" s="53">
        <f t="shared" si="8"/>
        <v>0.313778279998153</v>
      </c>
      <c r="J35" s="55">
        <f t="shared" si="9"/>
        <v>205380.09308641287</v>
      </c>
      <c r="K35" s="53">
        <f t="shared" si="10"/>
        <v>0.91280954181280871</v>
      </c>
      <c r="L35" s="54">
        <f t="shared" si="11"/>
        <v>1107127.0642939443</v>
      </c>
      <c r="M35" s="55"/>
      <c r="N35" s="51">
        <f t="shared" si="21"/>
        <v>0.73809209045020074</v>
      </c>
      <c r="O35" s="43">
        <f t="shared" si="12"/>
        <v>392861.86432469892</v>
      </c>
      <c r="P35" s="45">
        <f t="shared" si="13"/>
        <v>1107138.1356753011</v>
      </c>
      <c r="Y35" s="64">
        <f t="shared" si="22"/>
        <v>5189646884.0058384</v>
      </c>
      <c r="AF35" s="64">
        <f t="shared" si="16"/>
        <v>1027128237.6923612</v>
      </c>
      <c r="AL35" s="64">
        <f t="shared" si="17"/>
        <v>48661188.894624561</v>
      </c>
      <c r="AR35" s="64">
        <f t="shared" si="18"/>
        <v>181164310.16661745</v>
      </c>
      <c r="AX35" s="64">
        <f t="shared" si="19"/>
        <v>495861145.30289018</v>
      </c>
      <c r="AY35" s="48">
        <f t="shared" si="20"/>
        <v>6270.668722122653</v>
      </c>
      <c r="AZ35" s="14">
        <f t="shared" si="14"/>
        <v>6942461766.0623312</v>
      </c>
      <c r="BA35" s="65">
        <f t="shared" si="15"/>
        <v>-1014876.6243690259</v>
      </c>
    </row>
    <row r="36" spans="2:53" x14ac:dyDescent="0.25">
      <c r="B36" s="60">
        <f t="shared" si="1"/>
        <v>681926.09032598021</v>
      </c>
      <c r="C36" s="53">
        <f t="shared" si="2"/>
        <v>0.60616258636006826</v>
      </c>
      <c r="D36" s="55">
        <f t="shared" si="3"/>
        <v>204577.82709779407</v>
      </c>
      <c r="E36" s="53">
        <f t="shared" si="4"/>
        <v>0.36369755181604096</v>
      </c>
      <c r="F36" s="55">
        <f t="shared" si="5"/>
        <v>34096.304516299009</v>
      </c>
      <c r="G36" s="53">
        <f t="shared" si="6"/>
        <v>0.15154064659001706</v>
      </c>
      <c r="H36" s="55">
        <f t="shared" si="7"/>
        <v>37505.934967928915</v>
      </c>
      <c r="I36" s="53">
        <f t="shared" si="8"/>
        <v>0.33338942249803755</v>
      </c>
      <c r="J36" s="55">
        <f t="shared" si="9"/>
        <v>218216.34890431369</v>
      </c>
      <c r="K36" s="53">
        <f>C36*cutratio_lndscp</f>
        <v>0.96986013817610928</v>
      </c>
      <c r="L36" s="54">
        <f t="shared" si="11"/>
        <v>1176322.5058123157</v>
      </c>
      <c r="M36" s="55"/>
      <c r="N36" s="51">
        <f t="shared" si="21"/>
        <v>0.78422284610333826</v>
      </c>
      <c r="O36" s="43">
        <f t="shared" si="12"/>
        <v>323665.73084499268</v>
      </c>
      <c r="P36" s="45">
        <f t="shared" si="13"/>
        <v>1176334.2691550073</v>
      </c>
      <c r="Y36" s="64">
        <f t="shared" si="22"/>
        <v>7415790703.0295877</v>
      </c>
      <c r="AF36" s="64">
        <f t="shared" si="16"/>
        <v>1322699653.3105819</v>
      </c>
      <c r="AL36" s="64">
        <f t="shared" si="17"/>
        <v>55063316.915649801</v>
      </c>
      <c r="AR36" s="64">
        <f t="shared" si="18"/>
        <v>231452836.70505196</v>
      </c>
      <c r="AX36" s="64">
        <f t="shared" si="19"/>
        <v>495861145.30289018</v>
      </c>
      <c r="AY36" s="48">
        <f t="shared" si="20"/>
        <v>8093.715799461449</v>
      </c>
      <c r="AZ36" s="14">
        <f t="shared" si="14"/>
        <v>9520867655.2637615</v>
      </c>
      <c r="BA36" s="65">
        <f t="shared" si="15"/>
        <v>-1084072.7578487322</v>
      </c>
    </row>
    <row r="37" spans="2:53" x14ac:dyDescent="0.25">
      <c r="B37" s="60">
        <f t="shared" si="1"/>
        <v>722039.38975692028</v>
      </c>
      <c r="C37" s="53">
        <f t="shared" si="2"/>
        <v>0.64181920908713108</v>
      </c>
      <c r="D37" s="55">
        <f t="shared" si="3"/>
        <v>216611.81692707608</v>
      </c>
      <c r="E37" s="53">
        <f t="shared" si="4"/>
        <v>0.38509152545227865</v>
      </c>
      <c r="F37" s="55">
        <f t="shared" si="5"/>
        <v>36101.969487846014</v>
      </c>
      <c r="G37" s="53">
        <f t="shared" si="6"/>
        <v>0.16045480227178277</v>
      </c>
      <c r="H37" s="55">
        <f t="shared" si="7"/>
        <v>39712.166436630621</v>
      </c>
      <c r="I37" s="53">
        <f t="shared" si="8"/>
        <v>0.35300056499792215</v>
      </c>
      <c r="J37" s="55">
        <f t="shared" si="9"/>
        <v>231052.60472221448</v>
      </c>
      <c r="K37" s="53">
        <f t="shared" si="10"/>
        <v>1.0269107345394097</v>
      </c>
      <c r="L37" s="54">
        <f>J37+H37+F37+D37+B37</f>
        <v>1245517.9473306874</v>
      </c>
      <c r="M37" s="55"/>
      <c r="N37" s="51">
        <f t="shared" si="21"/>
        <v>0.83035360175647577</v>
      </c>
      <c r="O37" s="43">
        <f t="shared" si="12"/>
        <v>254469.59736528643</v>
      </c>
      <c r="P37" s="45">
        <f t="shared" si="13"/>
        <v>1245530.4026347136</v>
      </c>
      <c r="R37" s="11" t="s">
        <v>73</v>
      </c>
      <c r="S37" s="11" t="s">
        <v>71</v>
      </c>
      <c r="T37" s="11" t="s">
        <v>72</v>
      </c>
      <c r="U37" s="11" t="s">
        <v>74</v>
      </c>
      <c r="V37" s="11" t="s">
        <v>75</v>
      </c>
      <c r="W37" s="72" t="s">
        <v>76</v>
      </c>
      <c r="X37" s="72" t="s">
        <v>79</v>
      </c>
      <c r="Y37" s="64">
        <f t="shared" si="22"/>
        <v>10924077017.13736</v>
      </c>
      <c r="Z37" s="11" t="s">
        <v>73</v>
      </c>
      <c r="AA37" s="11" t="s">
        <v>71</v>
      </c>
      <c r="AB37" s="11" t="s">
        <v>72</v>
      </c>
      <c r="AC37" s="11" t="s">
        <v>74</v>
      </c>
      <c r="AD37" s="11" t="s">
        <v>75</v>
      </c>
      <c r="AE37" s="143" t="s">
        <v>76</v>
      </c>
      <c r="AF37" s="64">
        <f t="shared" si="16"/>
        <v>1713958521.8476808</v>
      </c>
      <c r="AG37" s="11" t="s">
        <v>73</v>
      </c>
      <c r="AH37" s="11" t="s">
        <v>71</v>
      </c>
      <c r="AI37" s="11" t="s">
        <v>72</v>
      </c>
      <c r="AJ37" s="11" t="s">
        <v>74</v>
      </c>
      <c r="AK37" s="11" t="s">
        <v>75</v>
      </c>
      <c r="AL37" s="64">
        <f t="shared" si="17"/>
        <v>62174757.834079713</v>
      </c>
      <c r="AM37" s="11" t="s">
        <v>73</v>
      </c>
      <c r="AN37" s="11" t="s">
        <v>71</v>
      </c>
      <c r="AO37" s="11" t="s">
        <v>72</v>
      </c>
      <c r="AP37" s="11" t="s">
        <v>74</v>
      </c>
      <c r="AQ37" s="11" t="s">
        <v>75</v>
      </c>
      <c r="AR37" s="64">
        <f t="shared" si="18"/>
        <v>297175122.05525213</v>
      </c>
      <c r="AS37" s="11" t="s">
        <v>73</v>
      </c>
      <c r="AT37" s="11" t="s">
        <v>71</v>
      </c>
      <c r="AU37" s="11" t="s">
        <v>72</v>
      </c>
      <c r="AV37" s="11" t="s">
        <v>74</v>
      </c>
      <c r="AW37" s="11" t="s">
        <v>75</v>
      </c>
      <c r="AX37" s="64">
        <f t="shared" si="19"/>
        <v>495861145.30289018</v>
      </c>
      <c r="AY37" s="48">
        <f t="shared" si="20"/>
        <v>10833.387930167843</v>
      </c>
      <c r="AZ37" s="14">
        <f t="shared" si="14"/>
        <v>13493246564.177263</v>
      </c>
      <c r="BA37" s="65">
        <f t="shared" si="15"/>
        <v>-1153268.8913284384</v>
      </c>
    </row>
    <row r="38" spans="2:53" x14ac:dyDescent="0.25">
      <c r="B38" s="129">
        <f>shortage_dist_sf*base_use_sf</f>
        <v>802265.98861880065</v>
      </c>
      <c r="C38" s="150">
        <f>Total_adjusted_shortage/(size_sf+cutratio_mf*size_mf+cutratio_ind*size_ind+cutratio_com*size_com+cutratio_lndscp*size_lndscp)</f>
        <v>0.71313245454125707</v>
      </c>
      <c r="D38" s="142">
        <f>shortage_dist_mf*base_use_mf</f>
        <v>240679.79658564017</v>
      </c>
      <c r="E38" s="99">
        <f>shortage_dist_sf*cutratio_mf</f>
        <v>0.42787947272475424</v>
      </c>
      <c r="F38" s="100">
        <f>shortage_dist_ind*base_use_ind</f>
        <v>40113.299430940031</v>
      </c>
      <c r="G38" s="99">
        <f>shortage_dist_sf*cutratio_ind</f>
        <v>0.17828311363531427</v>
      </c>
      <c r="H38" s="100">
        <f>shortage_dist_comm*base_use_comm</f>
        <v>44124.629374034033</v>
      </c>
      <c r="I38" s="99">
        <f>shortage_dist_sf*cutratio_com</f>
        <v>0.39222284999769141</v>
      </c>
      <c r="J38" s="100">
        <f>shortage_dist_lndscp*base_use_lndscp</f>
        <v>256725.11635801618</v>
      </c>
      <c r="K38" s="99">
        <f>shortage_dist_sf*cutratio_lndscp</f>
        <v>1.1410119272660113</v>
      </c>
      <c r="L38" s="78">
        <f>J38+H38+F38+D38+B38</f>
        <v>1383908.830367431</v>
      </c>
      <c r="M38" s="77"/>
      <c r="N38" s="52">
        <f>H13</f>
        <v>0.92261511306275124</v>
      </c>
      <c r="O38" s="44">
        <f t="shared" si="12"/>
        <v>116077.33040587325</v>
      </c>
      <c r="P38" s="46">
        <f>base_use_total-O38</f>
        <v>1383922.6695941268</v>
      </c>
      <c r="Q38" s="141">
        <f>((R38*S38)/T38)-((elasticity_sf*(base_use_sf-shortage_af_SF)*EXP((LN((base_use_sf-shortage_af_SF)/coeff_sf))/elasticity_sf))/(elasticity_sf + 1))</f>
        <v>26811725829.563038</v>
      </c>
      <c r="R38" s="140">
        <f>elasticity_sf*base_use_sf</f>
        <v>-224997.75</v>
      </c>
      <c r="S38" s="140">
        <f>EXP((LN(base_use_sf/coeff_sf))/elasticity_sf)</f>
        <v>650.00000000000057</v>
      </c>
      <c r="T38" s="11">
        <f>elasticity_sf + 1</f>
        <v>0.8</v>
      </c>
      <c r="U38" s="11">
        <f>(R38*S38)/T38</f>
        <v>-182810671.87500015</v>
      </c>
      <c r="V38" s="11">
        <f>elasticity_sf*(base_use_sf-shortage_af_SF)</f>
        <v>-64544.552276239876</v>
      </c>
      <c r="Y38" s="148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22386408078.124992</v>
      </c>
      <c r="Z38">
        <f>elasticity_mf*base_use_mf</f>
        <v>-67499.324999999997</v>
      </c>
      <c r="AA38">
        <f>EXP((LN(base_use_mf/coeff_mf))/elasticity_mf)</f>
        <v>650.00000000000114</v>
      </c>
      <c r="AB38">
        <f>elasticity_mf + 1</f>
        <v>0.88</v>
      </c>
      <c r="AC38" s="11">
        <f>(Z38*AA38)/AB38</f>
        <v>-49857455.965909176</v>
      </c>
      <c r="AD38">
        <f>elasticity_mf*(base_use_mf-shortage_af_MF)</f>
        <v>-38617.749409723176</v>
      </c>
      <c r="AE38">
        <f>LN((base_use_mf-shortage_af_MF)/coeff_mf)</f>
        <v>-1.3356422813261004</v>
      </c>
      <c r="AF38" s="144">
        <f>IF(shortage_MF&lt;=lowerbound_MF,((elasticity_mf*base_use_mf*EXP((LN(base_use_mf/coeff_mf))/elasticity_mf))/(elasticity_mf + 1))-((elasticity_mf*(base_use_mf*(1-lowerbound_MF)*EXP((LN((base_use_mf*(1-lowerbound_MF)/coeff_mf))/elasticity_mf))/(elasticity_mf + 1)))), IF(shortage_MF&gt;=upperbound_MF,((elasticity_mf*base_use_mf*EXP((LN(base_use_mf/coeff_mf))/elasticity_mf))/(elasticity_mf + 1))-((elasticity_mf*(base_use_mf*(1-upperbound_MF))*EXP((LN((base_use_mf*(1-upperbound_MF))/coeff_mf))/elasticity_mf))/(elasticity_mf + 1)), ((elasticity_mf*base_use_mf*EXP((LN(base_use_mf/coeff_mf))/elasticity_mf))/(elasticity_mf + 1))-((elasticity_mf*(base_use_mf-shortage_af_MF)*EXP((AE38)/elasticity_mf))/(elasticity_mf + 1))))</f>
        <v>2943474573.2709417</v>
      </c>
      <c r="AG38">
        <f>elasticity_ind*base_use_ind</f>
        <v>-22499.775000000001</v>
      </c>
      <c r="AH38">
        <f>EXP((LN(base_use_ind/coeff_ind))/elasticity_ind)</f>
        <v>649.99999999999932</v>
      </c>
      <c r="AI38">
        <f>elasticity_ind + 1</f>
        <v>0.9</v>
      </c>
      <c r="AJ38" s="11">
        <f>(AG38*AH38)/AI38</f>
        <v>-16249837.499999983</v>
      </c>
      <c r="AK38">
        <f>elasticity_ind*(base_use_ind-shortage_af_IND)</f>
        <v>-18488.445056905995</v>
      </c>
      <c r="AL38" s="64">
        <f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78887088.701905936</v>
      </c>
      <c r="AM38">
        <f>elasticity_comm*base_use_comm</f>
        <v>-12374.876249999999</v>
      </c>
      <c r="AN38">
        <f>EXP((LN(base_use_comm/coeff_comm))/elasticity_comm)</f>
        <v>650.00000000000057</v>
      </c>
      <c r="AO38">
        <f>elasticity_comm + 1</f>
        <v>0.89</v>
      </c>
      <c r="AP38" s="11">
        <f>(AM38*AN38)/AO38</f>
        <v>-9037830.969101131</v>
      </c>
      <c r="AQ38">
        <f>elasticity_comm*(base_use_comm-shortage_af_COM)</f>
        <v>-7521.1670188562566</v>
      </c>
      <c r="AR38" s="64">
        <f>IF(shortage_COM&lt;=lowerbound_COM,((elasticity_comm*base_use_comm*EXP((LN(base_use_comm/coeff_comm))/elasticity_comm))/(elasticity_comm + 1))-((elasticity_comm*(base_use_comm*(1-lowerbound_COM)*EXP((LN((base_use_comm*(1-lowerbound_COM)/coeff_comm))/elasticity_comm))/(elasticity_comm + 1)))), IF(shortage_COM&gt;=upperbound_COM,((elasticity_comm*base_use_comm*EXP((LN(base_use_comm/coeff_comm))/elasticity_comm))/(elasticity_comm + 1))-((elasticity_comm*(base_use_comm*(1-upperbound_COM))*EXP((LN((base_use_comm*(1-upperbound_COM))/coeff_comm))/elasticity_comm))/(elasticity_comm + 1)), ((elasticity_comm*base_use_comm*EXP((LN(base_use_comm/coeff_comm))/elasticity_comm))/(elasticity_comm + 1))-((elasticity_comm*(base_use_comm-shortage_af_COM)*EXP((LN((base_use_comm-shortage_af_COM)/coeff_comm))/elasticity_comm))/(elasticity_comm + 1))))</f>
        <v>498851244.08505064</v>
      </c>
      <c r="AS38">
        <f>elasticity_lndscp*base_use_lndscp</f>
        <v>-89999.1</v>
      </c>
      <c r="AT38">
        <f>EXP((LN(base_use_lndscp/coeff_lndscp))/elasticity_lndscp)</f>
        <v>650.00000000000057</v>
      </c>
      <c r="AU38">
        <f>elasticity_lndscp + 1</f>
        <v>0.6</v>
      </c>
      <c r="AV38" s="11">
        <f>(AS38*AT38)/AU38</f>
        <v>-97499025.000000089</v>
      </c>
      <c r="AW38">
        <f>elasticity_lndscp*(base_use_lndscp-shortage_af_LNDSCP)</f>
        <v>12690.946543206474</v>
      </c>
      <c r="AX38" s="64">
        <f>IF(shortage_LNDSCP&lt;=$U$14,((elasticity_lndscp*base_use_lndscp*EXP((LN(base_use_lndscp/coeff_lndscp))/elasticity_lndscp))/(elasticity_lndscp + 1))-((elasticity_lndscp*(base_use_lndscp*(1-low_bound_lndscp)*EXP((LN((base_use_lndscp*(1-low_bound_lndscp)/coeff_lndscp))/elasticity_lndscp))/(elasticity_lndscp + 1)))), IF(shortage_LNDSCP&gt;=upperbound_LNDSCP,((elasticity_lndscp*base_use_lndscp*EXP((LN(base_use_lndscp/coeff_lndscp))/elasticity_lndscp))/(elasticity_lndscp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+ 1)), 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+ 1))))</f>
        <v>495861145.30289018</v>
      </c>
      <c r="AY38" s="48">
        <f t="shared" si="20"/>
        <v>19078.821907681722</v>
      </c>
      <c r="AZ38" s="144">
        <f t="shared" si="14"/>
        <v>26403482129.485783</v>
      </c>
      <c r="BA38" s="65">
        <f t="shared" si="15"/>
        <v>-1291661.1582878516</v>
      </c>
    </row>
    <row r="39" spans="2:53" x14ac:dyDescent="0.25">
      <c r="B39" s="62"/>
      <c r="C39" s="79" t="s">
        <v>60</v>
      </c>
      <c r="D39" s="9"/>
      <c r="E39" s="79"/>
      <c r="F39" s="9"/>
      <c r="G39" s="9"/>
      <c r="H39" s="9"/>
      <c r="I39" s="9"/>
      <c r="J39" s="9"/>
      <c r="K39" s="9"/>
      <c r="L39" s="28"/>
      <c r="Q39" s="42"/>
      <c r="R39" s="140">
        <f>elasticity_sf*base_use_sf</f>
        <v>-224997.75</v>
      </c>
      <c r="S39" s="140">
        <f>EXP((LN(base_use_sf/coeff_sf))/elasticity_sf)</f>
        <v>650.00000000000057</v>
      </c>
      <c r="T39" s="11">
        <f>elasticity_sf + 1</f>
        <v>0.8</v>
      </c>
      <c r="U39" s="11">
        <f>(R39*S39)/T39</f>
        <v>-182810671.87500015</v>
      </c>
      <c r="V39" s="147">
        <f>elasticity_sf*(base_use_sf*(1-upperbound_SF))</f>
        <v>-67499.325000000012</v>
      </c>
      <c r="W39" s="147">
        <f>LN((base_use_sf*(1-upperbound_SF))/coeff_sf)</f>
        <v>-2.4993672769038726</v>
      </c>
      <c r="X39" s="147">
        <f>EXP((W39/elasticity_sf)/(elasticity_sf+1))</f>
        <v>6083224.6331954384</v>
      </c>
      <c r="Y39" s="144">
        <f>U39-(V39*X39)</f>
        <v>410430745892.18976</v>
      </c>
      <c r="Z39" s="11"/>
      <c r="AA39" s="11"/>
      <c r="AB39" s="42"/>
      <c r="AC39" s="49"/>
      <c r="AD39" s="18"/>
      <c r="AF39">
        <v>319933590.67021275</v>
      </c>
    </row>
    <row r="40" spans="2:53" x14ac:dyDescent="0.25">
      <c r="B40" s="19"/>
      <c r="C40" s="63">
        <f>C38/$C$38</f>
        <v>1</v>
      </c>
      <c r="D40" s="8"/>
      <c r="E40" s="63">
        <f>E38/$C$38</f>
        <v>0.6</v>
      </c>
      <c r="F40" s="8"/>
      <c r="G40" s="63">
        <f>G38/$C$38</f>
        <v>0.25</v>
      </c>
      <c r="H40" s="8"/>
      <c r="I40" s="63">
        <f>I38/$C$38</f>
        <v>0.55000000000000004</v>
      </c>
      <c r="J40" s="8"/>
      <c r="K40" s="63">
        <f>K38/$C$38</f>
        <v>1.6</v>
      </c>
      <c r="L40" s="47"/>
      <c r="Q40" s="42"/>
      <c r="R40" s="42"/>
      <c r="S40" s="42"/>
      <c r="T40" s="42"/>
      <c r="U40" s="42"/>
      <c r="Y40" s="147"/>
      <c r="Z40" s="11"/>
      <c r="AA40" s="11"/>
      <c r="AB40" s="42"/>
      <c r="AC40" s="11"/>
    </row>
    <row r="41" spans="2:53" ht="14.1" customHeight="1" x14ac:dyDescent="0.25">
      <c r="C41" s="96"/>
      <c r="D41" s="96"/>
      <c r="E41" s="96"/>
      <c r="F41" s="96"/>
      <c r="G41" s="96"/>
      <c r="H41" s="96"/>
      <c r="I41" s="96"/>
      <c r="J41" s="96"/>
      <c r="K41" s="96"/>
      <c r="Q41" s="42"/>
      <c r="R41" s="42"/>
      <c r="S41" s="42"/>
      <c r="T41" s="42"/>
      <c r="U41" s="42"/>
      <c r="AC41" s="42"/>
    </row>
    <row r="42" spans="2:53" x14ac:dyDescent="0.25">
      <c r="B42" s="74" t="s">
        <v>61</v>
      </c>
      <c r="C42" s="96"/>
      <c r="E42" s="96"/>
      <c r="G42" s="96"/>
      <c r="I42" s="96"/>
      <c r="K42" s="96"/>
      <c r="N42" t="s">
        <v>62</v>
      </c>
      <c r="Q42" s="42" t="s">
        <v>63</v>
      </c>
      <c r="R42" s="42"/>
      <c r="S42" s="42"/>
      <c r="T42" s="42"/>
      <c r="U42" s="42"/>
      <c r="AC42" s="42"/>
    </row>
    <row r="43" spans="2:53" ht="27" customHeight="1" x14ac:dyDescent="0.25">
      <c r="B43" s="56" t="s">
        <v>38</v>
      </c>
      <c r="C43" s="57" t="s">
        <v>39</v>
      </c>
      <c r="D43" s="58" t="s">
        <v>40</v>
      </c>
      <c r="E43" s="57" t="s">
        <v>41</v>
      </c>
      <c r="F43" s="58" t="s">
        <v>42</v>
      </c>
      <c r="G43" s="57" t="s">
        <v>43</v>
      </c>
      <c r="H43" s="58" t="s">
        <v>44</v>
      </c>
      <c r="I43" s="57" t="s">
        <v>45</v>
      </c>
      <c r="J43" s="61" t="s">
        <v>46</v>
      </c>
      <c r="K43" s="57" t="s">
        <v>47</v>
      </c>
      <c r="L43" s="59" t="s">
        <v>48</v>
      </c>
      <c r="N43" s="36" t="s">
        <v>49</v>
      </c>
      <c r="O43" s="36" t="s">
        <v>50</v>
      </c>
      <c r="P43" s="36" t="s">
        <v>51</v>
      </c>
      <c r="Q43" s="11" t="s">
        <v>21</v>
      </c>
      <c r="R43" s="11" t="s">
        <v>21</v>
      </c>
      <c r="S43" s="11" t="s">
        <v>21</v>
      </c>
      <c r="T43" s="11" t="s">
        <v>21</v>
      </c>
      <c r="U43" s="11" t="s">
        <v>21</v>
      </c>
      <c r="V43" s="40"/>
      <c r="W43" s="40"/>
      <c r="X43" s="40"/>
      <c r="Y43" s="17"/>
      <c r="Z43" s="17"/>
      <c r="AA43" s="17"/>
      <c r="AB43" s="17"/>
      <c r="AC43" s="42"/>
      <c r="AD43" s="17"/>
    </row>
    <row r="44" spans="2:53" x14ac:dyDescent="0.25">
      <c r="B44" s="55">
        <f t="shared" ref="B44:B61" si="23">C44*base_use_sf</f>
        <v>0</v>
      </c>
      <c r="C44" s="53">
        <f t="shared" ref="C44:C61" si="24">N44/(size_sf+cutratio_mf*size_mf+cutratio_ind*size_ind+cutratio_com*size_com+cutratio_lndscp*size_lndscp)</f>
        <v>0</v>
      </c>
      <c r="D44" s="55">
        <f t="shared" ref="D44:D62" si="25">E44*base_use_mf</f>
        <v>0</v>
      </c>
      <c r="E44" s="53">
        <f t="shared" ref="E44:E62" si="26">C44*cutratio_mf</f>
        <v>0</v>
      </c>
      <c r="F44" s="55">
        <f t="shared" ref="F44:F62" si="27">G44*base_use_ind</f>
        <v>0</v>
      </c>
      <c r="G44" s="53">
        <f t="shared" ref="G44:G62" si="28">C44*cutratio_ind</f>
        <v>0</v>
      </c>
      <c r="H44" s="55">
        <f t="shared" ref="H44:H62" si="29">I44*base_use_comm</f>
        <v>0</v>
      </c>
      <c r="I44" s="53">
        <f t="shared" ref="I44:I62" si="30">C44*cutratio_com</f>
        <v>0</v>
      </c>
      <c r="J44" s="55">
        <f t="shared" ref="J44:J62" si="31">K44*base_use_lndscp</f>
        <v>0</v>
      </c>
      <c r="K44" s="53">
        <f t="shared" ref="K44:K60" si="32">C44*cutratio_lndscp</f>
        <v>0</v>
      </c>
      <c r="L44" s="55">
        <f t="shared" ref="L44:L61" si="33">J44+H44+F44+D44+B44</f>
        <v>0</v>
      </c>
      <c r="N44" s="51">
        <f>0</f>
        <v>0</v>
      </c>
      <c r="O44" s="43">
        <f t="shared" ref="O44" si="34">base_use_total-(N44*base_use_total)</f>
        <v>1500000</v>
      </c>
      <c r="P44" s="45">
        <f t="shared" ref="P44:P62" si="35">base_use_total-O44</f>
        <v>0</v>
      </c>
      <c r="Q44" s="50"/>
      <c r="R44" s="50"/>
      <c r="S44" s="50"/>
      <c r="T44" s="50"/>
      <c r="U44" s="50"/>
      <c r="V44" s="41"/>
      <c r="W44" s="41"/>
      <c r="X44" s="41"/>
      <c r="Y44" s="6"/>
      <c r="Z44" s="6"/>
      <c r="AA44" s="6"/>
      <c r="AB44" s="6"/>
      <c r="AC44" s="42"/>
      <c r="AD44" s="6"/>
      <c r="AM44" s="10"/>
    </row>
    <row r="45" spans="2:53" x14ac:dyDescent="0.25">
      <c r="B45" s="60">
        <f t="shared" si="23"/>
        <v>40113.098865</v>
      </c>
      <c r="C45" s="53">
        <f t="shared" si="24"/>
        <v>3.5656444444444442E-2</v>
      </c>
      <c r="D45" s="55">
        <f t="shared" si="25"/>
        <v>12033.929659499998</v>
      </c>
      <c r="E45" s="53">
        <f t="shared" si="26"/>
        <v>2.1393866666666664E-2</v>
      </c>
      <c r="F45" s="55">
        <f t="shared" si="27"/>
        <v>2005.6549432499999</v>
      </c>
      <c r="G45" s="53">
        <f t="shared" si="28"/>
        <v>8.9141111111111105E-3</v>
      </c>
      <c r="H45" s="55">
        <f t="shared" si="29"/>
        <v>2206.2204375749998</v>
      </c>
      <c r="I45" s="53">
        <f t="shared" si="30"/>
        <v>1.9611044444444444E-2</v>
      </c>
      <c r="J45" s="55">
        <f t="shared" si="31"/>
        <v>12836.1916368</v>
      </c>
      <c r="K45" s="53">
        <f t="shared" si="32"/>
        <v>5.7050311111111113E-2</v>
      </c>
      <c r="L45" s="54">
        <f t="shared" si="33"/>
        <v>69195.095542124996</v>
      </c>
      <c r="N45" s="51">
        <f t="shared" ref="N45:N61" si="36">($N$63/20)+N44</f>
        <v>4.6130524999999999E-2</v>
      </c>
      <c r="O45" s="43">
        <f>base_use_total-(N45*base_use_total)</f>
        <v>1430804.2124999999</v>
      </c>
      <c r="P45" s="45">
        <f t="shared" si="35"/>
        <v>69195.787500000093</v>
      </c>
      <c r="Q45" s="50">
        <f t="shared" ref="Q45:Q63" si="37">Y20/B45</f>
        <v>712.35098021673457</v>
      </c>
      <c r="R45" s="50">
        <f t="shared" ref="R45:R63" si="38">AF20/D45</f>
        <v>712.02608956412109</v>
      </c>
      <c r="S45" s="50">
        <f t="shared" ref="S45:S63" si="39">AL20/F45</f>
        <v>679.94725234587645</v>
      </c>
      <c r="T45" s="50">
        <f t="shared" ref="T45:T63" si="40">AR20/H45</f>
        <v>711.98583096596383</v>
      </c>
      <c r="U45" s="50">
        <f t="shared" ref="U45:U63" si="41">AX20/J45</f>
        <v>699.65362111474315</v>
      </c>
      <c r="V45" s="41"/>
      <c r="W45" s="41"/>
      <c r="X45" s="41"/>
      <c r="Y45" s="6"/>
      <c r="Z45" s="6"/>
      <c r="AA45" s="6"/>
      <c r="AB45" s="6"/>
      <c r="AC45" s="42"/>
      <c r="AD45" s="6"/>
    </row>
    <row r="46" spans="2:53" x14ac:dyDescent="0.25">
      <c r="B46" s="60">
        <f t="shared" si="23"/>
        <v>80226.19773</v>
      </c>
      <c r="C46" s="53">
        <f t="shared" si="24"/>
        <v>7.1312888888888884E-2</v>
      </c>
      <c r="D46" s="55">
        <f t="shared" si="25"/>
        <v>24067.859318999996</v>
      </c>
      <c r="E46" s="53">
        <f t="shared" si="26"/>
        <v>4.2787733333333328E-2</v>
      </c>
      <c r="F46" s="55">
        <f t="shared" si="27"/>
        <v>4011.3098864999997</v>
      </c>
      <c r="G46" s="53">
        <f t="shared" si="28"/>
        <v>1.7828222222222221E-2</v>
      </c>
      <c r="H46" s="55">
        <f t="shared" si="29"/>
        <v>4412.4408751499996</v>
      </c>
      <c r="I46" s="53">
        <f t="shared" si="30"/>
        <v>3.9222088888888888E-2</v>
      </c>
      <c r="J46" s="55">
        <f t="shared" si="31"/>
        <v>25672.3832736</v>
      </c>
      <c r="K46" s="53">
        <f t="shared" si="32"/>
        <v>0.11410062222222223</v>
      </c>
      <c r="L46" s="54">
        <f t="shared" si="33"/>
        <v>138390.19108424999</v>
      </c>
      <c r="N46" s="51">
        <f t="shared" si="36"/>
        <v>9.2261049999999997E-2</v>
      </c>
      <c r="O46" s="43">
        <f t="shared" ref="O46:O63" si="42">base_use_total-(N46*base_use_total)</f>
        <v>1361608.425</v>
      </c>
      <c r="P46" s="45">
        <f t="shared" si="35"/>
        <v>138391.57499999995</v>
      </c>
      <c r="Q46" s="50">
        <f t="shared" si="37"/>
        <v>784.74213279750268</v>
      </c>
      <c r="R46" s="50">
        <f t="shared" si="38"/>
        <v>783.20054988361289</v>
      </c>
      <c r="S46" s="50">
        <f t="shared" si="39"/>
        <v>711.9456498559814</v>
      </c>
      <c r="T46" s="50">
        <f t="shared" si="40"/>
        <v>783.01147260005166</v>
      </c>
      <c r="U46" s="50">
        <f t="shared" si="41"/>
        <v>756.86297016028038</v>
      </c>
      <c r="V46" s="41"/>
      <c r="W46" s="41"/>
      <c r="X46" s="41"/>
      <c r="Y46" s="6"/>
      <c r="Z46" s="6"/>
      <c r="AA46" s="6"/>
      <c r="AB46" s="6"/>
      <c r="AC46" s="42"/>
      <c r="AD46" s="6"/>
    </row>
    <row r="47" spans="2:53" x14ac:dyDescent="0.25">
      <c r="B47" s="60">
        <f t="shared" si="23"/>
        <v>120339.29659499999</v>
      </c>
      <c r="C47" s="53">
        <f t="shared" si="24"/>
        <v>0.10696933333333333</v>
      </c>
      <c r="D47" s="55">
        <f t="shared" si="25"/>
        <v>36101.788978499993</v>
      </c>
      <c r="E47" s="53">
        <f t="shared" si="26"/>
        <v>6.4181599999999991E-2</v>
      </c>
      <c r="F47" s="55">
        <f t="shared" si="27"/>
        <v>6016.9648297499998</v>
      </c>
      <c r="G47" s="53">
        <f t="shared" si="28"/>
        <v>2.6742333333333333E-2</v>
      </c>
      <c r="H47" s="55">
        <f t="shared" si="29"/>
        <v>6618.6613127250002</v>
      </c>
      <c r="I47" s="53">
        <f t="shared" si="30"/>
        <v>5.8833133333333336E-2</v>
      </c>
      <c r="J47" s="55">
        <f t="shared" si="31"/>
        <v>38508.574910399999</v>
      </c>
      <c r="K47" s="53">
        <f t="shared" si="32"/>
        <v>0.17115093333333334</v>
      </c>
      <c r="L47" s="54">
        <f t="shared" si="33"/>
        <v>207585.28662637499</v>
      </c>
      <c r="N47" s="51">
        <f t="shared" si="36"/>
        <v>0.13839157499999999</v>
      </c>
      <c r="O47" s="43">
        <f t="shared" si="42"/>
        <v>1292412.6375</v>
      </c>
      <c r="P47" s="45">
        <f t="shared" si="35"/>
        <v>207587.36250000005</v>
      </c>
      <c r="Q47" s="50">
        <f t="shared" si="37"/>
        <v>869.39711009765369</v>
      </c>
      <c r="R47" s="50">
        <f t="shared" si="38"/>
        <v>865.2572307064346</v>
      </c>
      <c r="S47" s="50">
        <f t="shared" si="39"/>
        <v>746.17347563082524</v>
      </c>
      <c r="T47" s="50">
        <f t="shared" si="40"/>
        <v>864.75550662935916</v>
      </c>
      <c r="U47" s="50">
        <f t="shared" si="41"/>
        <v>823.41368806109824</v>
      </c>
      <c r="V47" s="41"/>
      <c r="W47" s="41"/>
      <c r="X47" s="41"/>
      <c r="Y47" s="6"/>
      <c r="Z47" s="6"/>
      <c r="AA47" s="6"/>
      <c r="AB47" s="6"/>
      <c r="AC47" s="42"/>
      <c r="AD47" s="6"/>
    </row>
    <row r="48" spans="2:53" x14ac:dyDescent="0.25">
      <c r="B48" s="60">
        <f t="shared" si="23"/>
        <v>160452.39546</v>
      </c>
      <c r="C48" s="53">
        <f t="shared" si="24"/>
        <v>0.14262577777777777</v>
      </c>
      <c r="D48" s="55">
        <f t="shared" si="25"/>
        <v>48135.718637999991</v>
      </c>
      <c r="E48" s="53">
        <f t="shared" si="26"/>
        <v>8.5575466666666655E-2</v>
      </c>
      <c r="F48" s="55">
        <f t="shared" si="27"/>
        <v>8022.6197729999994</v>
      </c>
      <c r="G48" s="53">
        <f t="shared" si="28"/>
        <v>3.5656444444444442E-2</v>
      </c>
      <c r="H48" s="55">
        <f t="shared" si="29"/>
        <v>8824.8817502999991</v>
      </c>
      <c r="I48" s="53">
        <f t="shared" si="30"/>
        <v>7.8444177777777777E-2</v>
      </c>
      <c r="J48" s="55">
        <f t="shared" si="31"/>
        <v>51344.766547200001</v>
      </c>
      <c r="K48" s="53">
        <f t="shared" si="32"/>
        <v>0.22820124444444445</v>
      </c>
      <c r="L48" s="54">
        <f t="shared" si="33"/>
        <v>276780.38216849999</v>
      </c>
      <c r="N48" s="51">
        <f t="shared" si="36"/>
        <v>0.18452209999999999</v>
      </c>
      <c r="O48" s="43">
        <f t="shared" si="42"/>
        <v>1223216.8500000001</v>
      </c>
      <c r="P48" s="45">
        <f t="shared" si="35"/>
        <v>276783.14999999991</v>
      </c>
      <c r="Q48" s="50">
        <f t="shared" si="37"/>
        <v>969.16200862023777</v>
      </c>
      <c r="R48" s="50">
        <f t="shared" si="38"/>
        <v>960.32000025229956</v>
      </c>
      <c r="S48" s="50">
        <f t="shared" si="39"/>
        <v>782.82318022574248</v>
      </c>
      <c r="T48" s="50">
        <f t="shared" si="40"/>
        <v>959.263211697202</v>
      </c>
      <c r="U48" s="50">
        <f t="shared" si="41"/>
        <v>901.67745784176077</v>
      </c>
      <c r="V48" s="41"/>
      <c r="W48" s="41"/>
      <c r="X48" s="41"/>
      <c r="Y48" s="6"/>
      <c r="Z48" s="6"/>
      <c r="AA48" s="6"/>
      <c r="AB48" s="6"/>
      <c r="AC48" s="42"/>
      <c r="AD48" s="6"/>
    </row>
    <row r="49" spans="2:30" x14ac:dyDescent="0.25">
      <c r="B49" s="60">
        <f t="shared" si="23"/>
        <v>200565.49432500001</v>
      </c>
      <c r="C49" s="53">
        <f t="shared" si="24"/>
        <v>0.17828222222222223</v>
      </c>
      <c r="D49" s="55">
        <f t="shared" si="25"/>
        <v>60169.648297499996</v>
      </c>
      <c r="E49" s="53">
        <f t="shared" si="26"/>
        <v>0.10696933333333333</v>
      </c>
      <c r="F49" s="55">
        <f t="shared" si="27"/>
        <v>10028.27471625</v>
      </c>
      <c r="G49" s="53">
        <f t="shared" si="28"/>
        <v>4.4570555555555558E-2</v>
      </c>
      <c r="H49" s="55">
        <f t="shared" si="29"/>
        <v>11031.102187875002</v>
      </c>
      <c r="I49" s="53">
        <f t="shared" si="30"/>
        <v>9.8055222222222238E-2</v>
      </c>
      <c r="J49" s="55">
        <f t="shared" si="31"/>
        <v>64180.95818400001</v>
      </c>
      <c r="K49" s="53">
        <f t="shared" si="32"/>
        <v>0.28525155555555559</v>
      </c>
      <c r="L49" s="54">
        <f t="shared" si="33"/>
        <v>345975.47771062504</v>
      </c>
      <c r="N49" s="51">
        <f t="shared" si="36"/>
        <v>0.230652625</v>
      </c>
      <c r="O49" s="43">
        <f t="shared" si="42"/>
        <v>1154021.0625</v>
      </c>
      <c r="P49" s="45">
        <f t="shared" si="35"/>
        <v>345978.9375</v>
      </c>
      <c r="Q49" s="50">
        <f t="shared" si="37"/>
        <v>1087.7248999972078</v>
      </c>
      <c r="R49" s="50">
        <f t="shared" si="38"/>
        <v>1071.0100156205006</v>
      </c>
      <c r="S49" s="50">
        <f t="shared" si="39"/>
        <v>822.10659599861606</v>
      </c>
      <c r="T49" s="50">
        <f t="shared" si="40"/>
        <v>1069.044204483489</v>
      </c>
      <c r="U49" s="50">
        <f t="shared" si="41"/>
        <v>994.8746116710181</v>
      </c>
      <c r="V49" s="41"/>
      <c r="W49" s="41"/>
      <c r="X49" s="41"/>
      <c r="Y49" s="6"/>
      <c r="Z49" s="6"/>
      <c r="AA49" s="6"/>
      <c r="AB49" s="6"/>
      <c r="AC49" s="42"/>
      <c r="AD49" s="6"/>
    </row>
    <row r="50" spans="2:30" x14ac:dyDescent="0.25">
      <c r="B50" s="60">
        <f t="shared" si="23"/>
        <v>240678.59318999999</v>
      </c>
      <c r="C50" s="53">
        <f t="shared" si="24"/>
        <v>0.21393866666666667</v>
      </c>
      <c r="D50" s="55">
        <f t="shared" si="25"/>
        <v>72203.577956999987</v>
      </c>
      <c r="E50" s="53">
        <f t="shared" si="26"/>
        <v>0.12836319999999998</v>
      </c>
      <c r="F50" s="55">
        <f t="shared" si="27"/>
        <v>12033.9296595</v>
      </c>
      <c r="G50" s="53">
        <f t="shared" si="28"/>
        <v>5.3484666666666666E-2</v>
      </c>
      <c r="H50" s="55">
        <f t="shared" si="29"/>
        <v>13237.32262545</v>
      </c>
      <c r="I50" s="53">
        <f t="shared" si="30"/>
        <v>0.11766626666666667</v>
      </c>
      <c r="J50" s="55">
        <f t="shared" si="31"/>
        <v>77017.149820799998</v>
      </c>
      <c r="K50" s="53">
        <f t="shared" si="32"/>
        <v>0.34230186666666668</v>
      </c>
      <c r="L50" s="54">
        <f t="shared" si="33"/>
        <v>415170.57325274998</v>
      </c>
      <c r="N50" s="51">
        <f t="shared" si="36"/>
        <v>0.27678314999999998</v>
      </c>
      <c r="O50" s="43">
        <f t="shared" si="42"/>
        <v>1084825.2749999999</v>
      </c>
      <c r="P50" s="45">
        <f t="shared" si="35"/>
        <v>415174.72500000009</v>
      </c>
      <c r="Q50" s="50">
        <f t="shared" si="37"/>
        <v>1229.9216978214793</v>
      </c>
      <c r="R50" s="50">
        <f t="shared" si="38"/>
        <v>1200.5811621065909</v>
      </c>
      <c r="S50" s="50">
        <f t="shared" si="39"/>
        <v>864.25714807086797</v>
      </c>
      <c r="T50" s="50">
        <f t="shared" si="40"/>
        <v>1197.194148954329</v>
      </c>
      <c r="U50" s="50">
        <f t="shared" si="41"/>
        <v>1107.4809275953969</v>
      </c>
      <c r="V50" s="41"/>
      <c r="W50" s="41"/>
      <c r="X50" s="41"/>
      <c r="Y50" s="6"/>
      <c r="Z50" s="6"/>
      <c r="AA50" s="6"/>
      <c r="AB50" s="6"/>
      <c r="AC50" s="42"/>
      <c r="AD50" s="6"/>
    </row>
    <row r="51" spans="2:30" x14ac:dyDescent="0.25">
      <c r="B51" s="60">
        <f t="shared" si="23"/>
        <v>280791.69205499993</v>
      </c>
      <c r="C51" s="53">
        <f t="shared" si="24"/>
        <v>0.24959511111111107</v>
      </c>
      <c r="D51" s="55">
        <f t="shared" si="25"/>
        <v>84237.507616499977</v>
      </c>
      <c r="E51" s="53">
        <f t="shared" si="26"/>
        <v>0.14975706666666663</v>
      </c>
      <c r="F51" s="55">
        <f t="shared" si="27"/>
        <v>14039.584602749997</v>
      </c>
      <c r="G51" s="53">
        <f t="shared" si="28"/>
        <v>6.2398777777777768E-2</v>
      </c>
      <c r="H51" s="55">
        <f t="shared" si="29"/>
        <v>15443.543063024999</v>
      </c>
      <c r="I51" s="53">
        <f t="shared" si="30"/>
        <v>0.13727731111111111</v>
      </c>
      <c r="J51" s="55">
        <f t="shared" si="31"/>
        <v>89853.341457599992</v>
      </c>
      <c r="K51" s="53">
        <f t="shared" si="32"/>
        <v>0.39935217777777776</v>
      </c>
      <c r="L51" s="54">
        <f t="shared" si="33"/>
        <v>484365.66879487492</v>
      </c>
      <c r="N51" s="51">
        <f t="shared" si="36"/>
        <v>0.32291367499999996</v>
      </c>
      <c r="O51" s="43">
        <f t="shared" si="42"/>
        <v>1015629.4875</v>
      </c>
      <c r="P51" s="45">
        <f t="shared" si="35"/>
        <v>484370.51249999995</v>
      </c>
      <c r="Q51" s="50">
        <f t="shared" si="37"/>
        <v>1402.1753898257844</v>
      </c>
      <c r="R51" s="50">
        <f t="shared" si="38"/>
        <v>1353.0976106635433</v>
      </c>
      <c r="S51" s="50">
        <f t="shared" si="39"/>
        <v>909.53234596395259</v>
      </c>
      <c r="T51" s="50">
        <f t="shared" si="40"/>
        <v>1347.5526419659211</v>
      </c>
      <c r="U51" s="50">
        <f t="shared" si="41"/>
        <v>1245.8882214519051</v>
      </c>
      <c r="V51" s="41"/>
      <c r="W51" s="41"/>
      <c r="X51" s="41"/>
      <c r="Y51" s="6"/>
      <c r="Z51" s="6"/>
      <c r="AA51" s="6"/>
      <c r="AB51" s="6"/>
      <c r="AC51" s="42"/>
      <c r="AD51" s="6"/>
    </row>
    <row r="52" spans="2:30" x14ac:dyDescent="0.25">
      <c r="B52" s="60">
        <f t="shared" si="23"/>
        <v>320904.79092</v>
      </c>
      <c r="C52" s="53">
        <f t="shared" si="24"/>
        <v>0.28525155555555554</v>
      </c>
      <c r="D52" s="55">
        <f t="shared" si="25"/>
        <v>96271.437275999982</v>
      </c>
      <c r="E52" s="53">
        <f t="shared" si="26"/>
        <v>0.17115093333333331</v>
      </c>
      <c r="F52" s="55">
        <f t="shared" si="27"/>
        <v>16045.239545999999</v>
      </c>
      <c r="G52" s="53">
        <f t="shared" si="28"/>
        <v>7.1312888888888884E-2</v>
      </c>
      <c r="H52" s="55">
        <f t="shared" si="29"/>
        <v>17649.763500599998</v>
      </c>
      <c r="I52" s="53">
        <f t="shared" si="30"/>
        <v>0.15688835555555555</v>
      </c>
      <c r="J52" s="55">
        <f t="shared" si="31"/>
        <v>102689.5330944</v>
      </c>
      <c r="K52" s="53">
        <f t="shared" si="32"/>
        <v>0.4564024888888889</v>
      </c>
      <c r="L52" s="54">
        <f t="shared" si="33"/>
        <v>553560.76433699997</v>
      </c>
      <c r="N52" s="51">
        <f t="shared" si="36"/>
        <v>0.36904419999999993</v>
      </c>
      <c r="O52" s="43">
        <f t="shared" si="42"/>
        <v>946433.70000000007</v>
      </c>
      <c r="P52" s="45">
        <f t="shared" si="35"/>
        <v>553566.29999999993</v>
      </c>
      <c r="Q52" s="50">
        <f t="shared" si="37"/>
        <v>1613.1373849124097</v>
      </c>
      <c r="R52" s="50">
        <f t="shared" si="38"/>
        <v>1533.6682628385406</v>
      </c>
      <c r="S52" s="50">
        <f t="shared" si="39"/>
        <v>958.21659509421215</v>
      </c>
      <c r="T52" s="50">
        <f t="shared" si="40"/>
        <v>1524.9093232886014</v>
      </c>
      <c r="U52" s="50">
        <f t="shared" si="41"/>
        <v>1419.5215186730529</v>
      </c>
      <c r="V52" s="41"/>
      <c r="W52" s="41"/>
      <c r="X52" s="41"/>
      <c r="Y52" s="6"/>
      <c r="Z52" s="6"/>
      <c r="AA52" s="6"/>
      <c r="AB52" s="6"/>
      <c r="AC52" s="42"/>
      <c r="AD52" s="6"/>
    </row>
    <row r="53" spans="2:30" x14ac:dyDescent="0.25">
      <c r="B53" s="60">
        <f t="shared" si="23"/>
        <v>361017.88978499989</v>
      </c>
      <c r="C53" s="53">
        <f t="shared" si="24"/>
        <v>0.32090799999999992</v>
      </c>
      <c r="D53" s="55">
        <f t="shared" si="25"/>
        <v>108305.36693549996</v>
      </c>
      <c r="E53" s="53">
        <f t="shared" si="26"/>
        <v>0.19254479999999993</v>
      </c>
      <c r="F53" s="55">
        <f t="shared" si="27"/>
        <v>18050.894489249997</v>
      </c>
      <c r="G53" s="53">
        <f t="shared" si="28"/>
        <v>8.0226999999999979E-2</v>
      </c>
      <c r="H53" s="55">
        <f t="shared" si="29"/>
        <v>19855.983938174995</v>
      </c>
      <c r="I53" s="53">
        <f t="shared" si="30"/>
        <v>0.17649939999999997</v>
      </c>
      <c r="J53" s="55">
        <f t="shared" si="31"/>
        <v>115525.72473119998</v>
      </c>
      <c r="K53" s="53">
        <f t="shared" si="32"/>
        <v>0.51345279999999993</v>
      </c>
      <c r="L53" s="54">
        <f t="shared" si="33"/>
        <v>622755.85987912491</v>
      </c>
      <c r="N53" s="51">
        <f t="shared" si="36"/>
        <v>0.41517472499999991</v>
      </c>
      <c r="O53" s="43">
        <f t="shared" si="42"/>
        <v>877237.91250000009</v>
      </c>
      <c r="P53" s="45">
        <f t="shared" si="35"/>
        <v>622762.08749999991</v>
      </c>
      <c r="Q53" s="50">
        <f t="shared" si="37"/>
        <v>1874.6411904124702</v>
      </c>
      <c r="R53" s="50">
        <f t="shared" si="38"/>
        <v>1748.7586402698719</v>
      </c>
      <c r="S53" s="50">
        <f t="shared" si="39"/>
        <v>1010.624373271579</v>
      </c>
      <c r="T53" s="50">
        <f t="shared" si="40"/>
        <v>1735.2747150774885</v>
      </c>
      <c r="U53" s="50">
        <f t="shared" si="41"/>
        <v>1642.8215766435719</v>
      </c>
      <c r="V53" s="42"/>
      <c r="W53" s="42"/>
      <c r="X53" s="42"/>
      <c r="Y53" s="6"/>
      <c r="Z53" s="6"/>
      <c r="AA53" s="6"/>
      <c r="AB53" s="6"/>
      <c r="AC53" s="42"/>
      <c r="AD53" s="6"/>
    </row>
    <row r="54" spans="2:30" x14ac:dyDescent="0.25">
      <c r="B54" s="60">
        <f t="shared" si="23"/>
        <v>401130.9886499999</v>
      </c>
      <c r="C54" s="53">
        <f t="shared" si="24"/>
        <v>0.35656444444444435</v>
      </c>
      <c r="D54" s="55">
        <f t="shared" si="25"/>
        <v>120339.29659499996</v>
      </c>
      <c r="E54" s="53">
        <f t="shared" si="26"/>
        <v>0.21393866666666661</v>
      </c>
      <c r="F54" s="55">
        <f t="shared" si="27"/>
        <v>20056.549432499996</v>
      </c>
      <c r="G54" s="53">
        <f t="shared" si="28"/>
        <v>8.9141111111111088E-2</v>
      </c>
      <c r="H54" s="55">
        <f t="shared" si="29"/>
        <v>22062.204375749996</v>
      </c>
      <c r="I54" s="53">
        <f t="shared" si="30"/>
        <v>0.19611044444444442</v>
      </c>
      <c r="J54" s="55">
        <f t="shared" si="31"/>
        <v>128361.91636799996</v>
      </c>
      <c r="K54" s="53">
        <f t="shared" si="32"/>
        <v>0.57050311111111096</v>
      </c>
      <c r="L54" s="54">
        <f t="shared" si="33"/>
        <v>691950.95542124985</v>
      </c>
      <c r="N54" s="51">
        <f t="shared" si="36"/>
        <v>0.46130524999999989</v>
      </c>
      <c r="O54" s="43">
        <f t="shared" si="42"/>
        <v>808042.12500000012</v>
      </c>
      <c r="P54" s="45">
        <f t="shared" si="35"/>
        <v>691957.87499999988</v>
      </c>
      <c r="Q54" s="50">
        <f t="shared" si="37"/>
        <v>2203.1491523579107</v>
      </c>
      <c r="R54" s="50">
        <f t="shared" si="38"/>
        <v>2006.6090810514656</v>
      </c>
      <c r="S54" s="50">
        <f t="shared" si="39"/>
        <v>1067.1038242936959</v>
      </c>
      <c r="T54" s="50">
        <f t="shared" si="40"/>
        <v>1986.2385722343481</v>
      </c>
      <c r="U54" s="50">
        <f t="shared" si="41"/>
        <v>1938.9734896890113</v>
      </c>
      <c r="V54" s="41"/>
      <c r="W54" s="41"/>
      <c r="X54" s="41"/>
      <c r="Y54" s="6"/>
      <c r="Z54" s="6"/>
      <c r="AA54" s="6"/>
      <c r="AB54" s="6"/>
      <c r="AC54" s="42"/>
      <c r="AD54" s="6"/>
    </row>
    <row r="55" spans="2:30" x14ac:dyDescent="0.25">
      <c r="B55" s="60">
        <f t="shared" si="23"/>
        <v>441244.08751499996</v>
      </c>
      <c r="C55" s="53">
        <f t="shared" si="24"/>
        <v>0.39222088888888884</v>
      </c>
      <c r="D55" s="55">
        <f t="shared" si="25"/>
        <v>132373.22625449998</v>
      </c>
      <c r="E55" s="53">
        <f t="shared" si="26"/>
        <v>0.23533253333333329</v>
      </c>
      <c r="F55" s="55">
        <f t="shared" si="27"/>
        <v>22062.204375749996</v>
      </c>
      <c r="G55" s="53">
        <f t="shared" si="28"/>
        <v>9.805522222222221E-2</v>
      </c>
      <c r="H55" s="55">
        <f t="shared" si="29"/>
        <v>24268.424813324997</v>
      </c>
      <c r="I55" s="53">
        <f t="shared" si="30"/>
        <v>0.21572148888888887</v>
      </c>
      <c r="J55" s="55">
        <f t="shared" si="31"/>
        <v>141198.10800479999</v>
      </c>
      <c r="K55" s="53">
        <f t="shared" si="32"/>
        <v>0.62755342222222221</v>
      </c>
      <c r="L55" s="54">
        <f t="shared" si="33"/>
        <v>761146.05096337502</v>
      </c>
      <c r="N55" s="51">
        <f t="shared" si="36"/>
        <v>0.50743577499999992</v>
      </c>
      <c r="O55" s="43">
        <f t="shared" si="42"/>
        <v>738846.33750000014</v>
      </c>
      <c r="P55" s="45">
        <f t="shared" si="35"/>
        <v>761153.66249999986</v>
      </c>
      <c r="Q55" s="50">
        <f t="shared" si="37"/>
        <v>2621.9960886633226</v>
      </c>
      <c r="R55" s="50">
        <f t="shared" si="38"/>
        <v>2317.8001369653712</v>
      </c>
      <c r="S55" s="50">
        <f t="shared" si="39"/>
        <v>1128.0408288299159</v>
      </c>
      <c r="T55" s="50">
        <f t="shared" si="40"/>
        <v>2287.4474364334533</v>
      </c>
      <c r="U55" s="50">
        <f t="shared" si="41"/>
        <v>2347.4396939333778</v>
      </c>
      <c r="V55" s="41"/>
      <c r="W55" s="41"/>
      <c r="X55" s="41"/>
      <c r="Y55" s="6"/>
      <c r="Z55" s="6"/>
      <c r="AA55" s="6"/>
      <c r="AB55" s="6"/>
      <c r="AC55" s="42"/>
      <c r="AD55" s="6"/>
    </row>
    <row r="56" spans="2:30" x14ac:dyDescent="0.25">
      <c r="B56" s="60">
        <f t="shared" si="23"/>
        <v>481357.18637999997</v>
      </c>
      <c r="C56" s="53">
        <f t="shared" si="24"/>
        <v>0.42787733333333333</v>
      </c>
      <c r="D56" s="55">
        <f t="shared" si="25"/>
        <v>144407.15591399997</v>
      </c>
      <c r="E56" s="53">
        <f t="shared" si="26"/>
        <v>0.25672639999999997</v>
      </c>
      <c r="F56" s="55">
        <f t="shared" si="27"/>
        <v>24067.859318999999</v>
      </c>
      <c r="G56" s="53">
        <f t="shared" si="28"/>
        <v>0.10696933333333333</v>
      </c>
      <c r="H56" s="55">
        <f t="shared" si="29"/>
        <v>26474.645250900001</v>
      </c>
      <c r="I56" s="53">
        <f t="shared" si="30"/>
        <v>0.23533253333333334</v>
      </c>
      <c r="J56" s="55">
        <f t="shared" si="31"/>
        <v>154034.2996416</v>
      </c>
      <c r="K56" s="53">
        <f t="shared" si="32"/>
        <v>0.68460373333333335</v>
      </c>
      <c r="L56" s="54">
        <f t="shared" si="33"/>
        <v>830341.14650549996</v>
      </c>
      <c r="N56" s="51">
        <f t="shared" si="36"/>
        <v>0.55356629999999996</v>
      </c>
      <c r="O56" s="43">
        <f t="shared" si="42"/>
        <v>669650.55000000005</v>
      </c>
      <c r="P56" s="45">
        <f t="shared" si="35"/>
        <v>830349.45</v>
      </c>
      <c r="Q56" s="50">
        <f t="shared" si="37"/>
        <v>3164.9548108783647</v>
      </c>
      <c r="R56" s="50">
        <f t="shared" si="38"/>
        <v>2696.0236711098801</v>
      </c>
      <c r="S56" s="50">
        <f t="shared" si="39"/>
        <v>1193.8636222575726</v>
      </c>
      <c r="T56" s="50">
        <f t="shared" si="40"/>
        <v>2651.2458478777321</v>
      </c>
      <c r="U56" s="50">
        <f t="shared" si="41"/>
        <v>2940.6233722030502</v>
      </c>
      <c r="V56" s="41"/>
      <c r="W56" s="41"/>
      <c r="X56" s="41"/>
      <c r="Y56" s="6"/>
      <c r="Z56" s="6"/>
      <c r="AA56" s="6"/>
      <c r="AB56" s="6"/>
      <c r="AC56" s="42"/>
      <c r="AD56" s="6"/>
    </row>
    <row r="57" spans="2:30" x14ac:dyDescent="0.25">
      <c r="B57" s="60">
        <f t="shared" si="23"/>
        <v>521470.28524499998</v>
      </c>
      <c r="C57" s="53">
        <f t="shared" si="24"/>
        <v>0.46353377777777777</v>
      </c>
      <c r="D57" s="55">
        <f t="shared" si="25"/>
        <v>156441.08557349999</v>
      </c>
      <c r="E57" s="53">
        <f t="shared" si="26"/>
        <v>0.27812026666666667</v>
      </c>
      <c r="F57" s="55">
        <f t="shared" si="27"/>
        <v>26073.514262249999</v>
      </c>
      <c r="G57" s="53">
        <f t="shared" si="28"/>
        <v>0.11588344444444444</v>
      </c>
      <c r="H57" s="55">
        <f t="shared" si="29"/>
        <v>28680.865688475005</v>
      </c>
      <c r="I57" s="53">
        <f t="shared" si="30"/>
        <v>0.25494357777777782</v>
      </c>
      <c r="J57" s="55">
        <f t="shared" si="31"/>
        <v>166870.4912784</v>
      </c>
      <c r="K57" s="53">
        <f t="shared" si="32"/>
        <v>0.74165404444444449</v>
      </c>
      <c r="L57" s="54">
        <f t="shared" si="33"/>
        <v>899536.2420476249</v>
      </c>
      <c r="N57" s="51">
        <f t="shared" si="36"/>
        <v>0.59969682499999999</v>
      </c>
      <c r="O57" s="43">
        <f t="shared" si="42"/>
        <v>600454.76250000007</v>
      </c>
      <c r="P57" s="45">
        <f t="shared" si="35"/>
        <v>899545.23749999993</v>
      </c>
      <c r="Q57" s="50">
        <f t="shared" si="37"/>
        <v>3882.0588050326814</v>
      </c>
      <c r="R57" s="50">
        <f t="shared" si="38"/>
        <v>3159.1441898934386</v>
      </c>
      <c r="S57" s="50">
        <f t="shared" si="39"/>
        <v>1265.048040193074</v>
      </c>
      <c r="T57" s="50">
        <f t="shared" si="40"/>
        <v>3093.5441081608674</v>
      </c>
      <c r="U57" s="50">
        <f t="shared" si="41"/>
        <v>2971.5328426499054</v>
      </c>
      <c r="V57" s="41"/>
      <c r="W57" s="41"/>
      <c r="X57" s="41"/>
      <c r="Y57" s="6"/>
      <c r="Z57" s="6"/>
      <c r="AA57" s="6"/>
      <c r="AB57" s="6"/>
      <c r="AC57" s="42"/>
      <c r="AD57" s="6"/>
    </row>
    <row r="58" spans="2:30" x14ac:dyDescent="0.25">
      <c r="B58" s="60">
        <f t="shared" si="23"/>
        <v>561583.38410999998</v>
      </c>
      <c r="C58" s="53">
        <f t="shared" si="24"/>
        <v>0.49919022222222226</v>
      </c>
      <c r="D58" s="55">
        <f t="shared" si="25"/>
        <v>168475.01523299998</v>
      </c>
      <c r="E58" s="53">
        <f t="shared" si="26"/>
        <v>0.29951413333333332</v>
      </c>
      <c r="F58" s="55">
        <f t="shared" si="27"/>
        <v>28079.169205500002</v>
      </c>
      <c r="G58" s="53">
        <f t="shared" si="28"/>
        <v>0.12479755555555556</v>
      </c>
      <c r="H58" s="55">
        <f t="shared" si="29"/>
        <v>30887.086126050006</v>
      </c>
      <c r="I58" s="53">
        <f t="shared" si="30"/>
        <v>0.27455462222222227</v>
      </c>
      <c r="J58" s="55">
        <f t="shared" si="31"/>
        <v>179706.68291520001</v>
      </c>
      <c r="K58" s="53">
        <f t="shared" si="32"/>
        <v>0.79870435555555563</v>
      </c>
      <c r="L58" s="54">
        <f t="shared" si="33"/>
        <v>968731.33758975007</v>
      </c>
      <c r="N58" s="51">
        <f t="shared" si="36"/>
        <v>0.64582735000000002</v>
      </c>
      <c r="O58" s="43">
        <f t="shared" si="42"/>
        <v>531258.97499999998</v>
      </c>
      <c r="P58" s="45">
        <f t="shared" si="35"/>
        <v>968741.02500000002</v>
      </c>
      <c r="Q58" s="50">
        <f t="shared" si="37"/>
        <v>4849.4060767244728</v>
      </c>
      <c r="R58" s="50">
        <f t="shared" si="38"/>
        <v>3730.6738723917438</v>
      </c>
      <c r="S58" s="50">
        <f t="shared" si="39"/>
        <v>1342.1234854490674</v>
      </c>
      <c r="T58" s="50">
        <f t="shared" si="40"/>
        <v>3635.0023832211177</v>
      </c>
      <c r="U58" s="50">
        <f t="shared" si="41"/>
        <v>2759.2804967463403</v>
      </c>
      <c r="V58" s="41"/>
      <c r="W58" s="41"/>
      <c r="X58" s="41"/>
      <c r="Y58" s="6"/>
      <c r="Z58" s="6"/>
      <c r="AA58" s="6"/>
      <c r="AB58" s="6"/>
      <c r="AC58" s="42"/>
      <c r="AD58" s="6"/>
    </row>
    <row r="59" spans="2:30" x14ac:dyDescent="0.25">
      <c r="B59" s="60">
        <f t="shared" si="23"/>
        <v>601696.48297500005</v>
      </c>
      <c r="C59" s="53">
        <f t="shared" si="24"/>
        <v>0.53484666666666669</v>
      </c>
      <c r="D59" s="55">
        <f t="shared" si="25"/>
        <v>180508.9448925</v>
      </c>
      <c r="E59" s="53">
        <f t="shared" si="26"/>
        <v>0.32090800000000003</v>
      </c>
      <c r="F59" s="55">
        <f t="shared" si="27"/>
        <v>30084.824148750002</v>
      </c>
      <c r="G59" s="53">
        <f t="shared" si="28"/>
        <v>0.13371166666666667</v>
      </c>
      <c r="H59" s="55">
        <f t="shared" si="29"/>
        <v>33093.306563625003</v>
      </c>
      <c r="I59" s="53">
        <f t="shared" si="30"/>
        <v>0.29416566666666671</v>
      </c>
      <c r="J59" s="55">
        <f t="shared" si="31"/>
        <v>192542.87455200002</v>
      </c>
      <c r="K59" s="53">
        <f t="shared" si="32"/>
        <v>0.85575466666666677</v>
      </c>
      <c r="L59" s="54">
        <f t="shared" si="33"/>
        <v>1037926.433131875</v>
      </c>
      <c r="N59" s="51">
        <f t="shared" si="36"/>
        <v>0.69195787500000006</v>
      </c>
      <c r="O59" s="43">
        <f t="shared" si="42"/>
        <v>462063.18749999988</v>
      </c>
      <c r="P59" s="45">
        <f t="shared" si="35"/>
        <v>1037936.8125000001</v>
      </c>
      <c r="Q59" s="50">
        <f t="shared" si="37"/>
        <v>6186.2465198325563</v>
      </c>
      <c r="R59" s="50">
        <f t="shared" si="38"/>
        <v>4441.8436573491754</v>
      </c>
      <c r="S59" s="50">
        <f t="shared" si="39"/>
        <v>1425.6797253993479</v>
      </c>
      <c r="T59" s="50">
        <f t="shared" si="40"/>
        <v>4302.66055482301</v>
      </c>
      <c r="U59" s="50">
        <f t="shared" si="41"/>
        <v>2575.3284636299177</v>
      </c>
      <c r="V59" s="41"/>
      <c r="W59" s="41"/>
      <c r="X59" s="41"/>
      <c r="Y59" s="6"/>
      <c r="Z59" s="6"/>
      <c r="AA59" s="6"/>
      <c r="AB59" s="6"/>
      <c r="AC59" s="42"/>
      <c r="AD59" s="6"/>
    </row>
    <row r="60" spans="2:30" x14ac:dyDescent="0.25">
      <c r="B60" s="60">
        <f t="shared" si="23"/>
        <v>641809.58184000012</v>
      </c>
      <c r="C60" s="53">
        <f t="shared" si="24"/>
        <v>0.57050311111111118</v>
      </c>
      <c r="D60" s="55">
        <f t="shared" si="25"/>
        <v>192542.87455199999</v>
      </c>
      <c r="E60" s="53">
        <f t="shared" si="26"/>
        <v>0.34230186666666668</v>
      </c>
      <c r="F60" s="55">
        <f t="shared" si="27"/>
        <v>32090.479092000005</v>
      </c>
      <c r="G60" s="53">
        <f t="shared" si="28"/>
        <v>0.1426257777777778</v>
      </c>
      <c r="H60" s="55">
        <f t="shared" si="29"/>
        <v>35299.527001200004</v>
      </c>
      <c r="I60" s="53">
        <f t="shared" si="30"/>
        <v>0.31377671111111116</v>
      </c>
      <c r="J60" s="55">
        <f t="shared" si="31"/>
        <v>205379.06618880003</v>
      </c>
      <c r="K60" s="53">
        <f t="shared" si="32"/>
        <v>0.91280497777777792</v>
      </c>
      <c r="L60" s="54">
        <f t="shared" si="33"/>
        <v>1107121.5286740002</v>
      </c>
      <c r="N60" s="51">
        <f t="shared" si="36"/>
        <v>0.73808840000000009</v>
      </c>
      <c r="O60" s="43">
        <f t="shared" si="42"/>
        <v>392867.39999999991</v>
      </c>
      <c r="P60" s="45">
        <f t="shared" si="35"/>
        <v>1107132.6000000001</v>
      </c>
      <c r="Q60" s="50">
        <f t="shared" si="37"/>
        <v>8085.9604325751425</v>
      </c>
      <c r="R60" s="50">
        <f t="shared" si="38"/>
        <v>5334.5429691035642</v>
      </c>
      <c r="S60" s="50">
        <f t="shared" si="39"/>
        <v>1516.3746466706866</v>
      </c>
      <c r="T60" s="50">
        <f t="shared" si="40"/>
        <v>5132.2022009093434</v>
      </c>
      <c r="U60" s="50">
        <f t="shared" si="41"/>
        <v>2414.3704346530476</v>
      </c>
      <c r="V60" s="41"/>
      <c r="W60" s="41"/>
      <c r="X60" s="41"/>
      <c r="Y60" s="6"/>
      <c r="Z60" s="6"/>
      <c r="AA60" s="6"/>
      <c r="AB60" s="6"/>
      <c r="AC60" s="42"/>
      <c r="AD60" s="6"/>
    </row>
    <row r="61" spans="2:30" x14ac:dyDescent="0.25">
      <c r="B61" s="60">
        <f t="shared" si="23"/>
        <v>681922.68070500018</v>
      </c>
      <c r="C61" s="53">
        <f t="shared" si="24"/>
        <v>0.60615955555555567</v>
      </c>
      <c r="D61" s="55">
        <f t="shared" si="25"/>
        <v>204576.80421150001</v>
      </c>
      <c r="E61" s="53">
        <f t="shared" si="26"/>
        <v>0.36369573333333338</v>
      </c>
      <c r="F61" s="55">
        <f t="shared" si="27"/>
        <v>34096.134035250005</v>
      </c>
      <c r="G61" s="53">
        <f t="shared" si="28"/>
        <v>0.15153988888888892</v>
      </c>
      <c r="H61" s="55">
        <f t="shared" si="29"/>
        <v>37505.747438775012</v>
      </c>
      <c r="I61" s="53">
        <f t="shared" si="30"/>
        <v>0.33338775555555566</v>
      </c>
      <c r="J61" s="55">
        <f t="shared" si="31"/>
        <v>218215.25782560007</v>
      </c>
      <c r="K61" s="53">
        <f>C61*cutratio_lndscp</f>
        <v>0.96985528888888917</v>
      </c>
      <c r="L61" s="54">
        <f t="shared" si="33"/>
        <v>1176316.6242161253</v>
      </c>
      <c r="N61" s="51">
        <f t="shared" si="36"/>
        <v>0.78421892500000012</v>
      </c>
      <c r="O61" s="43">
        <f t="shared" si="42"/>
        <v>323671.61249999981</v>
      </c>
      <c r="P61" s="45">
        <f t="shared" si="35"/>
        <v>1176328.3875000002</v>
      </c>
      <c r="Q61" s="50">
        <f t="shared" si="37"/>
        <v>10874.826300487372</v>
      </c>
      <c r="R61" s="50">
        <f t="shared" si="38"/>
        <v>6465.5406970925205</v>
      </c>
      <c r="S61" s="50">
        <f t="shared" si="39"/>
        <v>1614.9431152142658</v>
      </c>
      <c r="T61" s="50">
        <f t="shared" si="40"/>
        <v>6171.1298270452899</v>
      </c>
      <c r="U61" s="50">
        <f t="shared" si="41"/>
        <v>2272.3486443793386</v>
      </c>
      <c r="V61" s="41"/>
      <c r="W61" s="41"/>
      <c r="X61" s="41"/>
      <c r="Y61" s="6"/>
      <c r="Z61" s="6"/>
      <c r="AA61" s="6"/>
      <c r="AB61" s="6"/>
      <c r="AC61" s="42"/>
      <c r="AD61" s="6"/>
    </row>
    <row r="62" spans="2:30" x14ac:dyDescent="0.25">
      <c r="B62" s="60">
        <f>C62*base_use_sf</f>
        <v>722035.77957000013</v>
      </c>
      <c r="C62" s="53">
        <f>N62/(size_sf+cutratio_mf*size_mf+cutratio_ind*size_ind+cutratio_com*size_com+cutratio_lndscp*size_lndscp)</f>
        <v>0.64181600000000016</v>
      </c>
      <c r="D62" s="55">
        <f t="shared" si="25"/>
        <v>216610.73387100006</v>
      </c>
      <c r="E62" s="53">
        <f t="shared" si="26"/>
        <v>0.38508960000000009</v>
      </c>
      <c r="F62" s="55">
        <f t="shared" si="27"/>
        <v>36101.788978500008</v>
      </c>
      <c r="G62" s="53">
        <f t="shared" si="28"/>
        <v>0.16045400000000004</v>
      </c>
      <c r="H62" s="55">
        <f t="shared" si="29"/>
        <v>39711.967876350012</v>
      </c>
      <c r="I62" s="53">
        <f t="shared" si="30"/>
        <v>0.35299880000000011</v>
      </c>
      <c r="J62" s="55">
        <f t="shared" si="31"/>
        <v>231051.44946240008</v>
      </c>
      <c r="K62" s="53">
        <f t="shared" ref="K62" si="43">C62*cutratio_lndscp</f>
        <v>1.0269056000000003</v>
      </c>
      <c r="L62" s="54">
        <f>J62+H62+F62+D62+B62</f>
        <v>1245511.7197582503</v>
      </c>
      <c r="N62" s="51">
        <f>($N$63/20)+N61</f>
        <v>0.83034945000000016</v>
      </c>
      <c r="O62" s="43">
        <f t="shared" si="42"/>
        <v>254475.82499999972</v>
      </c>
      <c r="P62" s="45">
        <f t="shared" si="35"/>
        <v>1245524.1750000003</v>
      </c>
      <c r="Q62" s="50">
        <f t="shared" si="37"/>
        <v>15129.550814840595</v>
      </c>
      <c r="R62" s="50">
        <f t="shared" si="38"/>
        <v>7912.6204469091936</v>
      </c>
      <c r="S62" s="50">
        <f t="shared" si="39"/>
        <v>1722.207114752877</v>
      </c>
      <c r="T62" s="50">
        <f t="shared" si="40"/>
        <v>7483.2635587477707</v>
      </c>
      <c r="U62" s="50">
        <f t="shared" si="41"/>
        <v>2146.1070530249308</v>
      </c>
      <c r="V62" s="41"/>
      <c r="W62" s="41"/>
      <c r="X62" s="41"/>
      <c r="Y62" s="6"/>
      <c r="Z62" s="6"/>
      <c r="AA62" s="6"/>
      <c r="AB62" s="6"/>
      <c r="AC62" s="42"/>
      <c r="AD62" s="6"/>
    </row>
    <row r="63" spans="2:30" x14ac:dyDescent="0.25">
      <c r="B63" s="75">
        <f>shortage_dist_sf_actual*base_use_sf</f>
        <v>802261.97730000003</v>
      </c>
      <c r="C63" s="76">
        <f>Total_actual_shortage/(size_sf+cutratio_mf*size_mf+cutratio_ind*size_ind+cutratio_com*size_com+cutratio_lndscp*size_lndscp)</f>
        <v>0.71312888888888892</v>
      </c>
      <c r="D63" s="77">
        <f>shortage_dist_mf_actual*base_use_mf</f>
        <v>240678.59318999999</v>
      </c>
      <c r="E63" s="76">
        <f>shortage_dist_sf_actual*cutratio_mf</f>
        <v>0.42787733333333333</v>
      </c>
      <c r="F63" s="77">
        <f>shortage_dist_ind_actual*base_use_ind</f>
        <v>40113.098865</v>
      </c>
      <c r="G63" s="76">
        <f>shortage_dist_sf_actual*cutratio_ind</f>
        <v>0.17828222222222223</v>
      </c>
      <c r="H63" s="77">
        <f>shortage_dist_comm_actual*base_use_comm</f>
        <v>44124.408751500006</v>
      </c>
      <c r="I63" s="76">
        <f>shortage_dist_sf_actual*cutratio_com</f>
        <v>0.39222088888888895</v>
      </c>
      <c r="J63" s="77">
        <f>shortage_dist_lndscp_actual*base_use_lndscp</f>
        <v>256723.83273600004</v>
      </c>
      <c r="K63" s="76">
        <f>shortage_dist_sf_actual*cutratio_lndscp</f>
        <v>1.1410062222222224</v>
      </c>
      <c r="L63" s="78">
        <f>J63+H63+F63+D63+B63</f>
        <v>1383901.9108425002</v>
      </c>
      <c r="N63" s="52">
        <f>Total_actual_shortage</f>
        <v>0.9226105</v>
      </c>
      <c r="O63" s="44">
        <f t="shared" si="42"/>
        <v>116084.25</v>
      </c>
      <c r="P63" s="46">
        <f>base_use_total-O63</f>
        <v>1383915.75</v>
      </c>
      <c r="Q63" s="50">
        <f t="shared" si="37"/>
        <v>27904.112012719455</v>
      </c>
      <c r="R63" s="50">
        <f t="shared" si="38"/>
        <v>12229.897699905789</v>
      </c>
      <c r="S63" s="50">
        <f t="shared" si="39"/>
        <v>1966.6166647308698</v>
      </c>
      <c r="T63" s="50">
        <f t="shared" si="40"/>
        <v>11305.562118565322</v>
      </c>
      <c r="U63" s="50">
        <f t="shared" si="41"/>
        <v>1931.496347722438</v>
      </c>
      <c r="V63" s="41"/>
      <c r="W63" s="41"/>
      <c r="X63" s="41"/>
      <c r="Y63" s="6"/>
      <c r="Z63" s="6"/>
      <c r="AA63" s="6"/>
      <c r="AB63" s="6"/>
      <c r="AC63" s="42"/>
      <c r="AD63" s="6"/>
    </row>
    <row r="64" spans="2:30" x14ac:dyDescent="0.25">
      <c r="B64" s="62"/>
      <c r="C64" s="79" t="s">
        <v>60</v>
      </c>
      <c r="D64" s="9"/>
      <c r="E64" s="79"/>
      <c r="F64" s="9"/>
      <c r="G64" s="9"/>
      <c r="H64" s="9"/>
      <c r="I64" s="9"/>
      <c r="J64" s="9"/>
      <c r="K64" s="9"/>
      <c r="L64" s="28"/>
      <c r="Q64" s="50"/>
      <c r="T64" s="80"/>
      <c r="U64" s="41"/>
      <c r="V64" s="41"/>
      <c r="W64" s="41"/>
      <c r="X64" s="41"/>
      <c r="Y64" s="6"/>
      <c r="Z64" s="6"/>
      <c r="AA64" s="6"/>
      <c r="AB64" s="6"/>
      <c r="AC64" s="42"/>
      <c r="AD64" s="6"/>
    </row>
    <row r="65" spans="2:39" x14ac:dyDescent="0.25">
      <c r="B65" s="19"/>
      <c r="C65" s="63">
        <f>C63/$C$38</f>
        <v>0.99999500001388886</v>
      </c>
      <c r="D65" s="8"/>
      <c r="E65" s="63">
        <f>E63/$C$38</f>
        <v>0.59999700000833323</v>
      </c>
      <c r="F65" s="8"/>
      <c r="G65" s="63">
        <f>G63/$C$38</f>
        <v>0.24999875000347221</v>
      </c>
      <c r="H65" s="8"/>
      <c r="I65" s="63">
        <f>I63/$C$38</f>
        <v>0.54999725000763888</v>
      </c>
      <c r="J65" s="8"/>
      <c r="K65" s="63">
        <f>K63/$C$38</f>
        <v>1.5999920000222223</v>
      </c>
      <c r="L65" s="47"/>
      <c r="Q65" s="50"/>
      <c r="T65" s="80"/>
      <c r="U65" s="41"/>
    </row>
    <row r="66" spans="2:39" x14ac:dyDescent="0.25">
      <c r="Q66" s="50"/>
      <c r="T66" s="80"/>
      <c r="U66" s="41"/>
      <c r="AM66" s="10"/>
    </row>
    <row r="67" spans="2:39" x14ac:dyDescent="0.25">
      <c r="T67" s="80"/>
      <c r="U67" s="41"/>
    </row>
    <row r="68" spans="2:39" x14ac:dyDescent="0.25">
      <c r="T68" s="80"/>
      <c r="U68" s="41"/>
    </row>
  </sheetData>
  <phoneticPr fontId="4" type="noConversion"/>
  <pageMargins left="0.75" right="0.75" top="1" bottom="1" header="0.5" footer="0.5"/>
  <pageSetup orientation="landscape" horizontalDpi="300" verticalDpi="300" r:id="rId1"/>
  <headerFooter alignWithMargins="0">
    <oddFooter>&amp;R&amp;F  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c8a5693f-cb4f-4469-ad8f-971ccdc8dc5c" xsi:nil="true"/>
    <Notes xmlns="c8a5693f-cb4f-4469-ad8f-971ccdc8d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A600E73B5F498B2D4BF2CB2B4B35" ma:contentTypeVersion="" ma:contentTypeDescription="Create a new document." ma:contentTypeScope="" ma:versionID="fccf8eb4bf7c77058f7e1a7c435dd29e">
  <xsd:schema xmlns:xsd="http://www.w3.org/2001/XMLSchema" xmlns:xs="http://www.w3.org/2001/XMLSchema" xmlns:p="http://schemas.microsoft.com/office/2006/metadata/properties" xmlns:ns2="C8A5693F-CB4F-4469-AD8F-971CCDC8DC5C" xmlns:ns3="c8a5693f-cb4f-4469-ad8f-971ccdc8dc5c" xmlns:ns4="8ca2015b-1270-41a8-9966-06a19c2d4f3a" targetNamespace="http://schemas.microsoft.com/office/2006/metadata/properties" ma:root="true" ma:fieldsID="ba32016117279a10a3abb736afd6333a" ns2:_="" ns3:_="" ns4:_="">
    <xsd:import namespace="C8A5693F-CB4F-4469-AD8F-971CCDC8DC5C"/>
    <xsd:import namespace="c8a5693f-cb4f-4469-ad8f-971ccdc8dc5c"/>
    <xsd:import namespace="8ca2015b-1270-41a8-9966-06a19c2d4f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tadata" minOccurs="0"/>
                <xsd:element ref="ns3:Not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5693F-CB4F-4469-AD8F-971CCDC8D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5693f-cb4f-4469-ad8f-971ccdc8dc5c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tadata" ma:index="17" nillable="true" ma:displayName="Metadata" ma:description="Notes regarding references" ma:format="Dropdown" ma:internalName="Metadata">
      <xsd:simpleType>
        <xsd:restriction base="dms:Note">
          <xsd:maxLength value="255"/>
        </xsd:restriction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2015b-1270-41a8-9966-06a19c2d4f3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85D8AC-4DEA-4D66-8105-40ECD4B542B0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ca2015b-1270-41a8-9966-06a19c2d4f3a"/>
    <ds:schemaRef ds:uri="http://schemas.microsoft.com/office/2006/documentManagement/types"/>
    <ds:schemaRef ds:uri="C8A5693F-CB4F-4469-AD8F-971CCDC8DC5C"/>
    <ds:schemaRef ds:uri="c8a5693f-cb4f-4469-ad8f-971ccdc8dc5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E83BFB-7FED-44D2-9197-89E5DC1C1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5693F-CB4F-4469-AD8F-971CCDC8DC5C"/>
    <ds:schemaRef ds:uri="c8a5693f-cb4f-4469-ad8f-971ccdc8dc5c"/>
    <ds:schemaRef ds:uri="8ca2015b-1270-41a8-9966-06a19c2d4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EF16BB-3AEF-4926-94B8-DF9556B55A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72</vt:i4>
      </vt:variant>
    </vt:vector>
  </HeadingPairs>
  <TitlesOfParts>
    <vt:vector size="73" baseType="lpstr">
      <vt:lpstr>CPED Calc_trial</vt:lpstr>
      <vt:lpstr>base_conservation</vt:lpstr>
      <vt:lpstr>base_use_comm</vt:lpstr>
      <vt:lpstr>base_use_ind</vt:lpstr>
      <vt:lpstr>base_use_lndscp</vt:lpstr>
      <vt:lpstr>base_use_mf</vt:lpstr>
      <vt:lpstr>base_use_sf</vt:lpstr>
      <vt:lpstr>base_use_total</vt:lpstr>
      <vt:lpstr>'CPED Calc_trial'!coeff_2</vt:lpstr>
      <vt:lpstr>'CPED Calc_trial'!coeff_3</vt:lpstr>
      <vt:lpstr>coeff_comm</vt:lpstr>
      <vt:lpstr>coeff_ind</vt:lpstr>
      <vt:lpstr>coeff_lndscp</vt:lpstr>
      <vt:lpstr>coeff_mf</vt:lpstr>
      <vt:lpstr>'CPED Calc_trial'!coeff_sf</vt:lpstr>
      <vt:lpstr>cutratio_com</vt:lpstr>
      <vt:lpstr>cutratio_ind</vt:lpstr>
      <vt:lpstr>cutratio_lndscp</vt:lpstr>
      <vt:lpstr>cutratio_mf</vt:lpstr>
      <vt:lpstr>'CPED Calc_trial'!elasticity_1</vt:lpstr>
      <vt:lpstr>elasticity_comm</vt:lpstr>
      <vt:lpstr>elasticity_ind</vt:lpstr>
      <vt:lpstr>elasticity_lndscp</vt:lpstr>
      <vt:lpstr>elasticity_mf</vt:lpstr>
      <vt:lpstr>elasticity_sf</vt:lpstr>
      <vt:lpstr>foregone_use_total</vt:lpstr>
      <vt:lpstr>hardening_factor</vt:lpstr>
      <vt:lpstr>incremental_conservation</vt:lpstr>
      <vt:lpstr>low_bound_lndscp</vt:lpstr>
      <vt:lpstr>lowerbound_COM</vt:lpstr>
      <vt:lpstr>lowerbound_IND</vt:lpstr>
      <vt:lpstr>lowerbound_LNDSCP</vt:lpstr>
      <vt:lpstr>lowerbound_MF</vt:lpstr>
      <vt:lpstr>lowerbound_SF</vt:lpstr>
      <vt:lpstr>'CPED Calc_trial'!p1_base</vt:lpstr>
      <vt:lpstr>'CPED Calc_trial'!pct_def</vt:lpstr>
      <vt:lpstr>'CPED Calc_trial'!quan_1</vt:lpstr>
      <vt:lpstr>shortage_af_COM</vt:lpstr>
      <vt:lpstr>shortage_af_IND</vt:lpstr>
      <vt:lpstr>shortage_af_LNDSCP</vt:lpstr>
      <vt:lpstr>shortage_af_MF</vt:lpstr>
      <vt:lpstr>shortage_af_SF</vt:lpstr>
      <vt:lpstr>shortage_COM</vt:lpstr>
      <vt:lpstr>shortage_dist_comm</vt:lpstr>
      <vt:lpstr>shortage_dist_comm_actual</vt:lpstr>
      <vt:lpstr>shortage_dist_ind</vt:lpstr>
      <vt:lpstr>shortage_dist_ind_actual</vt:lpstr>
      <vt:lpstr>shortage_dist_lndscp</vt:lpstr>
      <vt:lpstr>shortage_dist_lndscp_actual</vt:lpstr>
      <vt:lpstr>shortage_dist_mf</vt:lpstr>
      <vt:lpstr>shortage_dist_mf_actual</vt:lpstr>
      <vt:lpstr>shortage_dist_sf</vt:lpstr>
      <vt:lpstr>shortage_dist_sf_actual</vt:lpstr>
      <vt:lpstr>shortage_IND</vt:lpstr>
      <vt:lpstr>shortage_LNDSCP</vt:lpstr>
      <vt:lpstr>shortage_MF</vt:lpstr>
      <vt:lpstr>shortage_SF</vt:lpstr>
      <vt:lpstr>size_com</vt:lpstr>
      <vt:lpstr>size_ind</vt:lpstr>
      <vt:lpstr>size_lndscp</vt:lpstr>
      <vt:lpstr>size_mf</vt:lpstr>
      <vt:lpstr>size_sf</vt:lpstr>
      <vt:lpstr>Total_actual_shortage</vt:lpstr>
      <vt:lpstr>Total_adjusted_shortage</vt:lpstr>
      <vt:lpstr>upper_bound_lndscp</vt:lpstr>
      <vt:lpstr>upper_boundary</vt:lpstr>
      <vt:lpstr>upperbound_COM</vt:lpstr>
      <vt:lpstr>upperbound_IND</vt:lpstr>
      <vt:lpstr>upperbound_LNDSCP</vt:lpstr>
      <vt:lpstr>upperbound_MF</vt:lpstr>
      <vt:lpstr>upperbound_SF</vt:lpstr>
      <vt:lpstr>'CPED Calc_trial'!use_2</vt:lpstr>
      <vt:lpstr>'CPED Calc_trial'!use_3</vt:lpstr>
    </vt:vector>
  </TitlesOfParts>
  <Manager/>
  <Company>CA Dept of Water Resources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</dc:creator>
  <cp:keywords/>
  <dc:description/>
  <cp:lastModifiedBy>Daly, Kensey</cp:lastModifiedBy>
  <cp:revision/>
  <dcterms:created xsi:type="dcterms:W3CDTF">1999-05-18T15:04:10Z</dcterms:created>
  <dcterms:modified xsi:type="dcterms:W3CDTF">2023-07-28T20:01:56Z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0x010100B8EEA600E73B5F498B2D4BF2CB2B4B35</vt:lpwstr>
  </property>
</Properties>
</file>