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D012200\GitHub_Repos\California-Urban-Water-Management-Economic-Tool\CaUWMET\tests\"/>
    </mc:Choice>
  </mc:AlternateContent>
  <xr:revisionPtr revIDLastSave="0" documentId="13_ncr:1_{29FF62B3-2C9E-488A-9867-505BA1505519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CPED Calc_trial" sheetId="3" r:id="rId1"/>
  </sheets>
  <definedNames>
    <definedName name="base_conservation">'CPED Calc_trial'!$D$8</definedName>
    <definedName name="base_use_comm">'CPED Calc_trial'!$T$11</definedName>
    <definedName name="base_use_ind">'CPED Calc_trial'!$S$11</definedName>
    <definedName name="base_use_lndscp">'CPED Calc_trial'!$U$11</definedName>
    <definedName name="base_use_mf">'CPED Calc_trial'!$R$11</definedName>
    <definedName name="base_use_sf">'CPED Calc_trial'!$Q$11</definedName>
    <definedName name="base_use_total">'CPED Calc_trial'!$O$6</definedName>
    <definedName name="coeff_2" localSheetId="0">'CPED Calc_trial'!$I$7</definedName>
    <definedName name="coeff_3" localSheetId="0">'CPED Calc_trial'!$H$7</definedName>
    <definedName name="coeff_comm">'CPED Calc_trial'!$T$10</definedName>
    <definedName name="coeff_ind">'CPED Calc_trial'!$S$10</definedName>
    <definedName name="coeff_lndscp">'CPED Calc_trial'!$U$10</definedName>
    <definedName name="coeff_mf">'CPED Calc_trial'!$R$10</definedName>
    <definedName name="coeff_sf" localSheetId="0">'CPED Calc_trial'!$Q$10</definedName>
    <definedName name="cutratio_com">'CPED Calc_trial'!$T$8</definedName>
    <definedName name="cutratio_ind">'CPED Calc_trial'!$S$8</definedName>
    <definedName name="cutratio_lndscp">'CPED Calc_trial'!$U$8</definedName>
    <definedName name="cutratio_mf">'CPED Calc_trial'!$R$8</definedName>
    <definedName name="elasticity_1" localSheetId="0">'CPED Calc_trial'!$H$8</definedName>
    <definedName name="elasticity_comm">'CPED Calc_trial'!$T$9</definedName>
    <definedName name="elasticity_ind">'CPED Calc_trial'!$S$9</definedName>
    <definedName name="elasticity_lndscp">'CPED Calc_trial'!$U$9</definedName>
    <definedName name="elasticity_mf">'CPED Calc_trial'!$R$9</definedName>
    <definedName name="elasticity_sf">'CPED Calc_trial'!$Q$9</definedName>
    <definedName name="foregone_use_total">'CPED Calc_trial'!$P$19:$P$38</definedName>
    <definedName name="hardening_factor">'CPED Calc_trial'!$D$9</definedName>
    <definedName name="incremental_conservation">'CPED Calc_trial'!$D$10</definedName>
    <definedName name="low_bound_lndscp">'CPED Calc_trial'!$U$14</definedName>
    <definedName name="lowerbound_COM">'CPED Calc_trial'!$T$14</definedName>
    <definedName name="lowerbound_IND">'CPED Calc_trial'!$S$14</definedName>
    <definedName name="lowerbound_LNDSCP">'CPED Calc_trial'!$U$14</definedName>
    <definedName name="lowerbound_MF">'CPED Calc_trial'!$R$14</definedName>
    <definedName name="lowerbound_SF">'CPED Calc_trial'!$Q$14</definedName>
    <definedName name="p1_base" localSheetId="0">'CPED Calc_trial'!$H$9</definedName>
    <definedName name="pct_def" localSheetId="0">'CPED Calc_trial'!$N$19:$N$38</definedName>
    <definedName name="quan_1" localSheetId="0">'CPED Calc_trial'!$O$19:$O$38</definedName>
    <definedName name="shortage_af_COM">'CPED Calc_trial'!$H$19:$H$38</definedName>
    <definedName name="shortage_af_IND">'CPED Calc_trial'!$F$19:$F$38</definedName>
    <definedName name="shortage_af_LNDSCP">'CPED Calc_trial'!$J$19:$J$38</definedName>
    <definedName name="shortage_af_MF">'CPED Calc_trial'!$D$19:$D$38</definedName>
    <definedName name="shortage_af_SF">'CPED Calc_trial'!$B$19:$B$38</definedName>
    <definedName name="shortage_COM">'CPED Calc_trial'!$I$19:$I$38</definedName>
    <definedName name="shortage_dist_comm">'CPED Calc_trial'!$I$38</definedName>
    <definedName name="shortage_dist_comm_actual">'CPED Calc_trial'!$I$63</definedName>
    <definedName name="shortage_dist_ind">'CPED Calc_trial'!$G$38</definedName>
    <definedName name="shortage_dist_ind_actual">'CPED Calc_trial'!$G$63</definedName>
    <definedName name="shortage_dist_lndscp">'CPED Calc_trial'!$K$38</definedName>
    <definedName name="shortage_dist_lndscp_actual">'CPED Calc_trial'!$K$63</definedName>
    <definedName name="shortage_dist_mf">'CPED Calc_trial'!$E$38</definedName>
    <definedName name="shortage_dist_mf_actual">'CPED Calc_trial'!$E$63</definedName>
    <definedName name="shortage_dist_sf">'CPED Calc_trial'!$C$38</definedName>
    <definedName name="shortage_dist_sf_actual">'CPED Calc_trial'!$C$63</definedName>
    <definedName name="shortage_IND">'CPED Calc_trial'!$G$19:$G$38</definedName>
    <definedName name="shortage_LNDSCP">'CPED Calc_trial'!$K$19:$K$38</definedName>
    <definedName name="shortage_MF">'CPED Calc_trial'!$E$19:$E$38</definedName>
    <definedName name="shortage_SF">'CPED Calc_trial'!$C$19:$C$38</definedName>
    <definedName name="size_com">'CPED Calc_trial'!$T$12</definedName>
    <definedName name="size_ind">'CPED Calc_trial'!$S$12</definedName>
    <definedName name="size_lndscp">'CPED Calc_trial'!$U$12</definedName>
    <definedName name="size_mf">'CPED Calc_trial'!$R$12</definedName>
    <definedName name="size_sf">'CPED Calc_trial'!$Q$12</definedName>
    <definedName name="Total_actual_shortage">'CPED Calc_trial'!$H$12</definedName>
    <definedName name="Total_adjusted_shortage">'CPED Calc_trial'!$H$13</definedName>
    <definedName name="upper_bound_lndscp">'CPED Calc_trial'!$U$15</definedName>
    <definedName name="upper_boundary">'CPED Calc_trial'!$P$15</definedName>
    <definedName name="upperbound_COM">'CPED Calc_trial'!$T$15</definedName>
    <definedName name="upperbound_IND">'CPED Calc_trial'!$S$15</definedName>
    <definedName name="upperbound_LNDSCP">'CPED Calc_trial'!$U$15</definedName>
    <definedName name="upperbound_MF">'CPED Calc_trial'!$R$15</definedName>
    <definedName name="upperbound_SF">'CPED Calc_trial'!$Q$15</definedName>
    <definedName name="use_2" localSheetId="0">'CPED Calc_trial'!$I$10</definedName>
    <definedName name="use_3" localSheetId="0">'CPED Calc_trial'!$H$10</definedName>
  </definedNames>
  <calcPr calcId="191028" iterate="1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8" i="3" l="1"/>
  <c r="X39" i="3"/>
  <c r="Y39" i="3" s="1"/>
  <c r="T39" i="3"/>
  <c r="T38" i="3"/>
  <c r="H12" i="3"/>
  <c r="AU38" i="3"/>
  <c r="AO38" i="3"/>
  <c r="AI38" i="3"/>
  <c r="AB38" i="3"/>
  <c r="R12" i="3"/>
  <c r="S12" i="3"/>
  <c r="T12" i="3"/>
  <c r="U12" i="3"/>
  <c r="Q12" i="3"/>
  <c r="O7" i="3" l="1"/>
  <c r="R11" i="3" l="1"/>
  <c r="S11" i="3"/>
  <c r="T11" i="3"/>
  <c r="U11" i="3"/>
  <c r="Q11" i="3"/>
  <c r="V11" i="3"/>
  <c r="V10" i="3"/>
  <c r="D10" i="3"/>
  <c r="D8" i="3"/>
  <c r="V39" i="3" l="1"/>
  <c r="R39" i="3"/>
  <c r="R38" i="3"/>
  <c r="U10" i="3"/>
  <c r="AT38" i="3" s="1"/>
  <c r="AS38" i="3"/>
  <c r="S10" i="3"/>
  <c r="AH38" i="3" s="1"/>
  <c r="AG38" i="3"/>
  <c r="T10" i="3"/>
  <c r="AN38" i="3" s="1"/>
  <c r="AM38" i="3"/>
  <c r="R10" i="3"/>
  <c r="AA38" i="3" s="1"/>
  <c r="Z38" i="3"/>
  <c r="Q10" i="3"/>
  <c r="V12" i="3" s="1"/>
  <c r="D7" i="3"/>
  <c r="H13" i="3" s="1"/>
  <c r="W39" i="3" l="1"/>
  <c r="S39" i="3"/>
  <c r="U39" i="3" s="1"/>
  <c r="S38" i="3"/>
  <c r="AV38" i="3"/>
  <c r="AC38" i="3"/>
  <c r="AP38" i="3"/>
  <c r="AJ38" i="3"/>
  <c r="N38" i="3"/>
  <c r="C38" i="3"/>
  <c r="H14" i="3"/>
  <c r="J13" i="3"/>
  <c r="N63" i="3"/>
  <c r="N44" i="3"/>
  <c r="O44" i="3" s="1"/>
  <c r="P44" i="3" s="1"/>
  <c r="J12" i="3"/>
  <c r="B38" i="3" l="1"/>
  <c r="V38" i="3" s="1"/>
  <c r="U38" i="3"/>
  <c r="N45" i="3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O63" i="3"/>
  <c r="P63" i="3" s="1"/>
  <c r="N19" i="3"/>
  <c r="H7" i="3"/>
  <c r="Q38" i="3" l="1"/>
  <c r="O45" i="3"/>
  <c r="P45" i="3" s="1"/>
  <c r="N20" i="3"/>
  <c r="O46" i="3"/>
  <c r="P46" i="3" s="1"/>
  <c r="O19" i="3"/>
  <c r="P19" i="3" s="1"/>
  <c r="BA19" i="3" s="1"/>
  <c r="O38" i="3" l="1"/>
  <c r="P38" i="3" s="1"/>
  <c r="BA38" i="3" s="1"/>
  <c r="O47" i="3"/>
  <c r="P47" i="3" s="1"/>
  <c r="O20" i="3"/>
  <c r="P20" i="3" s="1"/>
  <c r="BA20" i="3" s="1"/>
  <c r="N21" i="3"/>
  <c r="O48" i="3" l="1"/>
  <c r="P48" i="3" s="1"/>
  <c r="O21" i="3"/>
  <c r="P21" i="3" s="1"/>
  <c r="BA21" i="3" s="1"/>
  <c r="N22" i="3"/>
  <c r="O49" i="3" l="1"/>
  <c r="P49" i="3" s="1"/>
  <c r="N23" i="3"/>
  <c r="O22" i="3"/>
  <c r="P22" i="3" s="1"/>
  <c r="BA22" i="3" s="1"/>
  <c r="O50" i="3" l="1"/>
  <c r="P50" i="3" s="1"/>
  <c r="O23" i="3"/>
  <c r="P23" i="3" s="1"/>
  <c r="BA23" i="3" s="1"/>
  <c r="N24" i="3"/>
  <c r="N25" i="3" s="1"/>
  <c r="O51" i="3" l="1"/>
  <c r="P51" i="3" s="1"/>
  <c r="O24" i="3"/>
  <c r="P24" i="3" s="1"/>
  <c r="BA24" i="3" s="1"/>
  <c r="O25" i="3"/>
  <c r="P25" i="3" s="1"/>
  <c r="BA25" i="3" s="1"/>
  <c r="N26" i="3"/>
  <c r="O52" i="3" l="1"/>
  <c r="P52" i="3" s="1"/>
  <c r="O26" i="3"/>
  <c r="P26" i="3" s="1"/>
  <c r="BA26" i="3" s="1"/>
  <c r="N27" i="3"/>
  <c r="O53" i="3" l="1"/>
  <c r="P53" i="3" s="1"/>
  <c r="N28" i="3"/>
  <c r="O27" i="3"/>
  <c r="P27" i="3" s="1"/>
  <c r="BA27" i="3" s="1"/>
  <c r="O54" i="3" l="1"/>
  <c r="P54" i="3" s="1"/>
  <c r="O28" i="3"/>
  <c r="P28" i="3" s="1"/>
  <c r="BA28" i="3" s="1"/>
  <c r="N29" i="3"/>
  <c r="O55" i="3" l="1"/>
  <c r="P55" i="3" s="1"/>
  <c r="O29" i="3"/>
  <c r="P29" i="3" s="1"/>
  <c r="BA29" i="3" s="1"/>
  <c r="N30" i="3"/>
  <c r="O56" i="3" l="1"/>
  <c r="P56" i="3" s="1"/>
  <c r="N31" i="3"/>
  <c r="O30" i="3"/>
  <c r="P30" i="3" s="1"/>
  <c r="BA30" i="3" s="1"/>
  <c r="O57" i="3" l="1"/>
  <c r="P57" i="3" s="1"/>
  <c r="O31" i="3"/>
  <c r="P31" i="3" s="1"/>
  <c r="BA31" i="3" s="1"/>
  <c r="N32" i="3"/>
  <c r="O58" i="3" l="1"/>
  <c r="P58" i="3" s="1"/>
  <c r="N33" i="3"/>
  <c r="O32" i="3"/>
  <c r="P32" i="3" s="1"/>
  <c r="BA32" i="3" s="1"/>
  <c r="O59" i="3" l="1"/>
  <c r="P59" i="3" s="1"/>
  <c r="O33" i="3"/>
  <c r="P33" i="3" s="1"/>
  <c r="BA33" i="3" s="1"/>
  <c r="N34" i="3"/>
  <c r="O60" i="3" l="1"/>
  <c r="P60" i="3" s="1"/>
  <c r="O34" i="3"/>
  <c r="P34" i="3" s="1"/>
  <c r="BA34" i="3" s="1"/>
  <c r="N35" i="3"/>
  <c r="O61" i="3" l="1"/>
  <c r="P61" i="3" s="1"/>
  <c r="N36" i="3"/>
  <c r="O35" i="3"/>
  <c r="P35" i="3" s="1"/>
  <c r="BA35" i="3" s="1"/>
  <c r="O62" i="3" l="1"/>
  <c r="P62" i="3" s="1"/>
  <c r="N37" i="3"/>
  <c r="O36" i="3"/>
  <c r="P36" i="3" s="1"/>
  <c r="BA36" i="3" s="1"/>
  <c r="O37" i="3" l="1"/>
  <c r="P37" i="3" s="1"/>
  <c r="BA37" i="3" s="1"/>
  <c r="C37" i="3"/>
  <c r="C36" i="3"/>
  <c r="C62" i="3"/>
  <c r="I62" i="3" s="1"/>
  <c r="H62" i="3" s="1"/>
  <c r="C35" i="3"/>
  <c r="C61" i="3"/>
  <c r="K61" i="3" s="1"/>
  <c r="J61" i="3" s="1"/>
  <c r="C34" i="3"/>
  <c r="C60" i="3"/>
  <c r="E60" i="3" s="1"/>
  <c r="D60" i="3" s="1"/>
  <c r="C59" i="3"/>
  <c r="C33" i="3"/>
  <c r="C32" i="3"/>
  <c r="C58" i="3"/>
  <c r="K58" i="3" s="1"/>
  <c r="J58" i="3" s="1"/>
  <c r="C57" i="3"/>
  <c r="C31" i="3"/>
  <c r="C56" i="3"/>
  <c r="K56" i="3" s="1"/>
  <c r="J56" i="3" s="1"/>
  <c r="C30" i="3"/>
  <c r="C29" i="3"/>
  <c r="C55" i="3"/>
  <c r="G55" i="3" s="1"/>
  <c r="F55" i="3" s="1"/>
  <c r="C28" i="3"/>
  <c r="C54" i="3"/>
  <c r="I54" i="3" s="1"/>
  <c r="H54" i="3" s="1"/>
  <c r="C27" i="3"/>
  <c r="C53" i="3"/>
  <c r="B53" i="3" s="1"/>
  <c r="C26" i="3"/>
  <c r="C52" i="3"/>
  <c r="G52" i="3" s="1"/>
  <c r="F52" i="3" s="1"/>
  <c r="C24" i="3"/>
  <c r="C25" i="3"/>
  <c r="C51" i="3"/>
  <c r="I51" i="3" s="1"/>
  <c r="H51" i="3" s="1"/>
  <c r="C50" i="3"/>
  <c r="I50" i="3" s="1"/>
  <c r="H50" i="3" s="1"/>
  <c r="C23" i="3"/>
  <c r="C49" i="3"/>
  <c r="I49" i="3" s="1"/>
  <c r="H49" i="3" s="1"/>
  <c r="C48" i="3"/>
  <c r="G48" i="3" s="1"/>
  <c r="F48" i="3" s="1"/>
  <c r="C22" i="3"/>
  <c r="C21" i="3"/>
  <c r="C47" i="3"/>
  <c r="K47" i="3" s="1"/>
  <c r="J47" i="3" s="1"/>
  <c r="C19" i="3"/>
  <c r="E19" i="3" s="1"/>
  <c r="D19" i="3" s="1"/>
  <c r="AF19" i="3" s="1"/>
  <c r="C46" i="3"/>
  <c r="I46" i="3" s="1"/>
  <c r="H46" i="3" s="1"/>
  <c r="C63" i="3"/>
  <c r="I63" i="3" s="1"/>
  <c r="H63" i="3" s="1"/>
  <c r="C20" i="3"/>
  <c r="C44" i="3"/>
  <c r="I44" i="3" s="1"/>
  <c r="H44" i="3" s="1"/>
  <c r="C45" i="3"/>
  <c r="K45" i="3" s="1"/>
  <c r="J45" i="3" s="1"/>
  <c r="K34" i="3" l="1"/>
  <c r="J34" i="3" s="1"/>
  <c r="AX34" i="3" s="1"/>
  <c r="B32" i="3"/>
  <c r="Y32" i="3" s="1"/>
  <c r="G22" i="3"/>
  <c r="F22" i="3" s="1"/>
  <c r="AL22" i="3" s="1"/>
  <c r="C40" i="3"/>
  <c r="E23" i="3"/>
  <c r="D23" i="3" s="1"/>
  <c r="E29" i="3"/>
  <c r="D29" i="3" s="1"/>
  <c r="AF29" i="3" s="1"/>
  <c r="I35" i="3"/>
  <c r="G26" i="3"/>
  <c r="E21" i="3"/>
  <c r="D21" i="3" s="1"/>
  <c r="AF21" i="3" s="1"/>
  <c r="I30" i="3"/>
  <c r="H30" i="3" s="1"/>
  <c r="AR30" i="3" s="1"/>
  <c r="K36" i="3"/>
  <c r="J36" i="3" s="1"/>
  <c r="AX36" i="3" s="1"/>
  <c r="U61" i="3" s="1"/>
  <c r="I33" i="3"/>
  <c r="H33" i="3" s="1"/>
  <c r="AR33" i="3" s="1"/>
  <c r="I20" i="3"/>
  <c r="H20" i="3" s="1"/>
  <c r="AR20" i="3" s="1"/>
  <c r="G25" i="3"/>
  <c r="F25" i="3" s="1"/>
  <c r="AL25" i="3" s="1"/>
  <c r="K31" i="3"/>
  <c r="J31" i="3" s="1"/>
  <c r="AX31" i="3" s="1"/>
  <c r="U56" i="3" s="1"/>
  <c r="G37" i="3"/>
  <c r="F37" i="3" s="1"/>
  <c r="AL37" i="3" s="1"/>
  <c r="I27" i="3"/>
  <c r="H27" i="3" s="1"/>
  <c r="AR27" i="3" s="1"/>
  <c r="I24" i="3"/>
  <c r="H24" i="3" s="1"/>
  <c r="AR24" i="3" s="1"/>
  <c r="T49" i="3" s="1"/>
  <c r="B31" i="3"/>
  <c r="Y31" i="3" s="1"/>
  <c r="B59" i="3"/>
  <c r="B28" i="3"/>
  <c r="Y28" i="3" s="1"/>
  <c r="I45" i="3"/>
  <c r="H45" i="3" s="1"/>
  <c r="E52" i="3"/>
  <c r="D52" i="3" s="1"/>
  <c r="B57" i="3"/>
  <c r="I55" i="3"/>
  <c r="H55" i="3" s="1"/>
  <c r="B26" i="3"/>
  <c r="Y26" i="3" s="1"/>
  <c r="E33" i="3"/>
  <c r="D33" i="3" s="1"/>
  <c r="B61" i="3"/>
  <c r="K29" i="3"/>
  <c r="J29" i="3" s="1"/>
  <c r="B50" i="3"/>
  <c r="E31" i="3"/>
  <c r="D31" i="3" s="1"/>
  <c r="K26" i="3"/>
  <c r="J26" i="3" s="1"/>
  <c r="I31" i="3"/>
  <c r="H31" i="3" s="1"/>
  <c r="AR31" i="3" s="1"/>
  <c r="B27" i="3"/>
  <c r="Y27" i="3" s="1"/>
  <c r="B47" i="3"/>
  <c r="B54" i="3"/>
  <c r="B48" i="3"/>
  <c r="E35" i="3"/>
  <c r="D35" i="3" s="1"/>
  <c r="E48" i="3"/>
  <c r="D48" i="3" s="1"/>
  <c r="I60" i="3"/>
  <c r="H60" i="3" s="1"/>
  <c r="G35" i="3"/>
  <c r="F35" i="3" s="1"/>
  <c r="AL35" i="3" s="1"/>
  <c r="K48" i="3"/>
  <c r="J48" i="3" s="1"/>
  <c r="B34" i="3"/>
  <c r="Y34" i="3" s="1"/>
  <c r="I26" i="3"/>
  <c r="E24" i="3"/>
  <c r="D24" i="3" s="1"/>
  <c r="E63" i="3"/>
  <c r="D63" i="3" s="1"/>
  <c r="I28" i="3"/>
  <c r="H28" i="3" s="1"/>
  <c r="B62" i="3"/>
  <c r="E44" i="3"/>
  <c r="D44" i="3" s="1"/>
  <c r="E20" i="3"/>
  <c r="D20" i="3" s="1"/>
  <c r="K55" i="3"/>
  <c r="J55" i="3" s="1"/>
  <c r="K63" i="3"/>
  <c r="J63" i="3" s="1"/>
  <c r="B51" i="3"/>
  <c r="K28" i="3"/>
  <c r="J28" i="3" s="1"/>
  <c r="B19" i="3"/>
  <c r="Y19" i="3" s="1"/>
  <c r="G24" i="3"/>
  <c r="F24" i="3" s="1"/>
  <c r="AL24" i="3" s="1"/>
  <c r="G49" i="3"/>
  <c r="F49" i="3" s="1"/>
  <c r="B24" i="3"/>
  <c r="Y24" i="3" s="1"/>
  <c r="K60" i="3"/>
  <c r="J60" i="3" s="1"/>
  <c r="G19" i="3"/>
  <c r="F19" i="3" s="1"/>
  <c r="AL19" i="3" s="1"/>
  <c r="B55" i="3"/>
  <c r="K44" i="3"/>
  <c r="J44" i="3" s="1"/>
  <c r="E26" i="3"/>
  <c r="E55" i="3"/>
  <c r="D55" i="3" s="1"/>
  <c r="E56" i="3"/>
  <c r="D56" i="3" s="1"/>
  <c r="G32" i="3"/>
  <c r="E51" i="3"/>
  <c r="D51" i="3" s="1"/>
  <c r="G56" i="3"/>
  <c r="F56" i="3" s="1"/>
  <c r="I65" i="3"/>
  <c r="B22" i="3"/>
  <c r="Y22" i="3" s="1"/>
  <c r="B25" i="3"/>
  <c r="Y25" i="3" s="1"/>
  <c r="K25" i="3"/>
  <c r="J25" i="3" s="1"/>
  <c r="I56" i="3"/>
  <c r="H56" i="3" s="1"/>
  <c r="G31" i="3"/>
  <c r="K33" i="3"/>
  <c r="J33" i="3" s="1"/>
  <c r="G51" i="3"/>
  <c r="F51" i="3" s="1"/>
  <c r="G54" i="3"/>
  <c r="F54" i="3" s="1"/>
  <c r="E28" i="3"/>
  <c r="D28" i="3" s="1"/>
  <c r="AF28" i="3" s="1"/>
  <c r="I29" i="3"/>
  <c r="H29" i="3" s="1"/>
  <c r="E58" i="3"/>
  <c r="D58" i="3" s="1"/>
  <c r="I36" i="3"/>
  <c r="H36" i="3" s="1"/>
  <c r="AR36" i="3" s="1"/>
  <c r="E49" i="3"/>
  <c r="D49" i="3" s="1"/>
  <c r="B44" i="3"/>
  <c r="G44" i="3"/>
  <c r="F44" i="3" s="1"/>
  <c r="E25" i="3"/>
  <c r="I58" i="3"/>
  <c r="H58" i="3" s="1"/>
  <c r="K32" i="3"/>
  <c r="G20" i="3"/>
  <c r="I22" i="3"/>
  <c r="K51" i="3"/>
  <c r="J51" i="3" s="1"/>
  <c r="B20" i="3"/>
  <c r="Y20" i="3" s="1"/>
  <c r="I19" i="3"/>
  <c r="H19" i="3" s="1"/>
  <c r="AR19" i="3" s="1"/>
  <c r="E53" i="3"/>
  <c r="D53" i="3" s="1"/>
  <c r="G28" i="3"/>
  <c r="C65" i="3"/>
  <c r="E22" i="3"/>
  <c r="D22" i="3" s="1"/>
  <c r="AF22" i="3" s="1"/>
  <c r="K49" i="3"/>
  <c r="J49" i="3" s="1"/>
  <c r="K27" i="3"/>
  <c r="J27" i="3" s="1"/>
  <c r="I57" i="3"/>
  <c r="H57" i="3" s="1"/>
  <c r="G60" i="3"/>
  <c r="F60" i="3" s="1"/>
  <c r="F26" i="3"/>
  <c r="AL26" i="3" s="1"/>
  <c r="H35" i="3"/>
  <c r="AR35" i="3" s="1"/>
  <c r="G38" i="3"/>
  <c r="K57" i="3"/>
  <c r="J57" i="3" s="1"/>
  <c r="G34" i="3"/>
  <c r="K62" i="3"/>
  <c r="J62" i="3" s="1"/>
  <c r="E46" i="3"/>
  <c r="D46" i="3" s="1"/>
  <c r="B23" i="3"/>
  <c r="Y23" i="3" s="1"/>
  <c r="I25" i="3"/>
  <c r="E57" i="3"/>
  <c r="D57" i="3" s="1"/>
  <c r="I59" i="3"/>
  <c r="H59" i="3" s="1"/>
  <c r="I61" i="3"/>
  <c r="H61" i="3" s="1"/>
  <c r="E62" i="3"/>
  <c r="D62" i="3" s="1"/>
  <c r="K37" i="3"/>
  <c r="G45" i="3"/>
  <c r="F45" i="3" s="1"/>
  <c r="I53" i="3"/>
  <c r="H53" i="3" s="1"/>
  <c r="K53" i="3"/>
  <c r="J53" i="3" s="1"/>
  <c r="G57" i="3"/>
  <c r="F57" i="3" s="1"/>
  <c r="E30" i="3"/>
  <c r="B33" i="3"/>
  <c r="Y33" i="3" s="1"/>
  <c r="E59" i="3"/>
  <c r="D59" i="3" s="1"/>
  <c r="I32" i="3"/>
  <c r="G33" i="3"/>
  <c r="G61" i="3"/>
  <c r="F61" i="3" s="1"/>
  <c r="G62" i="3"/>
  <c r="F62" i="3" s="1"/>
  <c r="B37" i="3"/>
  <c r="Y37" i="3" s="1"/>
  <c r="G21" i="3"/>
  <c r="I38" i="3"/>
  <c r="I21" i="3"/>
  <c r="I48" i="3"/>
  <c r="H48" i="3" s="1"/>
  <c r="K22" i="3"/>
  <c r="E50" i="3"/>
  <c r="D50" i="3" s="1"/>
  <c r="K50" i="3"/>
  <c r="J50" i="3" s="1"/>
  <c r="I52" i="3"/>
  <c r="H52" i="3" s="1"/>
  <c r="K52" i="3"/>
  <c r="J52" i="3" s="1"/>
  <c r="B29" i="3"/>
  <c r="Y29" i="3" s="1"/>
  <c r="K30" i="3"/>
  <c r="E34" i="3"/>
  <c r="E37" i="3"/>
  <c r="K38" i="3"/>
  <c r="I23" i="3"/>
  <c r="B45" i="3"/>
  <c r="G53" i="3"/>
  <c r="F53" i="3" s="1"/>
  <c r="E27" i="3"/>
  <c r="K54" i="3"/>
  <c r="J54" i="3" s="1"/>
  <c r="G29" i="3"/>
  <c r="G30" i="3"/>
  <c r="E61" i="3"/>
  <c r="D61" i="3" s="1"/>
  <c r="K35" i="3"/>
  <c r="I37" i="3"/>
  <c r="K21" i="3"/>
  <c r="B46" i="3"/>
  <c r="I47" i="3"/>
  <c r="H47" i="3" s="1"/>
  <c r="G47" i="3"/>
  <c r="F47" i="3" s="1"/>
  <c r="E45" i="3"/>
  <c r="D45" i="3" s="1"/>
  <c r="B63" i="3"/>
  <c r="K19" i="3"/>
  <c r="K46" i="3"/>
  <c r="J46" i="3" s="1"/>
  <c r="G50" i="3"/>
  <c r="F50" i="3" s="1"/>
  <c r="B52" i="3"/>
  <c r="E54" i="3"/>
  <c r="D54" i="3" s="1"/>
  <c r="G27" i="3"/>
  <c r="B30" i="3"/>
  <c r="Y30" i="3" s="1"/>
  <c r="B58" i="3"/>
  <c r="E32" i="3"/>
  <c r="B60" i="3"/>
  <c r="E47" i="3"/>
  <c r="D47" i="3" s="1"/>
  <c r="B35" i="3"/>
  <c r="Y35" i="3" s="1"/>
  <c r="B36" i="3"/>
  <c r="G59" i="3"/>
  <c r="F59" i="3" s="1"/>
  <c r="G46" i="3"/>
  <c r="F46" i="3" s="1"/>
  <c r="G63" i="3"/>
  <c r="G23" i="3"/>
  <c r="K20" i="3"/>
  <c r="B49" i="3"/>
  <c r="K23" i="3"/>
  <c r="K24" i="3"/>
  <c r="B56" i="3"/>
  <c r="G58" i="3"/>
  <c r="F58" i="3" s="1"/>
  <c r="K59" i="3"/>
  <c r="J59" i="3" s="1"/>
  <c r="I34" i="3"/>
  <c r="G36" i="3"/>
  <c r="E36" i="3"/>
  <c r="E38" i="3"/>
  <c r="B21" i="3"/>
  <c r="Y21" i="3" s="1"/>
  <c r="AF20" i="3" l="1"/>
  <c r="R45" i="3" s="1"/>
  <c r="Y36" i="3"/>
  <c r="AF23" i="3"/>
  <c r="R48" i="3" s="1"/>
  <c r="AF33" i="3"/>
  <c r="R58" i="3" s="1"/>
  <c r="Q53" i="3"/>
  <c r="T60" i="3"/>
  <c r="AX29" i="3"/>
  <c r="U54" i="3" s="1"/>
  <c r="Q50" i="3"/>
  <c r="K65" i="3"/>
  <c r="AX27" i="3"/>
  <c r="U52" i="3" s="1"/>
  <c r="T56" i="3"/>
  <c r="AX26" i="3"/>
  <c r="U51" i="3" s="1"/>
  <c r="Q57" i="3"/>
  <c r="T45" i="3"/>
  <c r="L48" i="3"/>
  <c r="S60" i="3"/>
  <c r="AX28" i="3"/>
  <c r="U53" i="3" s="1"/>
  <c r="AF31" i="3"/>
  <c r="R56" i="3" s="1"/>
  <c r="AF35" i="3"/>
  <c r="R60" i="3" s="1"/>
  <c r="T58" i="3"/>
  <c r="AR29" i="3"/>
  <c r="T54" i="3" s="1"/>
  <c r="T55" i="3"/>
  <c r="T52" i="3"/>
  <c r="R46" i="3"/>
  <c r="AX33" i="3"/>
  <c r="U58" i="3" s="1"/>
  <c r="L55" i="3"/>
  <c r="R54" i="3"/>
  <c r="Q51" i="3"/>
  <c r="H26" i="3"/>
  <c r="AR26" i="3" s="1"/>
  <c r="T51" i="3" s="1"/>
  <c r="S49" i="3"/>
  <c r="AF24" i="3"/>
  <c r="R49" i="3" s="1"/>
  <c r="T61" i="3"/>
  <c r="L49" i="3"/>
  <c r="R47" i="3"/>
  <c r="E65" i="3"/>
  <c r="U59" i="3"/>
  <c r="L51" i="3"/>
  <c r="L60" i="3"/>
  <c r="D25" i="3"/>
  <c r="AF25" i="3" s="1"/>
  <c r="R50" i="3" s="1"/>
  <c r="L61" i="3"/>
  <c r="F28" i="3"/>
  <c r="AL28" i="3" s="1"/>
  <c r="S53" i="3" s="1"/>
  <c r="D26" i="3"/>
  <c r="F32" i="3"/>
  <c r="AL32" i="3" s="1"/>
  <c r="S57" i="3" s="1"/>
  <c r="F31" i="3"/>
  <c r="L31" i="3" s="1"/>
  <c r="L44" i="3"/>
  <c r="S51" i="3"/>
  <c r="L58" i="3"/>
  <c r="S62" i="3"/>
  <c r="J32" i="3"/>
  <c r="AX32" i="3" s="1"/>
  <c r="U57" i="3" s="1"/>
  <c r="L56" i="3"/>
  <c r="H22" i="3"/>
  <c r="AR22" i="3" s="1"/>
  <c r="F20" i="3"/>
  <c r="AL20" i="3" s="1"/>
  <c r="S45" i="3" s="1"/>
  <c r="Q48" i="3"/>
  <c r="Q46" i="3"/>
  <c r="R53" i="3"/>
  <c r="Q58" i="3"/>
  <c r="Q60" i="3"/>
  <c r="F27" i="3"/>
  <c r="J23" i="3"/>
  <c r="Q59" i="3"/>
  <c r="Q45" i="3"/>
  <c r="D30" i="3"/>
  <c r="AF30" i="3" s="1"/>
  <c r="K40" i="3"/>
  <c r="J38" i="3"/>
  <c r="AX38" i="3" s="1"/>
  <c r="H37" i="3"/>
  <c r="AR37" i="3" s="1"/>
  <c r="T62" i="3" s="1"/>
  <c r="Q54" i="3"/>
  <c r="J35" i="3"/>
  <c r="L35" i="3" s="1"/>
  <c r="H25" i="3"/>
  <c r="AR25" i="3" s="1"/>
  <c r="T50" i="3" s="1"/>
  <c r="L45" i="3"/>
  <c r="S50" i="3"/>
  <c r="Q56" i="3"/>
  <c r="J22" i="3"/>
  <c r="F30" i="3"/>
  <c r="AL30" i="3" s="1"/>
  <c r="S55" i="3" s="1"/>
  <c r="D34" i="3"/>
  <c r="AF34" i="3" s="1"/>
  <c r="H21" i="3"/>
  <c r="AR21" i="3" s="1"/>
  <c r="T46" i="3" s="1"/>
  <c r="AX25" i="3"/>
  <c r="U50" i="3" s="1"/>
  <c r="D36" i="3"/>
  <c r="AF36" i="3" s="1"/>
  <c r="F23" i="3"/>
  <c r="AL23" i="3" s="1"/>
  <c r="S48" i="3" s="1"/>
  <c r="L46" i="3"/>
  <c r="F29" i="3"/>
  <c r="L29" i="3" s="1"/>
  <c r="J30" i="3"/>
  <c r="AX30" i="3" s="1"/>
  <c r="U55" i="3" s="1"/>
  <c r="H38" i="3"/>
  <c r="AR38" i="3" s="1"/>
  <c r="I40" i="3"/>
  <c r="L53" i="3"/>
  <c r="Q62" i="3"/>
  <c r="Q52" i="3"/>
  <c r="L47" i="3"/>
  <c r="Q55" i="3"/>
  <c r="F36" i="3"/>
  <c r="AL36" i="3" s="1"/>
  <c r="S61" i="3" s="1"/>
  <c r="F63" i="3"/>
  <c r="L63" i="3" s="1"/>
  <c r="G65" i="3"/>
  <c r="D32" i="3"/>
  <c r="AF32" i="3" s="1"/>
  <c r="J19" i="3"/>
  <c r="L19" i="3" s="1"/>
  <c r="L54" i="3"/>
  <c r="F21" i="3"/>
  <c r="AL21" i="3" s="1"/>
  <c r="S46" i="3" s="1"/>
  <c r="S47" i="3"/>
  <c r="J21" i="3"/>
  <c r="AX21" i="3" s="1"/>
  <c r="U46" i="3" s="1"/>
  <c r="J24" i="3"/>
  <c r="L24" i="3" s="1"/>
  <c r="D37" i="3"/>
  <c r="AF37" i="3" s="1"/>
  <c r="F38" i="3"/>
  <c r="AK38" i="3" s="1"/>
  <c r="G40" i="3"/>
  <c r="J20" i="3"/>
  <c r="H34" i="3"/>
  <c r="AR34" i="3" s="1"/>
  <c r="T59" i="3" s="1"/>
  <c r="D27" i="3"/>
  <c r="AF27" i="3" s="1"/>
  <c r="R52" i="3" s="1"/>
  <c r="L59" i="3"/>
  <c r="L62" i="3"/>
  <c r="D38" i="3"/>
  <c r="AE38" i="3" s="1"/>
  <c r="E40" i="3"/>
  <c r="L52" i="3"/>
  <c r="L50" i="3"/>
  <c r="J37" i="3"/>
  <c r="AX37" i="3" s="1"/>
  <c r="U62" i="3" s="1"/>
  <c r="F34" i="3"/>
  <c r="AL34" i="3" s="1"/>
  <c r="S59" i="3" s="1"/>
  <c r="Q47" i="3"/>
  <c r="AR28" i="3"/>
  <c r="T53" i="3" s="1"/>
  <c r="F33" i="3"/>
  <c r="L33" i="3" s="1"/>
  <c r="Q49" i="3"/>
  <c r="H23" i="3"/>
  <c r="AR23" i="3" s="1"/>
  <c r="T48" i="3" s="1"/>
  <c r="H32" i="3"/>
  <c r="AR32" i="3" s="1"/>
  <c r="T57" i="3" s="1"/>
  <c r="L57" i="3"/>
  <c r="AZ32" i="3" l="1"/>
  <c r="AZ34" i="3"/>
  <c r="AZ30" i="3"/>
  <c r="AY30" i="3" s="1"/>
  <c r="AZ36" i="3"/>
  <c r="AY36" i="3" s="1"/>
  <c r="AZ37" i="3"/>
  <c r="AF38" i="3"/>
  <c r="R63" i="3" s="1"/>
  <c r="AD38" i="3"/>
  <c r="Q63" i="3"/>
  <c r="T63" i="3"/>
  <c r="AQ38" i="3"/>
  <c r="AL38" i="3"/>
  <c r="S63" i="3" s="1"/>
  <c r="Q61" i="3"/>
  <c r="AZ28" i="3"/>
  <c r="AY28" i="3" s="1"/>
  <c r="U63" i="3"/>
  <c r="AW38" i="3"/>
  <c r="AZ21" i="3"/>
  <c r="AY21" i="3" s="1"/>
  <c r="AZ25" i="3"/>
  <c r="AY25" i="3" s="1"/>
  <c r="L22" i="3"/>
  <c r="AX35" i="3"/>
  <c r="U60" i="3" s="1"/>
  <c r="AL31" i="3"/>
  <c r="L20" i="3"/>
  <c r="L26" i="3"/>
  <c r="AF26" i="3"/>
  <c r="AL29" i="3"/>
  <c r="L23" i="3"/>
  <c r="L30" i="3"/>
  <c r="L28" i="3"/>
  <c r="AL33" i="3"/>
  <c r="L25" i="3"/>
  <c r="L27" i="3"/>
  <c r="T47" i="3"/>
  <c r="AX19" i="3"/>
  <c r="AZ19" i="3" s="1"/>
  <c r="AX24" i="3"/>
  <c r="U49" i="3" s="1"/>
  <c r="L38" i="3"/>
  <c r="AX22" i="3"/>
  <c r="U47" i="3" s="1"/>
  <c r="L21" i="3"/>
  <c r="L32" i="3"/>
  <c r="R62" i="3"/>
  <c r="AY37" i="3"/>
  <c r="R55" i="3"/>
  <c r="R61" i="3"/>
  <c r="R57" i="3"/>
  <c r="AY32" i="3"/>
  <c r="R59" i="3"/>
  <c r="AY34" i="3"/>
  <c r="AL27" i="3"/>
  <c r="S52" i="3" s="1"/>
  <c r="L37" i="3"/>
  <c r="L34" i="3"/>
  <c r="L36" i="3"/>
  <c r="AX20" i="3"/>
  <c r="AZ20" i="3" s="1"/>
  <c r="AX23" i="3"/>
  <c r="U48" i="3" s="1"/>
  <c r="AZ38" i="3" l="1"/>
  <c r="AY38" i="3" s="1"/>
  <c r="AZ23" i="3"/>
  <c r="AZ35" i="3"/>
  <c r="AY35" i="3" s="1"/>
  <c r="S56" i="3"/>
  <c r="AZ31" i="3"/>
  <c r="AY31" i="3" s="1"/>
  <c r="S58" i="3"/>
  <c r="AZ33" i="3"/>
  <c r="AY33" i="3" s="1"/>
  <c r="S54" i="3"/>
  <c r="AZ29" i="3"/>
  <c r="AY29" i="3" s="1"/>
  <c r="AZ26" i="3"/>
  <c r="AY26" i="3" s="1"/>
  <c r="AZ24" i="3"/>
  <c r="AY24" i="3" s="1"/>
  <c r="AZ27" i="3"/>
  <c r="AY27" i="3" s="1"/>
  <c r="AZ22" i="3"/>
  <c r="AY22" i="3" s="1"/>
  <c r="R51" i="3"/>
  <c r="U45" i="3"/>
  <c r="AY20" i="3"/>
  <c r="AY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tc={03C90890-4810-43B6-8CF5-E504F9C79B2D}</author>
    <author>tc={A85D0A2C-5470-4799-AC19-014C2FAB88B6}</author>
    <author>tc={B7D09D5A-B054-412B-847E-F2F3C8745C48}</author>
  </authors>
  <commentList>
    <comment ref="Q12" authorId="0" shapeId="0" xr:uid="{03C90890-4810-43B6-8CF5-E504F9C79B2D}">
      <text>
        <t>[Threaded comment]
Your version of Excel allows you to read this threaded comment; however, any edits to it will get removed if the file is opened in a newer version of Excel. Learn more: https://go.microsoft.com/fwlink/?linkid=870924
Comment:
    Uses normal year demand (1 MAF) but the test's timestep corresponds to the dry year demand of 1.5 MAF, input to cell O6</t>
      </text>
    </comment>
    <comment ref="R38" authorId="1" shapeId="0" xr:uid="{A85D0A2C-5470-4799-AC19-014C2FAB88B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row calculates values if the shortage is within the loss boundaries</t>
      </text>
    </comment>
    <comment ref="R39" authorId="2" shapeId="0" xr:uid="{B7D09D5A-B054-412B-847E-F2F3C8745C4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row calculates values if the shortage is above the upper loss boundaries</t>
      </text>
    </comment>
  </commentList>
</comments>
</file>

<file path=xl/sharedStrings.xml><?xml version="1.0" encoding="utf-8"?>
<sst xmlns="http://schemas.openxmlformats.org/spreadsheetml/2006/main" count="133" uniqueCount="80">
  <si>
    <t>Demand Curve Analysis [CPED:  Quantity = Constant of integration*(price^elasticity)]</t>
  </si>
  <si>
    <t>SDBSIM parameters:</t>
  </si>
  <si>
    <t>.15 to .32</t>
  </si>
  <si>
    <t>.8 for ag</t>
  </si>
  <si>
    <t>30% for ag</t>
  </si>
  <si>
    <t>after cutoffs, remaining shortage valued at $3000</t>
  </si>
  <si>
    <t>Demand hardening adjustment factor</t>
  </si>
  <si>
    <t>Agency parameters</t>
  </si>
  <si>
    <t>Use type parameters</t>
  </si>
  <si>
    <t>base demand:</t>
  </si>
  <si>
    <t>SF</t>
  </si>
  <si>
    <t>MF</t>
  </si>
  <si>
    <t>IND</t>
  </si>
  <si>
    <t>COM</t>
  </si>
  <si>
    <t>LNDSCP</t>
  </si>
  <si>
    <t>(calculated)</t>
  </si>
  <si>
    <t>coeff</t>
  </si>
  <si>
    <t>(input data)</t>
  </si>
  <si>
    <t>elasticity</t>
  </si>
  <si>
    <t>(set)</t>
  </si>
  <si>
    <t>cut ratio</t>
  </si>
  <si>
    <t>$/AF</t>
  </si>
  <si>
    <t>(internal calc)</t>
  </si>
  <si>
    <t>base use</t>
  </si>
  <si>
    <t>AF</t>
  </si>
  <si>
    <t>Constant of integration</t>
  </si>
  <si>
    <t>Total available supply to meet shortage</t>
  </si>
  <si>
    <t>Shortage volume</t>
  </si>
  <si>
    <t>use by type percentage (customer size)</t>
  </si>
  <si>
    <t>Actual Shortage</t>
  </si>
  <si>
    <t>Adjusted Applied shortage</t>
  </si>
  <si>
    <t>lower boundary (%shortage)</t>
  </si>
  <si>
    <t>Adjusted Applied shortage volume</t>
  </si>
  <si>
    <t>upper boundary (%shortage)</t>
  </si>
  <si>
    <t>iterations N</t>
  </si>
  <si>
    <t>year i=1 to i=I</t>
  </si>
  <si>
    <t>Adjusted Shortages by Use Type</t>
  </si>
  <si>
    <t>Loss Calculations--based on adjusted shortages</t>
  </si>
  <si>
    <t>SF shortage (AF)</t>
  </si>
  <si>
    <t>SF shortage (%)</t>
  </si>
  <si>
    <t>MF shortage (AF)</t>
  </si>
  <si>
    <t>MF shortage (%)</t>
  </si>
  <si>
    <t>IND shortage (AF)</t>
  </si>
  <si>
    <t>IND shortage (%)</t>
  </si>
  <si>
    <t>COM shortage (AF)</t>
  </si>
  <si>
    <t>COM shortage (%)</t>
  </si>
  <si>
    <t>LNDSCP shortage (AF)</t>
  </si>
  <si>
    <t>LNDSCP shortage (%)</t>
  </si>
  <si>
    <t>Total shortage</t>
  </si>
  <si>
    <t>Shortage % (set %)</t>
  </si>
  <si>
    <t>Constrained use (AF)</t>
  </si>
  <si>
    <t>foregone use (AF)</t>
  </si>
  <si>
    <t>single family residential Loss ($)</t>
  </si>
  <si>
    <t>multi-family residential Loss ($)</t>
  </si>
  <si>
    <t>industrial customer  Loss ($)</t>
  </si>
  <si>
    <t>commercial customer loss ($)</t>
  </si>
  <si>
    <t>landscape  loss ($)</t>
  </si>
  <si>
    <t xml:space="preserve">$/AF </t>
  </si>
  <si>
    <t>sum of losses_  year 1 ($)</t>
  </si>
  <si>
    <t>Volume of contingent water supply</t>
  </si>
  <si>
    <t>CHECK--ratios compared to SF</t>
  </si>
  <si>
    <t>Actual Shortages by Use Type</t>
  </si>
  <si>
    <t>Actual shortages</t>
  </si>
  <si>
    <t>Loss calculation per actual AF of shortage</t>
  </si>
  <si>
    <t>Long-term WMO Conservation as % of Demand</t>
  </si>
  <si>
    <t>Hardening factor</t>
  </si>
  <si>
    <t>Retail price</t>
  </si>
  <si>
    <t>baseConservationAsPercentOfDemand</t>
  </si>
  <si>
    <t>applied demand:</t>
  </si>
  <si>
    <t>base use by type normal year (AF)</t>
  </si>
  <si>
    <t>base use by type dry year (AF)</t>
  </si>
  <si>
    <t>exponent</t>
  </si>
  <si>
    <t>b</t>
  </si>
  <si>
    <t>a</t>
  </si>
  <si>
    <t>c</t>
  </si>
  <si>
    <t>d</t>
  </si>
  <si>
    <t>e</t>
  </si>
  <si>
    <t>NOTE: Python test file specifies which cell each test variable is in so if you change any rows/columns please update the Python test file accordingly</t>
  </si>
  <si>
    <t>Yellow indicates variable included in Python unit test file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</si>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</sst>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00"/>
    <numFmt numFmtId="166" formatCode="0.0%"/>
    <numFmt numFmtId="167" formatCode="_(&quot;$&quot;* #,##0_);_(&quot;$&quot;* \(#,##0\);_(&quot;$&quot;* &quot;-&quot;??_);_(@_)"/>
    <numFmt numFmtId="168" formatCode="_(* #,##0_);_(* \(#,##0\);_(* &quot;-&quot;??_);_(@_)"/>
    <numFmt numFmtId="169" formatCode="0.0000%"/>
    <numFmt numFmtId="170" formatCode="_(* #,##0.0000_);_(* \(#,##0.0000\);_(* &quot;-&quot;??_);_(@_)"/>
    <numFmt numFmtId="171" formatCode="0.0000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color theme="0" tint="-0.249977111117893"/>
      <name val="Arial"/>
      <family val="2"/>
    </font>
    <font>
      <b/>
      <sz val="10"/>
      <color theme="0" tint="-0.249977111117893"/>
      <name val="Arial"/>
      <family val="2"/>
    </font>
    <font>
      <b/>
      <sz val="10"/>
      <color theme="3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1">
    <xf numFmtId="0" fontId="0" fillId="0" borderId="0" xfId="0"/>
    <xf numFmtId="0" fontId="2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0" fillId="0" borderId="0" xfId="0" applyNumberFormat="1"/>
    <xf numFmtId="164" fontId="0" fillId="0" borderId="0" xfId="0" applyNumberFormat="1"/>
    <xf numFmtId="2" fontId="2" fillId="0" borderId="0" xfId="0" applyNumberFormat="1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quotePrefix="1"/>
    <xf numFmtId="0" fontId="0" fillId="0" borderId="0" xfId="0" applyAlignment="1">
      <alignment vertical="top"/>
    </xf>
    <xf numFmtId="0" fontId="2" fillId="0" borderId="0" xfId="0" applyFont="1" applyAlignment="1">
      <alignment horizontal="center" vertical="top"/>
    </xf>
    <xf numFmtId="2" fontId="2" fillId="0" borderId="0" xfId="0" applyNumberFormat="1" applyFont="1" applyAlignment="1">
      <alignment horizontal="center" vertical="top"/>
    </xf>
    <xf numFmtId="164" fontId="0" fillId="2" borderId="0" xfId="0" applyNumberFormat="1" applyFill="1" applyAlignment="1">
      <alignment vertical="top"/>
    </xf>
    <xf numFmtId="9" fontId="2" fillId="0" borderId="0" xfId="3" applyFont="1" applyFill="1" applyBorder="1" applyAlignment="1">
      <alignment horizontal="center" vertical="top"/>
    </xf>
    <xf numFmtId="6" fontId="2" fillId="0" borderId="0" xfId="0" quotePrefix="1" applyNumberFormat="1" applyFont="1" applyAlignment="1">
      <alignment horizontal="center" vertical="top" wrapText="1"/>
    </xf>
    <xf numFmtId="0" fontId="0" fillId="0" borderId="0" xfId="0" applyAlignment="1">
      <alignment wrapText="1"/>
    </xf>
    <xf numFmtId="0" fontId="5" fillId="0" borderId="0" xfId="0" applyFont="1"/>
    <xf numFmtId="0" fontId="0" fillId="0" borderId="3" xfId="0" applyBorder="1"/>
    <xf numFmtId="0" fontId="0" fillId="3" borderId="2" xfId="0" applyFill="1" applyBorder="1"/>
    <xf numFmtId="0" fontId="0" fillId="3" borderId="2" xfId="0" applyFill="1" applyBorder="1" applyAlignment="1">
      <alignment vertical="top"/>
    </xf>
    <xf numFmtId="0" fontId="0" fillId="3" borderId="3" xfId="0" applyFill="1" applyBorder="1"/>
    <xf numFmtId="0" fontId="0" fillId="3" borderId="1" xfId="0" applyFill="1" applyBorder="1"/>
    <xf numFmtId="9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7" fillId="0" borderId="0" xfId="0" applyFont="1" applyAlignment="1">
      <alignment horizontal="center" wrapText="1"/>
    </xf>
    <xf numFmtId="0" fontId="2" fillId="0" borderId="4" xfId="0" applyFont="1" applyBorder="1"/>
    <xf numFmtId="0" fontId="0" fillId="0" borderId="5" xfId="0" applyBorder="1"/>
    <xf numFmtId="0" fontId="2" fillId="0" borderId="7" xfId="0" applyFont="1" applyBorder="1"/>
    <xf numFmtId="2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 vertical="top"/>
    </xf>
    <xf numFmtId="2" fontId="2" fillId="0" borderId="5" xfId="0" applyNumberFormat="1" applyFont="1" applyBorder="1" applyAlignment="1">
      <alignment horizontal="center" vertical="top"/>
    </xf>
    <xf numFmtId="9" fontId="2" fillId="0" borderId="8" xfId="3" applyFont="1" applyFill="1" applyBorder="1" applyAlignment="1">
      <alignment horizontal="center" vertical="top"/>
    </xf>
    <xf numFmtId="2" fontId="2" fillId="0" borderId="8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6" fontId="2" fillId="0" borderId="2" xfId="0" quotePrefix="1" applyNumberFormat="1" applyFont="1" applyBorder="1" applyAlignment="1">
      <alignment horizontal="center" vertical="top" wrapText="1"/>
    </xf>
    <xf numFmtId="6" fontId="2" fillId="0" borderId="5" xfId="0" quotePrefix="1" applyNumberFormat="1" applyFont="1" applyBorder="1" applyAlignment="1">
      <alignment horizontal="center" vertical="top" wrapText="1"/>
    </xf>
    <xf numFmtId="164" fontId="0" fillId="2" borderId="8" xfId="0" applyNumberFormat="1" applyFill="1" applyBorder="1" applyAlignment="1">
      <alignment vertical="top"/>
    </xf>
    <xf numFmtId="0" fontId="0" fillId="0" borderId="0" xfId="0" applyAlignment="1">
      <alignment vertical="top" wrapText="1"/>
    </xf>
    <xf numFmtId="44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3" fontId="0" fillId="0" borderId="0" xfId="0" applyNumberFormat="1"/>
    <xf numFmtId="3" fontId="0" fillId="0" borderId="1" xfId="0" applyNumberFormat="1" applyBorder="1"/>
    <xf numFmtId="1" fontId="0" fillId="0" borderId="0" xfId="0" applyNumberFormat="1"/>
    <xf numFmtId="1" fontId="0" fillId="0" borderId="1" xfId="0" applyNumberFormat="1" applyBorder="1"/>
    <xf numFmtId="0" fontId="0" fillId="0" borderId="6" xfId="0" applyBorder="1"/>
    <xf numFmtId="167" fontId="0" fillId="0" borderId="0" xfId="2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7" fontId="0" fillId="0" borderId="0" xfId="2" applyNumberFormat="1" applyFont="1" applyAlignment="1">
      <alignment vertical="top"/>
    </xf>
    <xf numFmtId="166" fontId="0" fillId="0" borderId="0" xfId="0" applyNumberFormat="1"/>
    <xf numFmtId="166" fontId="0" fillId="0" borderId="1" xfId="0" applyNumberFormat="1" applyBorder="1"/>
    <xf numFmtId="9" fontId="0" fillId="0" borderId="0" xfId="3" applyFont="1" applyFill="1" applyBorder="1"/>
    <xf numFmtId="168" fontId="0" fillId="0" borderId="8" xfId="1" applyNumberFormat="1" applyFont="1" applyFill="1" applyBorder="1"/>
    <xf numFmtId="168" fontId="0" fillId="0" borderId="0" xfId="1" applyNumberFormat="1" applyFont="1" applyFill="1" applyBorder="1"/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168" fontId="0" fillId="0" borderId="7" xfId="1" applyNumberFormat="1" applyFont="1" applyFill="1" applyBorder="1"/>
    <xf numFmtId="168" fontId="2" fillId="0" borderId="10" xfId="1" applyNumberFormat="1" applyFont="1" applyBorder="1" applyAlignment="1">
      <alignment wrapText="1"/>
    </xf>
    <xf numFmtId="0" fontId="0" fillId="0" borderId="4" xfId="0" applyBorder="1"/>
    <xf numFmtId="9" fontId="0" fillId="0" borderId="1" xfId="0" applyNumberFormat="1" applyBorder="1"/>
    <xf numFmtId="164" fontId="0" fillId="5" borderId="0" xfId="0" applyNumberFormat="1" applyFill="1" applyAlignment="1">
      <alignment vertical="top"/>
    </xf>
    <xf numFmtId="168" fontId="0" fillId="0" borderId="0" xfId="1" applyNumberFormat="1" applyFont="1" applyFill="1" applyAlignment="1">
      <alignment vertical="top"/>
    </xf>
    <xf numFmtId="0" fontId="2" fillId="4" borderId="7" xfId="0" applyFont="1" applyFill="1" applyBorder="1"/>
    <xf numFmtId="0" fontId="2" fillId="4" borderId="3" xfId="0" applyFont="1" applyFill="1" applyBorder="1"/>
    <xf numFmtId="0" fontId="1" fillId="3" borderId="4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65" fontId="1" fillId="0" borderId="0" xfId="0" applyNumberFormat="1" applyFont="1"/>
    <xf numFmtId="0" fontId="1" fillId="0" borderId="0" xfId="0" applyFont="1"/>
    <xf numFmtId="168" fontId="1" fillId="4" borderId="3" xfId="1" applyNumberFormat="1" applyFont="1" applyFill="1" applyBorder="1"/>
    <xf numFmtId="9" fontId="1" fillId="4" borderId="1" xfId="3" applyFont="1" applyFill="1" applyBorder="1"/>
    <xf numFmtId="168" fontId="1" fillId="4" borderId="1" xfId="1" applyNumberFormat="1" applyFont="1" applyFill="1" applyBorder="1"/>
    <xf numFmtId="168" fontId="1" fillId="4" borderId="6" xfId="1" applyNumberFormat="1" applyFont="1" applyFill="1" applyBorder="1"/>
    <xf numFmtId="0" fontId="1" fillId="0" borderId="2" xfId="0" applyFont="1" applyBorder="1"/>
    <xf numFmtId="44" fontId="1" fillId="0" borderId="0" xfId="2" applyFont="1" applyFill="1" applyBorder="1" applyAlignment="1">
      <alignment vertical="top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2" xfId="0" applyFont="1" applyBorder="1" applyAlignment="1">
      <alignment wrapText="1"/>
    </xf>
    <xf numFmtId="0" fontId="2" fillId="0" borderId="12" xfId="0" applyFont="1" applyBorder="1"/>
    <xf numFmtId="2" fontId="0" fillId="0" borderId="16" xfId="0" applyNumberFormat="1" applyBorder="1"/>
    <xf numFmtId="165" fontId="0" fillId="0" borderId="16" xfId="0" applyNumberFormat="1" applyBorder="1"/>
    <xf numFmtId="0" fontId="2" fillId="0" borderId="15" xfId="0" applyFont="1" applyBorder="1"/>
    <xf numFmtId="164" fontId="1" fillId="0" borderId="16" xfId="0" applyNumberFormat="1" applyFont="1" applyBorder="1"/>
    <xf numFmtId="4" fontId="1" fillId="0" borderId="16" xfId="0" applyNumberFormat="1" applyFont="1" applyBorder="1"/>
    <xf numFmtId="9" fontId="0" fillId="0" borderId="0" xfId="0" applyNumberFormat="1"/>
    <xf numFmtId="0" fontId="7" fillId="0" borderId="16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9" fontId="1" fillId="6" borderId="1" xfId="3" applyFont="1" applyFill="1" applyBorder="1"/>
    <xf numFmtId="168" fontId="1" fillId="6" borderId="1" xfId="1" applyNumberFormat="1" applyFont="1" applyFill="1" applyBorder="1"/>
    <xf numFmtId="0" fontId="1" fillId="0" borderId="15" xfId="0" applyFont="1" applyBorder="1"/>
    <xf numFmtId="2" fontId="2" fillId="7" borderId="0" xfId="0" applyNumberFormat="1" applyFont="1" applyFill="1" applyAlignment="1">
      <alignment horizontal="center" vertical="top"/>
    </xf>
    <xf numFmtId="2" fontId="2" fillId="7" borderId="8" xfId="0" applyNumberFormat="1" applyFont="1" applyFill="1" applyBorder="1" applyAlignment="1">
      <alignment horizontal="center" vertical="top"/>
    </xf>
    <xf numFmtId="166" fontId="0" fillId="7" borderId="16" xfId="0" applyNumberFormat="1" applyFill="1" applyBorder="1"/>
    <xf numFmtId="9" fontId="0" fillId="7" borderId="16" xfId="0" applyNumberFormat="1" applyFill="1" applyBorder="1"/>
    <xf numFmtId="164" fontId="0" fillId="7" borderId="0" xfId="0" applyNumberFormat="1" applyFill="1"/>
    <xf numFmtId="0" fontId="2" fillId="8" borderId="15" xfId="0" applyFont="1" applyFill="1" applyBorder="1"/>
    <xf numFmtId="0" fontId="0" fillId="8" borderId="0" xfId="0" applyFill="1"/>
    <xf numFmtId="0" fontId="6" fillId="8" borderId="15" xfId="0" applyFont="1" applyFill="1" applyBorder="1"/>
    <xf numFmtId="0" fontId="5" fillId="8" borderId="0" xfId="0" applyFont="1" applyFill="1"/>
    <xf numFmtId="2" fontId="5" fillId="8" borderId="0" xfId="0" applyNumberFormat="1" applyFont="1" applyFill="1"/>
    <xf numFmtId="164" fontId="6" fillId="8" borderId="0" xfId="0" applyNumberFormat="1" applyFont="1" applyFill="1" applyAlignment="1">
      <alignment horizontal="center"/>
    </xf>
    <xf numFmtId="165" fontId="5" fillId="8" borderId="0" xfId="0" applyNumberFormat="1" applyFont="1" applyFill="1"/>
    <xf numFmtId="164" fontId="3" fillId="8" borderId="0" xfId="0" applyNumberFormat="1" applyFont="1" applyFill="1" applyAlignment="1">
      <alignment horizontal="center"/>
    </xf>
    <xf numFmtId="3" fontId="0" fillId="8" borderId="0" xfId="0" applyNumberFormat="1" applyFill="1"/>
    <xf numFmtId="166" fontId="0" fillId="7" borderId="0" xfId="0" applyNumberFormat="1" applyFill="1" applyBorder="1"/>
    <xf numFmtId="2" fontId="2" fillId="7" borderId="1" xfId="0" applyNumberFormat="1" applyFont="1" applyFill="1" applyBorder="1" applyAlignment="1">
      <alignment horizontal="center" vertical="top"/>
    </xf>
    <xf numFmtId="2" fontId="2" fillId="7" borderId="6" xfId="0" applyNumberFormat="1" applyFont="1" applyFill="1" applyBorder="1" applyAlignment="1">
      <alignment horizontal="center" vertical="top"/>
    </xf>
    <xf numFmtId="0" fontId="2" fillId="8" borderId="17" xfId="0" applyFont="1" applyFill="1" applyBorder="1"/>
    <xf numFmtId="164" fontId="3" fillId="8" borderId="18" xfId="0" applyNumberFormat="1" applyFont="1" applyFill="1" applyBorder="1" applyAlignment="1">
      <alignment horizontal="center"/>
    </xf>
    <xf numFmtId="3" fontId="1" fillId="8" borderId="18" xfId="0" applyNumberFormat="1" applyFont="1" applyFill="1" applyBorder="1"/>
    <xf numFmtId="0" fontId="0" fillId="9" borderId="0" xfId="0" applyFill="1"/>
    <xf numFmtId="168" fontId="2" fillId="9" borderId="2" xfId="1" applyNumberFormat="1" applyFont="1" applyFill="1" applyBorder="1" applyAlignment="1">
      <alignment horizontal="center"/>
    </xf>
    <xf numFmtId="168" fontId="2" fillId="6" borderId="0" xfId="1" applyNumberFormat="1" applyFont="1" applyFill="1" applyAlignment="1">
      <alignment horizontal="center" vertical="top"/>
    </xf>
    <xf numFmtId="168" fontId="2" fillId="6" borderId="8" xfId="1" applyNumberFormat="1" applyFont="1" applyFill="1" applyBorder="1" applyAlignment="1">
      <alignment horizontal="center" vertical="top"/>
    </xf>
    <xf numFmtId="170" fontId="0" fillId="0" borderId="0" xfId="0" applyNumberFormat="1"/>
    <xf numFmtId="168" fontId="0" fillId="9" borderId="0" xfId="1" applyNumberFormat="1" applyFont="1" applyFill="1"/>
    <xf numFmtId="166" fontId="0" fillId="9" borderId="0" xfId="0" applyNumberFormat="1" applyFill="1"/>
    <xf numFmtId="169" fontId="0" fillId="9" borderId="16" xfId="0" applyNumberFormat="1" applyFill="1" applyBorder="1"/>
    <xf numFmtId="10" fontId="1" fillId="9" borderId="1" xfId="3" applyNumberFormat="1" applyFont="1" applyFill="1" applyBorder="1"/>
    <xf numFmtId="168" fontId="1" fillId="9" borderId="3" xfId="1" applyNumberFormat="1" applyFont="1" applyFill="1" applyBorder="1"/>
    <xf numFmtId="0" fontId="0" fillId="0" borderId="14" xfId="0" applyFill="1" applyBorder="1"/>
    <xf numFmtId="1" fontId="2" fillId="0" borderId="0" xfId="0" applyNumberFormat="1" applyFont="1" applyAlignment="1">
      <alignment horizontal="center" vertical="top"/>
    </xf>
    <xf numFmtId="168" fontId="2" fillId="0" borderId="0" xfId="1" applyNumberFormat="1" applyFont="1" applyAlignment="1">
      <alignment horizontal="center" vertical="top"/>
    </xf>
    <xf numFmtId="1" fontId="2" fillId="0" borderId="0" xfId="0" applyNumberFormat="1" applyFont="1" applyAlignment="1">
      <alignment horizontal="center"/>
    </xf>
    <xf numFmtId="0" fontId="2" fillId="8" borderId="0" xfId="0" applyFont="1" applyFill="1" applyBorder="1"/>
    <xf numFmtId="164" fontId="3" fillId="8" borderId="0" xfId="0" applyNumberFormat="1" applyFont="1" applyFill="1" applyBorder="1" applyAlignment="1">
      <alignment horizontal="center"/>
    </xf>
    <xf numFmtId="3" fontId="1" fillId="8" borderId="0" xfId="0" applyNumberFormat="1" applyFont="1" applyFill="1" applyBorder="1"/>
    <xf numFmtId="0" fontId="7" fillId="0" borderId="0" xfId="0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171" fontId="2" fillId="0" borderId="0" xfId="0" applyNumberFormat="1" applyFont="1" applyAlignment="1">
      <alignment horizontal="center" vertical="top"/>
    </xf>
    <xf numFmtId="1" fontId="0" fillId="0" borderId="0" xfId="0" applyNumberFormat="1" applyAlignment="1">
      <alignment vertical="top"/>
    </xf>
    <xf numFmtId="168" fontId="0" fillId="0" borderId="0" xfId="1" applyNumberFormat="1" applyFont="1" applyAlignment="1">
      <alignment vertical="top"/>
    </xf>
    <xf numFmtId="168" fontId="1" fillId="9" borderId="1" xfId="1" applyNumberFormat="1" applyFont="1" applyFill="1" applyBorder="1"/>
    <xf numFmtId="0" fontId="0" fillId="0" borderId="0" xfId="0" applyFont="1" applyAlignment="1">
      <alignment vertical="top"/>
    </xf>
    <xf numFmtId="164" fontId="0" fillId="9" borderId="0" xfId="0" applyNumberFormat="1" applyFill="1" applyAlignment="1">
      <alignment vertical="top"/>
    </xf>
    <xf numFmtId="0" fontId="8" fillId="0" borderId="0" xfId="0" applyFont="1"/>
    <xf numFmtId="0" fontId="1" fillId="9" borderId="0" xfId="0" applyFont="1" applyFill="1"/>
    <xf numFmtId="0" fontId="1" fillId="0" borderId="0" xfId="0" quotePrefix="1" applyFont="1" applyAlignment="1">
      <alignment vertical="top"/>
    </xf>
    <xf numFmtId="164" fontId="1" fillId="9" borderId="0" xfId="0" quotePrefix="1" applyNumberFormat="1" applyFont="1" applyFill="1" applyAlignment="1">
      <alignment vertical="top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 shortage losses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total losses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'CPED Calc_trial'!$P$19:$P$38</c:f>
              <c:numCache>
                <c:formatCode>0</c:formatCode>
                <c:ptCount val="20"/>
                <c:pt idx="0">
                  <c:v>0</c:v>
                </c:pt>
                <c:pt idx="1">
                  <c:v>69241.133704706794</c:v>
                </c:pt>
                <c:pt idx="2">
                  <c:v>138482.26740941359</c:v>
                </c:pt>
                <c:pt idx="3">
                  <c:v>207723.40111412061</c:v>
                </c:pt>
                <c:pt idx="4">
                  <c:v>276964.53481882741</c:v>
                </c:pt>
                <c:pt idx="5">
                  <c:v>346205.6685235342</c:v>
                </c:pt>
                <c:pt idx="6">
                  <c:v>415446.80222824099</c:v>
                </c:pt>
                <c:pt idx="7">
                  <c:v>484687.9359329479</c:v>
                </c:pt>
                <c:pt idx="8">
                  <c:v>553929.0696376547</c:v>
                </c:pt>
                <c:pt idx="9">
                  <c:v>623170.20334236161</c:v>
                </c:pt>
                <c:pt idx="10">
                  <c:v>692411.3370470684</c:v>
                </c:pt>
                <c:pt idx="11">
                  <c:v>761652.4707517752</c:v>
                </c:pt>
                <c:pt idx="12">
                  <c:v>830893.60445648211</c:v>
                </c:pt>
                <c:pt idx="13">
                  <c:v>900134.73816118902</c:v>
                </c:pt>
                <c:pt idx="14">
                  <c:v>969375.87186589593</c:v>
                </c:pt>
                <c:pt idx="15">
                  <c:v>1038617.0055706028</c:v>
                </c:pt>
                <c:pt idx="16">
                  <c:v>1107858.1392753099</c:v>
                </c:pt>
                <c:pt idx="17">
                  <c:v>1177099.2729800167</c:v>
                </c:pt>
                <c:pt idx="18">
                  <c:v>1246340.4066847237</c:v>
                </c:pt>
                <c:pt idx="19">
                  <c:v>1384822.674094137</c:v>
                </c:pt>
              </c:numCache>
            </c:numRef>
          </c:cat>
          <c:val>
            <c:numRef>
              <c:f>'CPED Calc_trial'!$AZ$19:$AZ$38</c:f>
              <c:numCache>
                <c:formatCode>"$"#,##0</c:formatCode>
                <c:ptCount val="20"/>
                <c:pt idx="0">
                  <c:v>0</c:v>
                </c:pt>
                <c:pt idx="1">
                  <c:v>49093255.90639361</c:v>
                </c:pt>
                <c:pt idx="2">
                  <c:v>107631295.13148138</c:v>
                </c:pt>
                <c:pt idx="3">
                  <c:v>177932013.87378252</c:v>
                </c:pt>
                <c:pt idx="4">
                  <c:v>263015692.3218281</c:v>
                </c:pt>
                <c:pt idx="5">
                  <c:v>366864576.15928131</c:v>
                </c:pt>
                <c:pt idx="6">
                  <c:v>494799380.81218284</c:v>
                </c:pt>
                <c:pt idx="7">
                  <c:v>654037456.44914699</c:v>
                </c:pt>
                <c:pt idx="8">
                  <c:v>854542183.67366457</c:v>
                </c:pt>
                <c:pt idx="9">
                  <c:v>1110357812.5710204</c:v>
                </c:pt>
                <c:pt idx="10">
                  <c:v>1441795006.7728148</c:v>
                </c:pt>
                <c:pt idx="11">
                  <c:v>1879209902.717243</c:v>
                </c:pt>
                <c:pt idx="12">
                  <c:v>2470055542.8855529</c:v>
                </c:pt>
                <c:pt idx="13">
                  <c:v>3142351944.6778345</c:v>
                </c:pt>
                <c:pt idx="14">
                  <c:v>4006912219.3332076</c:v>
                </c:pt>
                <c:pt idx="15">
                  <c:v>5219187012.7544308</c:v>
                </c:pt>
                <c:pt idx="16">
                  <c:v>6964264251.6456213</c:v>
                </c:pt>
                <c:pt idx="17">
                  <c:v>9555822354.2752323</c:v>
                </c:pt>
                <c:pt idx="18">
                  <c:v>13551414996.367506</c:v>
                </c:pt>
                <c:pt idx="19">
                  <c:v>26416028944.919064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2-4774-9E9D-28BE1FB66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732072"/>
        <c:axId val="1"/>
      </c:barChart>
      <c:catAx>
        <c:axId val="6577320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57732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675217</xdr:colOff>
      <xdr:row>0</xdr:row>
      <xdr:rowOff>0</xdr:rowOff>
    </xdr:from>
    <xdr:to>
      <xdr:col>29</xdr:col>
      <xdr:colOff>994834</xdr:colOff>
      <xdr:row>14</xdr:row>
      <xdr:rowOff>296333</xdr:rowOff>
    </xdr:to>
    <xdr:graphicFrame macro="">
      <xdr:nvGraphicFramePr>
        <xdr:cNvPr id="24105" name="Chart 4">
          <a:extLst>
            <a:ext uri="{FF2B5EF4-FFF2-40B4-BE49-F238E27FC236}">
              <a16:creationId xmlns:a16="http://schemas.microsoft.com/office/drawing/2014/main" id="{42ACBAA4-FF6B-49BB-AD8B-1242B92D2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ly, Kensey" id="{79623E20-E023-4718-B645-967085162D08}" userId="S::Kensey.Daly@jacobs.com::2c05a9c7-ae45-4b4b-8861-dac25a878de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2" dT="2023-07-06T20:07:17.72" personId="{79623E20-E023-4718-B645-967085162D08}" id="{03C90890-4810-43B6-8CF5-E504F9C79B2D}">
    <text>Uses normal year demand (1 MAF) but the test's timestep corresponds to the dry year demand of 1.5 MAF, input to cell O6</text>
  </threadedComment>
  <threadedComment ref="R38" dT="2023-07-28T00:02:52.82" personId="{79623E20-E023-4718-B645-967085162D08}" id="{A85D0A2C-5470-4799-AC19-014C2FAB88B6}">
    <text>This row calculates values if the shortage is within the loss boundaries</text>
  </threadedComment>
  <threadedComment ref="R39" dT="2023-07-28T00:03:19.01" personId="{79623E20-E023-4718-B645-967085162D08}" id="{B7D09D5A-B054-412B-847E-F2F3C8745C48}">
    <text>This row calculates values if the shortage is above the upper loss boundaries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A68"/>
  <sheetViews>
    <sheetView tabSelected="1" topLeftCell="B10" zoomScale="90" zoomScaleNormal="90" workbookViewId="0">
      <selection activeCell="Y40" sqref="Y40"/>
    </sheetView>
  </sheetViews>
  <sheetFormatPr defaultRowHeight="13.2" x14ac:dyDescent="0.25"/>
  <cols>
    <col min="1" max="1" width="75.5546875" customWidth="1"/>
    <col min="2" max="2" width="30.88671875" bestFit="1" customWidth="1"/>
    <col min="3" max="3" width="13.88671875" customWidth="1"/>
    <col min="4" max="4" width="14.5546875" bestFit="1" customWidth="1"/>
    <col min="6" max="6" width="21.88671875" customWidth="1"/>
    <col min="7" max="7" width="10.6640625" customWidth="1"/>
    <col min="8" max="8" width="13.33203125" bestFit="1" customWidth="1"/>
    <col min="9" max="10" width="10.6640625" customWidth="1"/>
    <col min="12" max="12" width="11" bestFit="1" customWidth="1"/>
    <col min="13" max="13" width="11" customWidth="1"/>
    <col min="14" max="14" width="15.5546875" customWidth="1"/>
    <col min="15" max="15" width="11.5546875" customWidth="1"/>
    <col min="16" max="16" width="12.109375" customWidth="1"/>
    <col min="17" max="17" width="18.6640625" style="11" customWidth="1"/>
    <col min="18" max="18" width="30" style="11" bestFit="1" customWidth="1"/>
    <col min="19" max="19" width="16.44140625" style="11" customWidth="1"/>
    <col min="20" max="24" width="14.109375" style="11" customWidth="1"/>
    <col min="25" max="25" width="20" bestFit="1" customWidth="1"/>
    <col min="26" max="26" width="15.6640625" customWidth="1"/>
    <col min="27" max="27" width="13.109375" customWidth="1"/>
    <col min="28" max="28" width="11.5546875" customWidth="1"/>
    <col min="29" max="29" width="18.5546875" customWidth="1"/>
    <col min="30" max="30" width="17.88671875" customWidth="1"/>
    <col min="31" max="31" width="17.5546875" customWidth="1"/>
    <col min="32" max="32" width="19" customWidth="1"/>
    <col min="33" max="33" width="14.6640625" customWidth="1"/>
    <col min="35" max="35" width="12" bestFit="1" customWidth="1"/>
    <col min="41" max="41" width="12" bestFit="1" customWidth="1"/>
    <col min="47" max="47" width="13.109375" bestFit="1" customWidth="1"/>
    <col min="49" max="49" width="20" bestFit="1" customWidth="1"/>
    <col min="52" max="52" width="14.88671875" bestFit="1" customWidth="1"/>
  </cols>
  <sheetData>
    <row r="1" spans="1:33" x14ac:dyDescent="0.25">
      <c r="A1" s="147" t="s">
        <v>77</v>
      </c>
      <c r="F1" s="1" t="s">
        <v>0</v>
      </c>
      <c r="O1" s="68" t="s">
        <v>1</v>
      </c>
      <c r="P1" s="20"/>
      <c r="Q1" s="69" t="s">
        <v>2</v>
      </c>
      <c r="R1" s="21"/>
      <c r="S1" s="21">
        <v>0.1</v>
      </c>
      <c r="T1" s="21">
        <v>0.1</v>
      </c>
      <c r="U1" s="70" t="s">
        <v>3</v>
      </c>
      <c r="Y1" s="11"/>
      <c r="Z1" s="11"/>
      <c r="AA1" s="11"/>
      <c r="AB1" s="11"/>
      <c r="AC1" s="11"/>
      <c r="AD1" s="11"/>
      <c r="AG1" s="1"/>
    </row>
    <row r="2" spans="1:33" x14ac:dyDescent="0.25">
      <c r="A2" s="148" t="s">
        <v>78</v>
      </c>
      <c r="F2" s="1"/>
      <c r="O2" s="22"/>
      <c r="P2" s="23"/>
      <c r="Q2" s="24">
        <v>0.3</v>
      </c>
      <c r="R2" s="25"/>
      <c r="S2" s="24">
        <v>0.2</v>
      </c>
      <c r="T2" s="24">
        <v>0.2</v>
      </c>
      <c r="U2" s="71" t="s">
        <v>4</v>
      </c>
      <c r="V2" s="72" t="s">
        <v>5</v>
      </c>
      <c r="W2" s="72"/>
      <c r="X2" s="72"/>
      <c r="Y2" s="11"/>
      <c r="Z2" s="11"/>
      <c r="AA2" s="11"/>
      <c r="AB2" s="11"/>
      <c r="AC2" s="11"/>
      <c r="AD2" s="11"/>
    </row>
    <row r="3" spans="1:33" x14ac:dyDescent="0.25">
      <c r="F3" s="1"/>
      <c r="Y3" s="11"/>
      <c r="Z3" s="11"/>
      <c r="AA3" s="11"/>
      <c r="AB3" s="11"/>
      <c r="AC3" s="11"/>
      <c r="AD3" s="11"/>
    </row>
    <row r="4" spans="1:33" x14ac:dyDescent="0.25">
      <c r="F4" s="1"/>
      <c r="Y4" s="11"/>
      <c r="Z4" s="11"/>
      <c r="AA4" s="11"/>
      <c r="AB4" s="11"/>
      <c r="AC4" s="11"/>
      <c r="AD4" s="11"/>
    </row>
    <row r="5" spans="1:33" x14ac:dyDescent="0.25">
      <c r="A5" t="s">
        <v>6</v>
      </c>
      <c r="F5" s="1" t="s">
        <v>7</v>
      </c>
      <c r="N5" s="1" t="s">
        <v>8</v>
      </c>
      <c r="O5" s="3"/>
      <c r="P5" s="3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3" x14ac:dyDescent="0.25">
      <c r="A6" s="81"/>
      <c r="B6" s="82"/>
      <c r="C6" s="82"/>
      <c r="D6" s="132"/>
      <c r="F6" s="90"/>
      <c r="G6" s="82"/>
      <c r="H6" s="82"/>
      <c r="I6" s="83"/>
      <c r="J6" s="73"/>
      <c r="N6" s="27" t="s">
        <v>9</v>
      </c>
      <c r="O6" s="123">
        <v>1500000</v>
      </c>
      <c r="P6" s="30"/>
      <c r="Q6" s="30" t="s">
        <v>10</v>
      </c>
      <c r="R6" s="31" t="s">
        <v>11</v>
      </c>
      <c r="S6" s="31" t="s">
        <v>12</v>
      </c>
      <c r="T6" s="31" t="s">
        <v>13</v>
      </c>
      <c r="U6" s="32" t="s">
        <v>14</v>
      </c>
      <c r="V6" s="16"/>
      <c r="W6" s="16"/>
      <c r="X6" s="16"/>
      <c r="Y6" s="13"/>
      <c r="Z6" s="13"/>
      <c r="AA6" s="13"/>
      <c r="AB6" s="13"/>
      <c r="AC6" s="13"/>
      <c r="AD6" s="13"/>
      <c r="AE6" s="2"/>
    </row>
    <row r="7" spans="1:33" x14ac:dyDescent="0.25">
      <c r="A7" s="84" t="s">
        <v>6</v>
      </c>
      <c r="C7" t="s">
        <v>15</v>
      </c>
      <c r="D7" s="129">
        <f>1+(((1+base_conservation)*(1+incremental_conservation)-1)*hardening_factor)</f>
        <v>1.0000050000111111</v>
      </c>
      <c r="F7" s="109" t="s">
        <v>16</v>
      </c>
      <c r="G7" s="110"/>
      <c r="H7" s="111">
        <f>use_3/(p1_base^elasticity_1)</f>
        <v>300742.82203264243</v>
      </c>
      <c r="I7" s="91"/>
      <c r="J7" s="5"/>
      <c r="N7" s="29" t="s">
        <v>68</v>
      </c>
      <c r="O7" s="135">
        <f>base_use_total-15</f>
        <v>1499985</v>
      </c>
      <c r="P7" s="26"/>
      <c r="Q7" s="15"/>
      <c r="R7" s="15"/>
      <c r="S7" s="15"/>
      <c r="T7" s="15"/>
      <c r="U7" s="33"/>
      <c r="Y7" s="15"/>
      <c r="Z7" s="15"/>
      <c r="AA7" s="15"/>
      <c r="AB7" s="15"/>
      <c r="AC7" s="15"/>
      <c r="AD7" s="15"/>
      <c r="AE7" s="2"/>
    </row>
    <row r="8" spans="1:33" x14ac:dyDescent="0.25">
      <c r="A8" s="101" t="s">
        <v>67</v>
      </c>
      <c r="C8" t="s">
        <v>17</v>
      </c>
      <c r="D8" s="129">
        <f>5/base_use_total</f>
        <v>3.3333333333333333E-6</v>
      </c>
      <c r="F8" s="109" t="s">
        <v>18</v>
      </c>
      <c r="G8" s="112" t="s">
        <v>19</v>
      </c>
      <c r="H8" s="113">
        <v>-0.17</v>
      </c>
      <c r="I8" s="92"/>
      <c r="J8" s="5"/>
      <c r="N8" s="66" t="s">
        <v>20</v>
      </c>
      <c r="O8" s="7"/>
      <c r="P8" s="26" t="s">
        <v>17</v>
      </c>
      <c r="Q8" s="102">
        <v>1</v>
      </c>
      <c r="R8" s="102">
        <v>0.6</v>
      </c>
      <c r="S8" s="102">
        <v>0.25</v>
      </c>
      <c r="T8" s="102">
        <v>0.55000000000000004</v>
      </c>
      <c r="U8" s="103">
        <v>1.6</v>
      </c>
      <c r="V8" s="13"/>
      <c r="W8" s="13"/>
      <c r="X8" s="13"/>
      <c r="Y8" s="13"/>
      <c r="Z8" s="13"/>
      <c r="AA8" s="13"/>
      <c r="AB8" s="13"/>
      <c r="AC8" s="13"/>
      <c r="AD8" s="13"/>
      <c r="AE8" s="2"/>
    </row>
    <row r="9" spans="1:33" x14ac:dyDescent="0.25">
      <c r="A9" s="101" t="s">
        <v>65</v>
      </c>
      <c r="C9" t="s">
        <v>19</v>
      </c>
      <c r="D9" s="105">
        <v>0.5</v>
      </c>
      <c r="F9" s="93" t="s">
        <v>66</v>
      </c>
      <c r="G9" s="4" t="s">
        <v>19</v>
      </c>
      <c r="H9" s="106">
        <v>650</v>
      </c>
      <c r="I9" s="94" t="s">
        <v>21</v>
      </c>
      <c r="J9" s="5"/>
      <c r="N9" s="66" t="s">
        <v>18</v>
      </c>
      <c r="O9" s="7"/>
      <c r="P9" s="26" t="s">
        <v>17</v>
      </c>
      <c r="Q9" s="102">
        <v>-0.2</v>
      </c>
      <c r="R9" s="102">
        <v>-0.12</v>
      </c>
      <c r="S9" s="102">
        <v>-0.1</v>
      </c>
      <c r="T9" s="102">
        <v>-0.11</v>
      </c>
      <c r="U9" s="103">
        <v>-0.4</v>
      </c>
      <c r="V9" s="13"/>
      <c r="W9" s="13"/>
      <c r="X9" s="13"/>
      <c r="Y9" s="13"/>
      <c r="Z9" s="13"/>
      <c r="AA9" s="13"/>
      <c r="AB9" s="13"/>
      <c r="AC9" s="13"/>
      <c r="AD9" s="13"/>
      <c r="AE9" s="2"/>
    </row>
    <row r="10" spans="1:33" ht="26.4" x14ac:dyDescent="0.25">
      <c r="A10" s="101" t="s">
        <v>64</v>
      </c>
      <c r="C10" t="s">
        <v>22</v>
      </c>
      <c r="D10" s="104">
        <f>10/base_use_total</f>
        <v>6.6666666666666666E-6</v>
      </c>
      <c r="F10" s="107" t="s">
        <v>23</v>
      </c>
      <c r="G10" s="114" t="s">
        <v>19</v>
      </c>
      <c r="H10" s="115">
        <v>100000</v>
      </c>
      <c r="I10" s="95" t="s">
        <v>24</v>
      </c>
      <c r="J10" s="5"/>
      <c r="N10" s="29" t="s">
        <v>25</v>
      </c>
      <c r="O10" s="7"/>
      <c r="P10" s="26" t="s">
        <v>22</v>
      </c>
      <c r="Q10" s="13">
        <f>Q11/(p1_base^elasticity_sf)</f>
        <v>4108949.9456299157</v>
      </c>
      <c r="R10" s="133">
        <f>base_use_mf/(p1_base^elasticity_mf)</f>
        <v>1223679.7878046185</v>
      </c>
      <c r="S10" s="13">
        <f>base_use_ind/(p1_base^elasticity_ind)</f>
        <v>430001.04479625466</v>
      </c>
      <c r="T10" s="13">
        <f>base_use_comm/(p1_base^elasticity_comm)</f>
        <v>229386.91925479213</v>
      </c>
      <c r="U10" s="34">
        <f>base_use_lndscp/(p1_base^elasticity_lndscp)</f>
        <v>3001535.7319248011</v>
      </c>
      <c r="V10" s="134">
        <f>size_sf*base_use_total</f>
        <v>1125000</v>
      </c>
      <c r="W10" s="134"/>
      <c r="X10" s="134"/>
      <c r="Y10" s="13"/>
      <c r="Z10" s="13"/>
      <c r="AA10" s="13"/>
      <c r="AB10" s="13"/>
      <c r="AC10" s="13"/>
      <c r="AD10" s="13"/>
      <c r="AE10" s="2"/>
    </row>
    <row r="11" spans="1:33" ht="39.6" x14ac:dyDescent="0.25">
      <c r="A11" s="84"/>
      <c r="D11" s="85"/>
      <c r="F11" s="107" t="s">
        <v>26</v>
      </c>
      <c r="G11" s="108"/>
      <c r="H11" s="108">
        <v>15000</v>
      </c>
      <c r="I11" s="85"/>
      <c r="J11" s="5" t="s">
        <v>27</v>
      </c>
      <c r="N11" s="140" t="s">
        <v>70</v>
      </c>
      <c r="O11" s="7"/>
      <c r="P11" s="26" t="s">
        <v>22</v>
      </c>
      <c r="Q11" s="124">
        <f>(size_sf*O7)</f>
        <v>1124988.75</v>
      </c>
      <c r="R11" s="124">
        <f>(size_mf*O7)</f>
        <v>562494.375</v>
      </c>
      <c r="S11" s="124">
        <f>(size_ind*O7)</f>
        <v>224997.75</v>
      </c>
      <c r="T11" s="124">
        <f>(size_com*O7)</f>
        <v>112498.875</v>
      </c>
      <c r="U11" s="125">
        <f>(size_lndscp*O7)</f>
        <v>224997.75</v>
      </c>
      <c r="V11" s="134">
        <f>size_sf*O7</f>
        <v>1124988.75</v>
      </c>
      <c r="W11" s="134"/>
      <c r="X11" s="134"/>
      <c r="Y11" s="13"/>
      <c r="Z11" s="13"/>
      <c r="AA11" s="13"/>
      <c r="AB11" s="13"/>
      <c r="AC11" s="13"/>
      <c r="AD11" s="13"/>
      <c r="AE11" s="2"/>
    </row>
    <row r="12" spans="1:33" x14ac:dyDescent="0.25">
      <c r="A12" s="84"/>
      <c r="D12" s="85"/>
      <c r="F12" s="93" t="s">
        <v>29</v>
      </c>
      <c r="H12" s="104">
        <f>1384815.75/1500000</f>
        <v>0.92321050000000004</v>
      </c>
      <c r="I12" s="85"/>
      <c r="J12" s="122">
        <f>Total_actual_shortage*base_use_total</f>
        <v>1384815.75</v>
      </c>
      <c r="N12" s="29" t="s">
        <v>28</v>
      </c>
      <c r="O12" s="7"/>
      <c r="P12" s="26" t="s">
        <v>17</v>
      </c>
      <c r="Q12" s="116">
        <f>Q13/1000000</f>
        <v>0.75</v>
      </c>
      <c r="R12" s="116">
        <f t="shared" ref="R12:U12" si="0">R13/1000000</f>
        <v>0.375</v>
      </c>
      <c r="S12" s="116">
        <f t="shared" si="0"/>
        <v>0.15</v>
      </c>
      <c r="T12" s="116">
        <f t="shared" si="0"/>
        <v>7.4999999999999997E-2</v>
      </c>
      <c r="U12" s="116">
        <f t="shared" si="0"/>
        <v>0.15</v>
      </c>
      <c r="V12" s="141">
        <f>V11/coeff_sf</f>
        <v>0.27378984044244314</v>
      </c>
      <c r="W12" s="141"/>
      <c r="X12" s="141"/>
      <c r="Y12" s="13"/>
      <c r="Z12" s="13"/>
      <c r="AA12" s="13"/>
      <c r="AB12" s="13"/>
      <c r="AC12" s="13"/>
      <c r="AD12" s="13"/>
      <c r="AE12" s="2"/>
    </row>
    <row r="13" spans="1:33" ht="39.6" x14ac:dyDescent="0.25">
      <c r="A13" s="86"/>
      <c r="B13" s="87"/>
      <c r="C13" s="87"/>
      <c r="D13" s="88"/>
      <c r="F13" s="93" t="s">
        <v>30</v>
      </c>
      <c r="G13" s="4"/>
      <c r="H13" s="128">
        <f>H12*D7</f>
        <v>0.92321511606275797</v>
      </c>
      <c r="I13" s="97" t="s">
        <v>17</v>
      </c>
      <c r="J13">
        <f>Total_adjusted_shortage*base_use_total</f>
        <v>1384822.674094137</v>
      </c>
      <c r="K13" s="74"/>
      <c r="L13" s="74"/>
      <c r="M13" s="74"/>
      <c r="N13" s="140" t="s">
        <v>69</v>
      </c>
      <c r="Q13" s="11">
        <v>750000</v>
      </c>
      <c r="R13" s="11">
        <v>375000</v>
      </c>
      <c r="S13" s="11">
        <v>150000</v>
      </c>
      <c r="T13" s="11">
        <v>75000</v>
      </c>
      <c r="U13" s="11">
        <v>150000</v>
      </c>
      <c r="Y13" s="13"/>
      <c r="Z13" s="13"/>
      <c r="AA13" s="13"/>
      <c r="AB13" s="13"/>
      <c r="AC13" s="13"/>
      <c r="AD13" s="13"/>
      <c r="AE13" s="2"/>
    </row>
    <row r="14" spans="1:33" x14ac:dyDescent="0.25">
      <c r="F14" s="93" t="s">
        <v>32</v>
      </c>
      <c r="H14" s="127">
        <f>Total_adjusted_shortage*base_use_total</f>
        <v>1384822.674094137</v>
      </c>
      <c r="I14" s="85"/>
      <c r="J14" s="5"/>
      <c r="K14" s="74"/>
      <c r="L14" s="74"/>
      <c r="M14" s="74"/>
      <c r="N14" s="66" t="s">
        <v>31</v>
      </c>
      <c r="O14" s="7"/>
      <c r="P14" s="7"/>
      <c r="Q14" s="102">
        <v>0</v>
      </c>
      <c r="R14" s="102">
        <v>0</v>
      </c>
      <c r="S14" s="102">
        <v>0</v>
      </c>
      <c r="T14" s="102">
        <v>0</v>
      </c>
      <c r="U14" s="102">
        <v>0</v>
      </c>
      <c r="AB14" s="13"/>
      <c r="AC14" s="13"/>
      <c r="AD14" s="13"/>
      <c r="AE14" s="2"/>
    </row>
    <row r="15" spans="1:33" ht="26.4" x14ac:dyDescent="0.25">
      <c r="D15" s="126"/>
      <c r="F15" s="119" t="s">
        <v>34</v>
      </c>
      <c r="G15" s="120"/>
      <c r="H15" s="121">
        <v>20</v>
      </c>
      <c r="I15" s="98" t="s">
        <v>17</v>
      </c>
      <c r="J15" s="5"/>
      <c r="K15" s="74"/>
      <c r="L15" s="74"/>
      <c r="M15" s="74"/>
      <c r="N15" s="67" t="s">
        <v>33</v>
      </c>
      <c r="O15" s="35"/>
      <c r="P15" s="35"/>
      <c r="Q15" s="117">
        <v>0.7</v>
      </c>
      <c r="R15" s="117">
        <v>0.7</v>
      </c>
      <c r="S15" s="117">
        <v>0.7</v>
      </c>
      <c r="T15" s="117">
        <v>0.7</v>
      </c>
      <c r="U15" s="118">
        <v>0.7</v>
      </c>
      <c r="V15" s="13"/>
      <c r="W15" s="13"/>
      <c r="X15" s="13"/>
      <c r="Y15" s="13"/>
      <c r="Z15" s="13"/>
      <c r="AA15" s="13"/>
      <c r="AB15" s="13"/>
      <c r="AC15" s="13" t="s">
        <v>35</v>
      </c>
      <c r="AD15" s="13"/>
      <c r="AE15" s="2"/>
    </row>
    <row r="16" spans="1:33" x14ac:dyDescent="0.25">
      <c r="D16" s="126"/>
      <c r="F16" s="136"/>
      <c r="G16" s="137"/>
      <c r="H16" s="138"/>
      <c r="I16" s="139"/>
      <c r="J16" s="5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13"/>
      <c r="W16" s="13"/>
      <c r="X16" s="13"/>
      <c r="Y16" s="13"/>
      <c r="Z16" s="13"/>
      <c r="AA16" s="13"/>
      <c r="AB16" s="13"/>
      <c r="AC16" s="13"/>
      <c r="AD16" s="13"/>
      <c r="AE16" s="2"/>
    </row>
    <row r="17" spans="1:53" x14ac:dyDescent="0.25">
      <c r="A17">
        <v>0.51553974435822825</v>
      </c>
      <c r="B17" s="1" t="s">
        <v>36</v>
      </c>
      <c r="F17" s="1"/>
      <c r="G17" s="4"/>
      <c r="H17" s="5"/>
      <c r="I17" s="5"/>
      <c r="J17" s="5"/>
      <c r="K17" s="74"/>
      <c r="L17" s="74"/>
      <c r="M17" s="74"/>
      <c r="N17" s="1" t="s">
        <v>37</v>
      </c>
      <c r="O17" s="7"/>
      <c r="P17" s="7"/>
      <c r="Q17" s="13"/>
      <c r="R17" s="13"/>
      <c r="S17" s="13"/>
      <c r="T17" s="13"/>
      <c r="U17" s="13"/>
      <c r="V17" s="13"/>
      <c r="W17" s="13"/>
      <c r="X17" s="13"/>
      <c r="Z17" s="13"/>
      <c r="AA17" s="13"/>
      <c r="AB17" s="13"/>
      <c r="AC17" s="13"/>
      <c r="AD17" s="13"/>
      <c r="AE17" s="2"/>
    </row>
    <row r="18" spans="1:53" ht="66" x14ac:dyDescent="0.25">
      <c r="B18" s="56" t="s">
        <v>38</v>
      </c>
      <c r="C18" s="57" t="s">
        <v>39</v>
      </c>
      <c r="D18" s="58" t="s">
        <v>40</v>
      </c>
      <c r="E18" s="57" t="s">
        <v>41</v>
      </c>
      <c r="F18" s="58" t="s">
        <v>42</v>
      </c>
      <c r="G18" s="57" t="s">
        <v>43</v>
      </c>
      <c r="H18" s="58" t="s">
        <v>44</v>
      </c>
      <c r="I18" s="57" t="s">
        <v>45</v>
      </c>
      <c r="J18" s="61" t="s">
        <v>46</v>
      </c>
      <c r="K18" s="57" t="s">
        <v>47</v>
      </c>
      <c r="L18" s="59" t="s">
        <v>48</v>
      </c>
      <c r="M18" s="89"/>
      <c r="N18" s="36" t="s">
        <v>49</v>
      </c>
      <c r="O18" s="36" t="s">
        <v>50</v>
      </c>
      <c r="P18" s="36" t="s">
        <v>51</v>
      </c>
      <c r="Y18" s="37" t="s">
        <v>52</v>
      </c>
      <c r="AF18" s="37" t="s">
        <v>53</v>
      </c>
      <c r="AL18" s="37" t="s">
        <v>54</v>
      </c>
      <c r="AR18" s="37" t="s">
        <v>55</v>
      </c>
      <c r="AX18" s="38" t="s">
        <v>56</v>
      </c>
      <c r="AY18" s="72" t="s">
        <v>57</v>
      </c>
      <c r="AZ18" s="16" t="s">
        <v>58</v>
      </c>
      <c r="BA18" s="16" t="s">
        <v>59</v>
      </c>
    </row>
    <row r="19" spans="1:53" x14ac:dyDescent="0.25">
      <c r="B19" s="55">
        <f t="shared" ref="B19:B37" si="1">C19*base_use_sf</f>
        <v>0</v>
      </c>
      <c r="C19" s="53">
        <f t="shared" ref="C19:C37" si="2">N19/(size_sf+cutratio_mf*size_mf+cutratio_ind*size_ind+cutratio_com*size_com+cutratio_lndscp*size_lndscp)</f>
        <v>0</v>
      </c>
      <c r="D19" s="55">
        <f t="shared" ref="D19:D37" si="3">E19*base_use_mf</f>
        <v>0</v>
      </c>
      <c r="E19" s="53">
        <f t="shared" ref="E19:E37" si="4">C19*cutratio_mf</f>
        <v>0</v>
      </c>
      <c r="F19" s="55">
        <f t="shared" ref="F19:F37" si="5">G19*base_use_ind</f>
        <v>0</v>
      </c>
      <c r="G19" s="53">
        <f t="shared" ref="G19:G37" si="6">C19*cutratio_ind</f>
        <v>0</v>
      </c>
      <c r="H19" s="55">
        <f t="shared" ref="H19:H37" si="7">I19*base_use_comm</f>
        <v>0</v>
      </c>
      <c r="I19" s="53">
        <f t="shared" ref="I19:I37" si="8">C19*cutratio_com</f>
        <v>0</v>
      </c>
      <c r="J19" s="55">
        <f t="shared" ref="J19:J37" si="9">K19*base_use_lndscp</f>
        <v>0</v>
      </c>
      <c r="K19" s="53">
        <f t="shared" ref="K19:K37" si="10">C19*cutratio_lndscp</f>
        <v>0</v>
      </c>
      <c r="L19" s="55">
        <f t="shared" ref="L19:L36" si="11">J19+H19+F19+D19+B19</f>
        <v>0</v>
      </c>
      <c r="M19" s="55"/>
      <c r="N19" s="51">
        <f>0</f>
        <v>0</v>
      </c>
      <c r="O19" s="43">
        <f t="shared" ref="O19:O38" si="12">base_use_total-(N19*base_use_total)</f>
        <v>1500000</v>
      </c>
      <c r="P19" s="45">
        <f t="shared" ref="P19:P37" si="13">base_use_total-O19</f>
        <v>0</v>
      </c>
      <c r="Y19" s="14">
        <f>((elasticity_sf*base_use_sf*EXP((LN(base_use_sf/coeff_sf))/elasticity_sf))/(elasticity_sf + 1))-((elasticity_sf*(base_use_sf-B19)*EXP((LN((base_use_sf-B19)/coeff_sf))/elasticity_sf))/(elasticity_sf + 1))</f>
        <v>0</v>
      </c>
      <c r="AF19" s="14">
        <f>((elasticity_mf*base_use_mf*EXP((LN(base_use_mf/coeff_mf))/elasticity_mf))/(elasticity_mf + 1))-((elasticity_mf*(base_use_mf-D19)*EXP((LN((base_use_mf-D19)/coeff_mf))/elasticity_mf))/(elasticity_mf + 1))</f>
        <v>0</v>
      </c>
      <c r="AL19" s="14">
        <f>((elasticity_ind*base_use_ind*EXP((LN(base_use_ind/coeff_ind))/elasticity_ind))/(elasticity_ind + 1))-((elasticity_ind*(base_use_ind-F19)*EXP((LN((base_use_ind-F19)/coeff_ind))/elasticity_ind))/(elasticity_ind + 1))</f>
        <v>0</v>
      </c>
      <c r="AR19" s="14">
        <f>((elasticity_comm*base_use_comm*EXP((LN(base_use_comm/coeff_comm))/elasticity_comm))/(elasticity_comm + 1))-((elasticity_comm*(base_use_comm-H19)*EXP((LN((base_use_comm-H19)/coeff_comm))/elasticity_comm))/(elasticity_comm + 1))</f>
        <v>0</v>
      </c>
      <c r="AX19" s="39">
        <f>IF(shortage_LNDSCP&lt;upperbound_LNDSCP,((elasticity_lndscp*base_use_lndscp*EXP((LN(base_use_lndscp/coeff_lndscp))/elasticity_lndscp))/(elasticity_lndscp + 1))-((elasticity_lndscp*(base_use_lndscp-shortage_af_LNDSCP)*EXP((LN((base_use_lndscp-shortage_af_LNDSCP)/coeff_lndscp))/elasticity_lndscp))/(elasticity_lndscp + 1)), ((elasticity_lndscp*base_use_lndscp*EXP((LN(base_use_lndscp/coeff_lndscp))/elasticity_lndscp))/(elasticity_lndscp + 1))-((elasticity_lndscp*(base_use_lndscp*(1-upperbound_LNDSCP))*EXP((LN((base_use_lndscp*(1-upperbound_LNDSCP))/coeff_lndscp))/elasticity_lndscp))/(elasticity_lndscp + 1)))</f>
        <v>0</v>
      </c>
      <c r="AY19" s="48"/>
      <c r="AZ19" s="14">
        <f t="shared" ref="AZ19:AZ38" si="14">SUM(Y19,AF19,AL19,AR19,AX19)</f>
        <v>0</v>
      </c>
      <c r="BA19" s="65">
        <f t="shared" ref="BA19:BA38" si="15">Total_adjusted_shortage*use_3-foregone_use_total</f>
        <v>92321.511606275802</v>
      </c>
    </row>
    <row r="20" spans="1:53" x14ac:dyDescent="0.25">
      <c r="B20" s="60">
        <f t="shared" si="1"/>
        <v>40139.386257025973</v>
      </c>
      <c r="C20" s="53">
        <f t="shared" si="2"/>
        <v>3.5679811248802241E-2</v>
      </c>
      <c r="D20" s="55">
        <f t="shared" si="3"/>
        <v>12041.815877107791</v>
      </c>
      <c r="E20" s="53">
        <f t="shared" si="4"/>
        <v>2.1407886749281343E-2</v>
      </c>
      <c r="F20" s="55">
        <f t="shared" si="5"/>
        <v>2006.9693128512986</v>
      </c>
      <c r="G20" s="53">
        <f t="shared" si="6"/>
        <v>8.9199528122005604E-3</v>
      </c>
      <c r="H20" s="55">
        <f t="shared" si="7"/>
        <v>2207.6662441364288</v>
      </c>
      <c r="I20" s="53">
        <f t="shared" si="8"/>
        <v>1.9623896186841235E-2</v>
      </c>
      <c r="J20" s="55">
        <f t="shared" si="9"/>
        <v>12844.603602248311</v>
      </c>
      <c r="K20" s="53">
        <f t="shared" si="10"/>
        <v>5.7087697998083588E-2</v>
      </c>
      <c r="L20" s="54">
        <f t="shared" si="11"/>
        <v>69240.441293369804</v>
      </c>
      <c r="M20" s="55"/>
      <c r="N20" s="51">
        <f>($N$38/20)+N19</f>
        <v>4.6160755803137901E-2</v>
      </c>
      <c r="O20" s="43">
        <f>base_use_total-(N20*base_use_total)</f>
        <v>1430758.8662952932</v>
      </c>
      <c r="P20" s="45">
        <f t="shared" si="13"/>
        <v>69241.133704706794</v>
      </c>
      <c r="Y20" s="64">
        <f>IF(shortage_SF&lt;=lowerbound_SF,((elasticity_sf*base_use_sf*EXP((LN(base_use_sf/coeff_sf))/elasticity_sf))/(elasticity_sf + 1))-((elasticity_sf*(base_use_sf*(1-lowerbound_SF)*EXP((LN((base_use_sf*(1-lowerbound_SF)/coeff_sf))/elasticity_sf))/(elasticity_sf + 1)))), IF(shortage_SF&gt;=upperbound_SF,((elasticity_sf*base_use_sf*EXP((LN(base_use_sf/coeff_sf))/elasticity_sf))/(elasticity_sf + 1))-((elasticity_sf*(base_use_sf*(1-upperbound_SF))*EXP((LN((base_use_sf*(1-upperbound_SF))/coeff_sf))/elasticity_sf))/(elasticity_sf + 1)), ((elasticity_sf*base_use_sf*EXP((LN(base_use_sf/coeff_sf))/elasticity_sf))/(elasticity_sf + 1))-((elasticity_sf*(base_use_sf-shortage_af_SF)*EXP((LN((base_use_sf-shortage_af_SF)/coeff_sf))/elasticity_sf))/(elasticity_sf + 1))))</f>
        <v>28594938.330449641</v>
      </c>
      <c r="AF20" s="64">
        <f t="shared" ref="AF20:AF37" si="16">IF(shortage_MF&lt;=lowerbound_MF,((elasticity_mf*base_use_mf*EXP((LN(base_use_mf/coeff_mf))/elasticity_mf))/(elasticity_mf + 1))-((elasticity_mf*(base_use_mf*(1-lowerbound_MF)*EXP((LN((base_use_mf*(1-lowerbound_MF)/coeff_mf))/elasticity_mf))/(elasticity_mf + 1)))), IF(shortage_MF&gt;=upperbound_MF,((elasticity_mf*base_use_mf*EXP((LN(base_use_mf/coeff_mf))/elasticity_mf))/(elasticity_mf + 1))-((elasticity_mf*(base_use_mf*(1-upperbound_MF))*EXP((LN((base_use_mf*(1-upperbound_MF))/coeff_mf))/elasticity_mf))/(elasticity_mf + 1)), ((elasticity_mf*base_use_mf*EXP((LN(base_use_mf/coeff_mf))/elasticity_mf))/(elasticity_mf + 1))-((elasticity_mf*(base_use_mf-shortage_af_MF)*EXP((LN((base_use_mf-shortage_af_MF)/coeff_mf))/elasticity_mf))/(elasticity_mf + 1))))</f>
        <v>8574563.7275194302</v>
      </c>
      <c r="AL20" s="64">
        <f t="shared" ref="AL20:AL37" si="17">IF(shortage_IND&lt;=lowerbound_IND,((elasticity_ind*base_use_ind*EXP((LN(base_use_ind/coeff_ind))/elasticity_ind))/(elasticity_ind + 1))-((elasticity_ind*(base_use_ind*(1-lowerbound_IND)*EXP((LN((base_use_ind*(1-lowerbound_IND)/coeff_ind))/elasticity_ind))/(elasticity_ind + 1)))), IF(shortage_IND&gt;=upperbound_IND,((elasticity_ind*base_use_ind*EXP((LN(base_use_ind/coeff_ind))/elasticity_ind))/(elasticity_ind + 1))-((elasticity_ind*(base_use_ind*(1-upperbound_IND))*EXP((LN((base_use_ind*(1-upperbound_IND))/coeff_ind))/elasticity_ind))/(elasticity_ind + 1)), ((elasticity_ind*base_use_ind*EXP((LN(base_use_ind/coeff_ind))/elasticity_ind))/(elasticity_ind + 1))-((elasticity_ind*(base_use_ind-shortage_af_IND)*EXP((LN((base_use_ind-shortage_af_IND)/coeff_ind))/elasticity_ind))/(elasticity_ind + 1))))</f>
        <v>1364666.8343251813</v>
      </c>
      <c r="AR20" s="64">
        <f t="shared" ref="AR20:AR37" si="18">IF(shortage_COM&lt;=lowerbound_COM,((elasticity_comm*base_use_comm*EXP((LN(base_use_comm/coeff_comm))/elasticity_comm))/(elasticity_comm + 1))-((elasticity_comm*(base_use_comm*(1-lowerbound_COM)*EXP((LN((base_use_comm*(1-lowerbound_COM)/coeff_comm))/elasticity_comm))/(elasticity_comm + 1)))), IF(shortage_COM&gt;=upperbound_COM,((elasticity_comm*base_use_comm*EXP((LN(base_use_comm/coeff_comm))/elasticity_comm))/(elasticity_comm + 1))-((elasticity_comm*(base_use_comm*(1-upperbound_COM))*EXP((LN((base_use_comm*(1-upperbound_COM))/coeff_comm))/elasticity_comm))/(elasticity_comm + 1)), ((elasticity_comm*base_use_comm*EXP((LN(base_use_comm/coeff_comm))/elasticity_comm))/(elasticity_comm + 1))-((elasticity_comm*(base_use_comm-shortage_af_COM)*EXP((LN((base_use_comm-shortage_af_COM)/coeff_comm))/elasticity_comm))/(elasticity_comm + 1))))</f>
        <v>1571914.3481382746</v>
      </c>
      <c r="AX20" s="64">
        <f t="shared" ref="AX20:AX37" si="19">IF(shortage_LNDSCP&lt;=$U$14,((elasticity_lndscp*base_use_lndscp*EXP((LN(base_use_lndscp/coeff_lndscp))/elasticity_lndscp))/(elasticity_lndscp + 1))-((elasticity_lndscp*(base_use_lndscp*(1-low_bound_lndscp)*EXP((LN((base_use_lndscp*(1-low_bound_lndscp)/coeff_lndscp))/elasticity_lndscp))/(elasticity_lndscp + 1)))), IF(shortage_LNDSCP&gt;=upperbound_LNDSCP,((elasticity_lndscp*base_use_lndscp*EXP((LN(base_use_lndscp/coeff_lndscp))/elasticity_lndscp))/(elasticity_lndscp + 1))-((elasticity_lndscp*(base_use_lndscp*(1-upperbound_LNDSCP))*EXP((LN((base_use_lndscp*(1-upperbound_LNDSCP))/coeff_lndscp))/elasticity_lndscp))/(elasticity_lndscp + 1)), ((elasticity_lndscp*base_use_lndscp*EXP((LN(base_use_lndscp/coeff_lndscp))/elasticity_lndscp))/(elasticity_lndscp + 1))-((elasticity_lndscp*(base_use_lndscp-shortage_af_LNDSCP)*EXP((LN((base_use_lndscp-shortage_af_LNDSCP)/coeff_lndscp))/elasticity_lndscp))/(elasticity_lndscp + 1))))</f>
        <v>8987172.6659610868</v>
      </c>
      <c r="AY20" s="48">
        <f t="shared" ref="AY20:AY38" si="20">AZ20/P45</f>
        <v>709.02220611505243</v>
      </c>
      <c r="AZ20" s="14">
        <f t="shared" si="14"/>
        <v>49093255.90639361</v>
      </c>
      <c r="BA20" s="65">
        <f t="shared" si="15"/>
        <v>23080.377901569009</v>
      </c>
    </row>
    <row r="21" spans="1:53" x14ac:dyDescent="0.25">
      <c r="B21" s="60">
        <f t="shared" si="1"/>
        <v>80278.772514051947</v>
      </c>
      <c r="C21" s="53">
        <f t="shared" si="2"/>
        <v>7.1359622497604483E-2</v>
      </c>
      <c r="D21" s="55">
        <f t="shared" si="3"/>
        <v>24083.631754215581</v>
      </c>
      <c r="E21" s="53">
        <f t="shared" si="4"/>
        <v>4.2815773498562686E-2</v>
      </c>
      <c r="F21" s="55">
        <f t="shared" si="5"/>
        <v>4013.9386257025972</v>
      </c>
      <c r="G21" s="53">
        <f t="shared" si="6"/>
        <v>1.7839905624401121E-2</v>
      </c>
      <c r="H21" s="55">
        <f t="shared" si="7"/>
        <v>4415.3324882728575</v>
      </c>
      <c r="I21" s="53">
        <f t="shared" si="8"/>
        <v>3.924779237368247E-2</v>
      </c>
      <c r="J21" s="55">
        <f t="shared" si="9"/>
        <v>25689.207204496623</v>
      </c>
      <c r="K21" s="53">
        <f t="shared" si="10"/>
        <v>0.11417539599616718</v>
      </c>
      <c r="L21" s="54">
        <f t="shared" si="11"/>
        <v>138480.88258673961</v>
      </c>
      <c r="M21" s="55"/>
      <c r="N21" s="51">
        <f t="shared" ref="N21:N37" si="21">($N$38/20)+N20</f>
        <v>9.2321511606275802E-2</v>
      </c>
      <c r="O21" s="43">
        <f t="shared" si="12"/>
        <v>1361517.7325905864</v>
      </c>
      <c r="P21" s="45">
        <f t="shared" si="13"/>
        <v>138482.26740941359</v>
      </c>
      <c r="Y21" s="64">
        <f t="shared" ref="Y21:Y37" si="22">IF(shortage_SF&lt;=lowerbound_SF,((elasticity_sf*base_use_sf*EXP((LN(base_use_sf/coeff_sf))/elasticity_sf))/(elasticity_sf + 1))-((elasticity_sf*(base_use_sf*(1-lowerbound_SF)*EXP((LN((base_use_sf*(1-lowerbound_SF)/coeff_sf))/elasticity_sf))/(elasticity_sf + 1)))), IF(shortage_SF&gt;=upperbound_SF,((elasticity_sf*base_use_sf*EXP((LN(base_use_sf/coeff_sf))/elasticity_sf))/(elasticity_sf + 1))-((elasticity_sf*(base_use_sf*(1-upperbound_SF))*EXP((LN((base_use_sf*(1-upperbound_SF))/coeff_sf))/elasticity_sf))/(elasticity_sf + 1)), ((elasticity_sf*base_use_sf*EXP((LN(base_use_sf/coeff_sf))/elasticity_sf))/(elasticity_sf + 1))-((elasticity_sf*(base_use_sf-shortage_af_SF)*EXP((LN((base_use_sf-shortage_af_SF)/coeff_sf))/elasticity_sf))/(elasticity_sf + 1))))</f>
        <v>63005976.503028065</v>
      </c>
      <c r="AF21" s="64">
        <f t="shared" si="16"/>
        <v>18864609.512279086</v>
      </c>
      <c r="AL21" s="64">
        <f t="shared" si="17"/>
        <v>2857864.5775610451</v>
      </c>
      <c r="AR21" s="64">
        <f t="shared" si="18"/>
        <v>3457675.6458920669</v>
      </c>
      <c r="AX21" s="64">
        <f t="shared" si="19"/>
        <v>19445168.892721102</v>
      </c>
      <c r="AY21" s="48">
        <f t="shared" si="20"/>
        <v>777.22466061987973</v>
      </c>
      <c r="AZ21" s="14">
        <f t="shared" si="14"/>
        <v>107631295.13148138</v>
      </c>
      <c r="BA21" s="65">
        <f t="shared" si="15"/>
        <v>-46160.755803137785</v>
      </c>
    </row>
    <row r="22" spans="1:53" x14ac:dyDescent="0.25">
      <c r="B22" s="60">
        <f t="shared" si="1"/>
        <v>120418.15877107794</v>
      </c>
      <c r="C22" s="53">
        <f t="shared" si="2"/>
        <v>0.10703943374640675</v>
      </c>
      <c r="D22" s="55">
        <f t="shared" si="3"/>
        <v>36125.447631323375</v>
      </c>
      <c r="E22" s="53">
        <f t="shared" si="4"/>
        <v>6.4223660247844039E-2</v>
      </c>
      <c r="F22" s="55">
        <f t="shared" si="5"/>
        <v>6020.9079385538971</v>
      </c>
      <c r="G22" s="53">
        <f t="shared" si="6"/>
        <v>2.6759858436601686E-2</v>
      </c>
      <c r="H22" s="55">
        <f t="shared" si="7"/>
        <v>6622.9987324092872</v>
      </c>
      <c r="I22" s="53">
        <f t="shared" si="8"/>
        <v>5.8871688560523716E-2</v>
      </c>
      <c r="J22" s="55">
        <f t="shared" si="9"/>
        <v>38533.810806744943</v>
      </c>
      <c r="K22" s="53">
        <f t="shared" si="10"/>
        <v>0.1712630939942508</v>
      </c>
      <c r="L22" s="54">
        <f t="shared" si="11"/>
        <v>207721.32388010944</v>
      </c>
      <c r="M22" s="55"/>
      <c r="N22" s="51">
        <f t="shared" si="21"/>
        <v>0.13848226740941372</v>
      </c>
      <c r="O22" s="43">
        <f t="shared" si="12"/>
        <v>1292276.5988858794</v>
      </c>
      <c r="P22" s="45">
        <f t="shared" si="13"/>
        <v>207723.40111412061</v>
      </c>
      <c r="Y22" s="64">
        <f t="shared" si="22"/>
        <v>104712216.44636431</v>
      </c>
      <c r="AF22" s="64">
        <f t="shared" si="16"/>
        <v>31263863.4651848</v>
      </c>
      <c r="AL22" s="64">
        <f t="shared" si="17"/>
        <v>4493035.2592934649</v>
      </c>
      <c r="AR22" s="64">
        <f t="shared" si="18"/>
        <v>5728379.9914672114</v>
      </c>
      <c r="AX22" s="64">
        <f t="shared" si="19"/>
        <v>31734518.711472735</v>
      </c>
      <c r="AY22" s="48">
        <f t="shared" si="20"/>
        <v>856.5857413343374</v>
      </c>
      <c r="AZ22" s="14">
        <f t="shared" si="14"/>
        <v>177932013.87378252</v>
      </c>
      <c r="BA22" s="65">
        <f t="shared" si="15"/>
        <v>-115401.88950784481</v>
      </c>
    </row>
    <row r="23" spans="1:53" x14ac:dyDescent="0.25">
      <c r="B23" s="60">
        <f t="shared" si="1"/>
        <v>160557.54502810389</v>
      </c>
      <c r="C23" s="53">
        <f t="shared" si="2"/>
        <v>0.14271924499520897</v>
      </c>
      <c r="D23" s="55">
        <f t="shared" si="3"/>
        <v>48167.263508431162</v>
      </c>
      <c r="E23" s="53">
        <f t="shared" si="4"/>
        <v>8.5631546997125371E-2</v>
      </c>
      <c r="F23" s="55">
        <f t="shared" si="5"/>
        <v>8027.8772514051943</v>
      </c>
      <c r="G23" s="53">
        <f t="shared" si="6"/>
        <v>3.5679811248802241E-2</v>
      </c>
      <c r="H23" s="55">
        <f t="shared" si="7"/>
        <v>8830.664976545715</v>
      </c>
      <c r="I23" s="53">
        <f t="shared" si="8"/>
        <v>7.8495584747364941E-2</v>
      </c>
      <c r="J23" s="55">
        <f t="shared" si="9"/>
        <v>51378.414408993245</v>
      </c>
      <c r="K23" s="53">
        <f t="shared" si="10"/>
        <v>0.22835079199233435</v>
      </c>
      <c r="L23" s="54">
        <f t="shared" si="11"/>
        <v>276961.76517347922</v>
      </c>
      <c r="M23" s="55"/>
      <c r="N23" s="51">
        <f t="shared" si="21"/>
        <v>0.1846430232125516</v>
      </c>
      <c r="O23" s="43">
        <f t="shared" si="12"/>
        <v>1223035.4651811726</v>
      </c>
      <c r="P23" s="45">
        <f t="shared" si="13"/>
        <v>276964.53481882741</v>
      </c>
      <c r="Y23" s="64">
        <f>IF(shortage_SF&lt;=lowerbound_SF,((elasticity_sf*base_use_sf*EXP((LN(base_use_sf/coeff_sf))/elasticity_sf))/(elasticity_sf + 1))-((elasticity_sf*(base_use_sf*(1-lowerbound_SF)*EXP((LN((base_use_sf*(1-lowerbound_SF)/coeff_sf))/elasticity_sf))/(elasticity_sf + 1)))), IF(shortage_SF&gt;=upperbound_SF,((elasticity_sf*base_use_sf*EXP((LN(base_use_sf/coeff_sf))/elasticity_sf))/(elasticity_sf + 1))-((elasticity_sf*(base_use_sf*(1-upperbound_SF))*EXP((LN((base_use_sf*(1-upperbound_SF))/coeff_sf))/elasticity_sf))/(elasticity_sf + 1)), ((elasticity_sf*base_use_sf*EXP((LN(base_use_sf/coeff_sf))/elasticity_sf))/(elasticity_sf + 1))-((elasticity_sf*(base_use_sf-shortage_af_SF)*EXP((LN((base_use_sf-shortage_af_SF)/coeff_sf))/elasticity_sf))/(elasticity_sf + 1))))</f>
        <v>155650806.55850789</v>
      </c>
      <c r="AF23" s="64">
        <f t="shared" si="16"/>
        <v>46268587.224460624</v>
      </c>
      <c r="AL23" s="64">
        <f>IF(shortage_IND&lt;=lowerbound_IND,((elasticity_ind*base_use_ind*EXP((LN(base_use_ind/coeff_ind))/elasticity_ind))/(elasticity_ind + 1))-((elasticity_ind*(base_use_ind*(1-lowerbound_IND)*EXP((LN((base_use_ind*(1-lowerbound_IND)/coeff_ind))/elasticity_ind))/(elasticity_ind + 1)))), IF(shortage_IND&gt;=upperbound_IND,((elasticity_ind*base_use_ind*EXP((LN(base_use_ind/coeff_ind))/elasticity_ind))/(elasticity_ind + 1))-((elasticity_ind*(base_use_ind*(1-upperbound_IND))*EXP((LN((base_use_ind*(1-upperbound_IND))/coeff_ind))/elasticity_ind))/(elasticity_ind + 1)), ((elasticity_ind*base_use_ind*EXP((LN(base_use_ind/coeff_ind))/elasticity_ind))/(elasticity_ind + 1))-((elasticity_ind*(base_use_ind-shortage_af_IND)*EXP((LN((base_use_ind-shortage_af_IND)/coeff_ind))/elasticity_ind))/(elasticity_ind + 1))))</f>
        <v>6285169.1296790633</v>
      </c>
      <c r="AR23" s="64">
        <f t="shared" si="18"/>
        <v>8473225.9030350968</v>
      </c>
      <c r="AX23" s="64">
        <f t="shared" si="19"/>
        <v>46337903.506145418</v>
      </c>
      <c r="AY23" s="48">
        <f t="shared" si="20"/>
        <v>949.64146790585028</v>
      </c>
      <c r="AZ23" s="14">
        <f t="shared" si="14"/>
        <v>263015692.3218281</v>
      </c>
      <c r="BA23" s="65">
        <f t="shared" si="15"/>
        <v>-184643.0232125516</v>
      </c>
    </row>
    <row r="24" spans="1:53" x14ac:dyDescent="0.25">
      <c r="B24" s="60">
        <f t="shared" si="1"/>
        <v>200696.93128512986</v>
      </c>
      <c r="C24" s="53">
        <f t="shared" si="2"/>
        <v>0.1783990562440112</v>
      </c>
      <c r="D24" s="55">
        <f t="shared" si="3"/>
        <v>60209.079385538957</v>
      </c>
      <c r="E24" s="53">
        <f t="shared" si="4"/>
        <v>0.10703943374640672</v>
      </c>
      <c r="F24" s="55">
        <f t="shared" si="5"/>
        <v>10034.846564256493</v>
      </c>
      <c r="G24" s="53">
        <f t="shared" si="6"/>
        <v>4.45997640610028E-2</v>
      </c>
      <c r="H24" s="55">
        <f t="shared" si="7"/>
        <v>11038.331220682143</v>
      </c>
      <c r="I24" s="53">
        <f t="shared" si="8"/>
        <v>9.8119480934206166E-2</v>
      </c>
      <c r="J24" s="55">
        <f t="shared" si="9"/>
        <v>64223.018011241555</v>
      </c>
      <c r="K24" s="53">
        <f t="shared" si="10"/>
        <v>0.28543848999041793</v>
      </c>
      <c r="L24" s="54">
        <f t="shared" si="11"/>
        <v>346202.20646684902</v>
      </c>
      <c r="M24" s="55"/>
      <c r="N24" s="51">
        <f t="shared" si="21"/>
        <v>0.23080377901568949</v>
      </c>
      <c r="O24" s="43">
        <f t="shared" si="12"/>
        <v>1153794.3314764658</v>
      </c>
      <c r="P24" s="45">
        <f t="shared" si="13"/>
        <v>346205.6685235342</v>
      </c>
      <c r="Y24" s="64">
        <f t="shared" si="22"/>
        <v>218386466.7927514</v>
      </c>
      <c r="AF24" s="64">
        <f t="shared" si="16"/>
        <v>64507611.40832787</v>
      </c>
      <c r="AL24" s="64">
        <f t="shared" si="17"/>
        <v>8250999.6997335795</v>
      </c>
      <c r="AR24" s="64">
        <f t="shared" si="18"/>
        <v>11804655.527570929</v>
      </c>
      <c r="AX24" s="64">
        <f t="shared" si="19"/>
        <v>63914842.730897605</v>
      </c>
      <c r="AY24" s="48">
        <f t="shared" si="20"/>
        <v>1059.6776536063553</v>
      </c>
      <c r="AZ24" s="14">
        <f t="shared" si="14"/>
        <v>366864576.15928131</v>
      </c>
      <c r="BA24" s="65">
        <f t="shared" si="15"/>
        <v>-253884.1569172584</v>
      </c>
    </row>
    <row r="25" spans="1:53" x14ac:dyDescent="0.25">
      <c r="B25" s="60">
        <f t="shared" si="1"/>
        <v>240836.31754215583</v>
      </c>
      <c r="C25" s="53">
        <f t="shared" si="2"/>
        <v>0.21407886749281343</v>
      </c>
      <c r="D25" s="55">
        <f t="shared" si="3"/>
        <v>72250.895262646736</v>
      </c>
      <c r="E25" s="53">
        <f t="shared" si="4"/>
        <v>0.12844732049568805</v>
      </c>
      <c r="F25" s="55">
        <f t="shared" si="5"/>
        <v>12041.815877107791</v>
      </c>
      <c r="G25" s="53">
        <f t="shared" si="6"/>
        <v>5.3519716873203359E-2</v>
      </c>
      <c r="H25" s="55">
        <f t="shared" si="7"/>
        <v>13245.997464818573</v>
      </c>
      <c r="I25" s="53">
        <f t="shared" si="8"/>
        <v>0.1177433771210474</v>
      </c>
      <c r="J25" s="55">
        <f t="shared" si="9"/>
        <v>77067.621613489871</v>
      </c>
      <c r="K25" s="53">
        <f t="shared" si="10"/>
        <v>0.34252618798850154</v>
      </c>
      <c r="L25" s="54">
        <f t="shared" si="11"/>
        <v>415442.64776021882</v>
      </c>
      <c r="M25" s="55"/>
      <c r="N25" s="51">
        <f t="shared" si="21"/>
        <v>0.27696453481882738</v>
      </c>
      <c r="O25" s="43">
        <f t="shared" si="12"/>
        <v>1084553.197771759</v>
      </c>
      <c r="P25" s="45">
        <f t="shared" si="13"/>
        <v>415446.80222824099</v>
      </c>
      <c r="Y25" s="64">
        <f t="shared" si="22"/>
        <v>296354979.4427886</v>
      </c>
      <c r="AC25">
        <v>-183232543.96318501</v>
      </c>
      <c r="AF25" s="64">
        <f t="shared" si="16"/>
        <v>86782192.674404383</v>
      </c>
      <c r="AL25" s="64">
        <f t="shared" si="17"/>
        <v>10409225.499495855</v>
      </c>
      <c r="AR25" s="64">
        <f t="shared" si="18"/>
        <v>15865114.229687735</v>
      </c>
      <c r="AX25" s="64">
        <f t="shared" si="19"/>
        <v>85387868.965806246</v>
      </c>
      <c r="AY25" s="48">
        <f t="shared" si="20"/>
        <v>1191.0113452810906</v>
      </c>
      <c r="AZ25" s="14">
        <f t="shared" si="14"/>
        <v>494799380.81218284</v>
      </c>
      <c r="BA25" s="65">
        <f t="shared" si="15"/>
        <v>-323125.29062196519</v>
      </c>
    </row>
    <row r="26" spans="1:53" x14ac:dyDescent="0.25">
      <c r="B26" s="60">
        <f t="shared" si="1"/>
        <v>280975.70379918179</v>
      </c>
      <c r="C26" s="53">
        <f t="shared" si="2"/>
        <v>0.24975867874161567</v>
      </c>
      <c r="D26" s="55">
        <f t="shared" si="3"/>
        <v>84292.711139754538</v>
      </c>
      <c r="E26" s="53">
        <f t="shared" si="4"/>
        <v>0.1498552072449694</v>
      </c>
      <c r="F26" s="55">
        <f t="shared" si="5"/>
        <v>14048.78518995909</v>
      </c>
      <c r="G26" s="53">
        <f t="shared" si="6"/>
        <v>6.2439669685403917E-2</v>
      </c>
      <c r="H26" s="55">
        <f t="shared" si="7"/>
        <v>15453.663708954999</v>
      </c>
      <c r="I26" s="53">
        <f t="shared" si="8"/>
        <v>0.13736727330788862</v>
      </c>
      <c r="J26" s="55">
        <f t="shared" si="9"/>
        <v>89912.225215738174</v>
      </c>
      <c r="K26" s="53">
        <f t="shared" si="10"/>
        <v>0.39961388598658509</v>
      </c>
      <c r="L26" s="54">
        <f t="shared" si="11"/>
        <v>484683.08905358857</v>
      </c>
      <c r="M26" s="55"/>
      <c r="N26" s="51">
        <f t="shared" si="21"/>
        <v>0.32312529062196527</v>
      </c>
      <c r="O26" s="43">
        <f t="shared" si="12"/>
        <v>1015312.0640670521</v>
      </c>
      <c r="P26" s="45">
        <f t="shared" si="13"/>
        <v>484687.9359329479</v>
      </c>
      <c r="Y26" s="64">
        <f t="shared" si="22"/>
        <v>394218306.35843885</v>
      </c>
      <c r="AF26" s="64">
        <f t="shared" si="16"/>
        <v>114119261.35946536</v>
      </c>
      <c r="AL26" s="64">
        <f t="shared" si="17"/>
        <v>12780762.513972955</v>
      </c>
      <c r="AR26" s="64">
        <f t="shared" si="18"/>
        <v>20835990.230730474</v>
      </c>
      <c r="AX26" s="64">
        <f t="shared" si="19"/>
        <v>112083135.9865393</v>
      </c>
      <c r="AY26" s="48">
        <f t="shared" si="20"/>
        <v>1349.4058303406521</v>
      </c>
      <c r="AZ26" s="14">
        <f t="shared" si="14"/>
        <v>654037456.44914699</v>
      </c>
      <c r="BA26" s="65">
        <f t="shared" si="15"/>
        <v>-392366.4243266721</v>
      </c>
    </row>
    <row r="27" spans="1:53" x14ac:dyDescent="0.25">
      <c r="B27" s="60">
        <f t="shared" si="1"/>
        <v>321115.09005620779</v>
      </c>
      <c r="C27" s="53">
        <f t="shared" si="2"/>
        <v>0.28543848999041793</v>
      </c>
      <c r="D27" s="55">
        <f t="shared" si="3"/>
        <v>96334.527016862325</v>
      </c>
      <c r="E27" s="53">
        <f t="shared" si="4"/>
        <v>0.17126309399425074</v>
      </c>
      <c r="F27" s="55">
        <f t="shared" si="5"/>
        <v>16055.754502810389</v>
      </c>
      <c r="G27" s="53">
        <f t="shared" si="6"/>
        <v>7.1359622497604483E-2</v>
      </c>
      <c r="H27" s="55">
        <f t="shared" si="7"/>
        <v>17661.32995309143</v>
      </c>
      <c r="I27" s="53">
        <f t="shared" si="8"/>
        <v>0.15699116949472988</v>
      </c>
      <c r="J27" s="55">
        <f t="shared" si="9"/>
        <v>102756.82881798649</v>
      </c>
      <c r="K27" s="53">
        <f t="shared" si="10"/>
        <v>0.4567015839846687</v>
      </c>
      <c r="L27" s="54">
        <f t="shared" si="11"/>
        <v>553923.53034695843</v>
      </c>
      <c r="M27" s="55"/>
      <c r="N27" s="51">
        <f t="shared" si="21"/>
        <v>0.36928604642510315</v>
      </c>
      <c r="O27" s="43">
        <f t="shared" si="12"/>
        <v>946070.9303623453</v>
      </c>
      <c r="P27" s="45">
        <f t="shared" si="13"/>
        <v>553929.0696376547</v>
      </c>
      <c r="Y27" s="64">
        <f t="shared" si="22"/>
        <v>518391202.33106256</v>
      </c>
      <c r="AF27" s="64">
        <f t="shared" si="16"/>
        <v>147843057.38062</v>
      </c>
      <c r="AL27" s="64">
        <f t="shared" si="17"/>
        <v>15389031.889010409</v>
      </c>
      <c r="AR27" s="64">
        <f t="shared" si="18"/>
        <v>26949509.925876886</v>
      </c>
      <c r="AX27" s="64">
        <f t="shared" si="19"/>
        <v>145969382.14709473</v>
      </c>
      <c r="AY27" s="48">
        <f t="shared" si="20"/>
        <v>1542.7001456216549</v>
      </c>
      <c r="AZ27" s="14">
        <f t="shared" si="14"/>
        <v>854542183.67366457</v>
      </c>
      <c r="BA27" s="65">
        <f t="shared" si="15"/>
        <v>-461607.5580313789</v>
      </c>
    </row>
    <row r="28" spans="1:53" x14ac:dyDescent="0.25">
      <c r="B28" s="60">
        <f t="shared" si="1"/>
        <v>361254.47631323372</v>
      </c>
      <c r="C28" s="53">
        <f t="shared" si="2"/>
        <v>0.32111830123922014</v>
      </c>
      <c r="D28" s="55">
        <f t="shared" si="3"/>
        <v>108376.34289397011</v>
      </c>
      <c r="E28" s="53">
        <f t="shared" si="4"/>
        <v>0.19267098074353209</v>
      </c>
      <c r="F28" s="55">
        <f t="shared" si="5"/>
        <v>18062.723815661684</v>
      </c>
      <c r="G28" s="53">
        <f t="shared" si="6"/>
        <v>8.0279575309805035E-2</v>
      </c>
      <c r="H28" s="55">
        <f t="shared" si="7"/>
        <v>19868.996197227858</v>
      </c>
      <c r="I28" s="53">
        <f t="shared" si="8"/>
        <v>0.17661506568157109</v>
      </c>
      <c r="J28" s="55">
        <f t="shared" si="9"/>
        <v>115601.43242023478</v>
      </c>
      <c r="K28" s="53">
        <f t="shared" si="10"/>
        <v>0.5137892819827522</v>
      </c>
      <c r="L28" s="54">
        <f t="shared" si="11"/>
        <v>623163.97164032818</v>
      </c>
      <c r="M28" s="55"/>
      <c r="N28" s="51">
        <f t="shared" si="21"/>
        <v>0.41544680222824104</v>
      </c>
      <c r="O28" s="43">
        <f t="shared" si="12"/>
        <v>876829.79665763839</v>
      </c>
      <c r="P28" s="45">
        <f t="shared" si="13"/>
        <v>623170.20334236161</v>
      </c>
      <c r="Y28" s="64">
        <f t="shared" si="22"/>
        <v>677836488.49028897</v>
      </c>
      <c r="AF28" s="64">
        <f t="shared" si="16"/>
        <v>189672214.07816708</v>
      </c>
      <c r="AL28" s="64">
        <f t="shared" si="17"/>
        <v>18260288.239795543</v>
      </c>
      <c r="AR28" s="64">
        <f t="shared" si="18"/>
        <v>34504667.58384528</v>
      </c>
      <c r="AX28" s="64">
        <f t="shared" si="19"/>
        <v>190084154.17892358</v>
      </c>
      <c r="AY28" s="48">
        <f t="shared" si="20"/>
        <v>1781.7979075652327</v>
      </c>
      <c r="AZ28" s="14">
        <f t="shared" si="14"/>
        <v>1110357812.5710204</v>
      </c>
      <c r="BA28" s="65">
        <f t="shared" si="15"/>
        <v>-530848.69173608581</v>
      </c>
    </row>
    <row r="29" spans="1:53" x14ac:dyDescent="0.25">
      <c r="B29" s="60">
        <f t="shared" si="1"/>
        <v>401393.86257025966</v>
      </c>
      <c r="C29" s="53">
        <f t="shared" si="2"/>
        <v>0.35679811248802235</v>
      </c>
      <c r="D29" s="55">
        <f t="shared" si="3"/>
        <v>120418.1587710779</v>
      </c>
      <c r="E29" s="53">
        <f t="shared" si="4"/>
        <v>0.21407886749281341</v>
      </c>
      <c r="F29" s="55">
        <f t="shared" si="5"/>
        <v>20069.693128512983</v>
      </c>
      <c r="G29" s="53">
        <f t="shared" si="6"/>
        <v>8.9199528122005586E-2</v>
      </c>
      <c r="H29" s="55">
        <f t="shared" si="7"/>
        <v>22076.662441364282</v>
      </c>
      <c r="I29" s="53">
        <f t="shared" si="8"/>
        <v>0.1962389618684123</v>
      </c>
      <c r="J29" s="55">
        <f t="shared" si="9"/>
        <v>128446.03602248309</v>
      </c>
      <c r="K29" s="53">
        <f t="shared" si="10"/>
        <v>0.57087697998083575</v>
      </c>
      <c r="L29" s="54">
        <f t="shared" si="11"/>
        <v>692404.41293369792</v>
      </c>
      <c r="M29" s="55"/>
      <c r="N29" s="51">
        <f t="shared" si="21"/>
        <v>0.46160755803137893</v>
      </c>
      <c r="O29" s="43">
        <f t="shared" si="12"/>
        <v>807588.6629529316</v>
      </c>
      <c r="P29" s="45">
        <f t="shared" si="13"/>
        <v>692411.3370470684</v>
      </c>
      <c r="Y29" s="64">
        <f t="shared" si="22"/>
        <v>885290284.61827505</v>
      </c>
      <c r="AF29" s="64">
        <f t="shared" si="16"/>
        <v>241852348.34424734</v>
      </c>
      <c r="AL29" s="64">
        <f t="shared" si="17"/>
        <v>21423994.763438717</v>
      </c>
      <c r="AR29" s="64">
        <f t="shared" si="18"/>
        <v>43888700.788824603</v>
      </c>
      <c r="AX29" s="64">
        <f t="shared" si="19"/>
        <v>249339678.25802907</v>
      </c>
      <c r="AY29" s="48">
        <f t="shared" si="20"/>
        <v>2082.2914626336606</v>
      </c>
      <c r="AZ29" s="14">
        <f t="shared" si="14"/>
        <v>1441795006.7728148</v>
      </c>
      <c r="BA29" s="65">
        <f t="shared" si="15"/>
        <v>-600089.8254407926</v>
      </c>
    </row>
    <row r="30" spans="1:53" x14ac:dyDescent="0.25">
      <c r="B30" s="60">
        <f t="shared" si="1"/>
        <v>441533.24882728566</v>
      </c>
      <c r="C30" s="53">
        <f t="shared" si="2"/>
        <v>0.39247792373682461</v>
      </c>
      <c r="D30" s="55">
        <f t="shared" si="3"/>
        <v>132459.97464818569</v>
      </c>
      <c r="E30" s="53">
        <f t="shared" si="4"/>
        <v>0.23548675424209475</v>
      </c>
      <c r="F30" s="55">
        <f t="shared" si="5"/>
        <v>22076.662441364282</v>
      </c>
      <c r="G30" s="53">
        <f t="shared" si="6"/>
        <v>9.8119480934206152E-2</v>
      </c>
      <c r="H30" s="55">
        <f t="shared" si="7"/>
        <v>24284.32868550071</v>
      </c>
      <c r="I30" s="53">
        <f t="shared" si="8"/>
        <v>0.21586285805525354</v>
      </c>
      <c r="J30" s="55">
        <f t="shared" si="9"/>
        <v>141290.63962473141</v>
      </c>
      <c r="K30" s="53">
        <f t="shared" si="10"/>
        <v>0.62796467797891942</v>
      </c>
      <c r="L30" s="54">
        <f t="shared" si="11"/>
        <v>761644.85422706767</v>
      </c>
      <c r="M30" s="55"/>
      <c r="N30" s="51">
        <f t="shared" si="21"/>
        <v>0.50776831383451682</v>
      </c>
      <c r="O30" s="43">
        <f t="shared" si="12"/>
        <v>738347.5292482248</v>
      </c>
      <c r="P30" s="45">
        <f t="shared" si="13"/>
        <v>761652.4707517752</v>
      </c>
      <c r="Y30" s="64">
        <f t="shared" si="22"/>
        <v>1159191716.140835</v>
      </c>
      <c r="AF30" s="64">
        <f t="shared" si="16"/>
        <v>307338617.5501343</v>
      </c>
      <c r="AL30" s="64">
        <f t="shared" si="17"/>
        <v>24913252.377725743</v>
      </c>
      <c r="AR30" s="64">
        <f t="shared" si="18"/>
        <v>55606245.640437163</v>
      </c>
      <c r="AX30" s="64">
        <f t="shared" si="19"/>
        <v>332160071.00811052</v>
      </c>
      <c r="AY30" s="48">
        <f t="shared" si="20"/>
        <v>2467.2923294436205</v>
      </c>
      <c r="AZ30" s="14">
        <f t="shared" si="14"/>
        <v>1879209902.717243</v>
      </c>
      <c r="BA30" s="65">
        <f t="shared" si="15"/>
        <v>-669330.95914549939</v>
      </c>
    </row>
    <row r="31" spans="1:53" x14ac:dyDescent="0.25">
      <c r="B31" s="60">
        <f t="shared" si="1"/>
        <v>481672.63508431165</v>
      </c>
      <c r="C31" s="53">
        <f t="shared" si="2"/>
        <v>0.42815773498562687</v>
      </c>
      <c r="D31" s="55">
        <f t="shared" si="3"/>
        <v>144501.79052529347</v>
      </c>
      <c r="E31" s="53">
        <f t="shared" si="4"/>
        <v>0.2568946409913761</v>
      </c>
      <c r="F31" s="55">
        <f t="shared" si="5"/>
        <v>24083.631754215581</v>
      </c>
      <c r="G31" s="53">
        <f t="shared" si="6"/>
        <v>0.10703943374640672</v>
      </c>
      <c r="H31" s="55">
        <f t="shared" si="7"/>
        <v>26491.994929637145</v>
      </c>
      <c r="I31" s="53">
        <f t="shared" si="8"/>
        <v>0.23548675424209481</v>
      </c>
      <c r="J31" s="55">
        <f t="shared" si="9"/>
        <v>154135.24322697974</v>
      </c>
      <c r="K31" s="53">
        <f t="shared" si="10"/>
        <v>0.68505237597700308</v>
      </c>
      <c r="L31" s="54">
        <f t="shared" si="11"/>
        <v>830885.29552043765</v>
      </c>
      <c r="M31" s="55"/>
      <c r="N31" s="51">
        <f t="shared" si="21"/>
        <v>0.55392906963765476</v>
      </c>
      <c r="O31" s="43">
        <f t="shared" si="12"/>
        <v>669106.39554351789</v>
      </c>
      <c r="P31" s="45">
        <f t="shared" si="13"/>
        <v>830893.60445648211</v>
      </c>
      <c r="Y31" s="64">
        <f t="shared" si="22"/>
        <v>1526797325.2315304</v>
      </c>
      <c r="AF31" s="64">
        <f t="shared" si="16"/>
        <v>390049230.8617968</v>
      </c>
      <c r="AL31" s="64">
        <f t="shared" si="17"/>
        <v>28765291.309098087</v>
      </c>
      <c r="AR31" s="64">
        <f t="shared" si="18"/>
        <v>70319209.454643637</v>
      </c>
      <c r="AX31" s="64">
        <f t="shared" si="19"/>
        <v>454124486.02848387</v>
      </c>
      <c r="AY31" s="48">
        <f t="shared" si="20"/>
        <v>2972.784818588746</v>
      </c>
      <c r="AZ31" s="14">
        <f t="shared" si="14"/>
        <v>2470055542.8855529</v>
      </c>
      <c r="BA31" s="65">
        <f t="shared" si="15"/>
        <v>-738572.0928502063</v>
      </c>
    </row>
    <row r="32" spans="1:53" x14ac:dyDescent="0.25">
      <c r="B32" s="60">
        <f t="shared" si="1"/>
        <v>521812.02134133765</v>
      </c>
      <c r="C32" s="53">
        <f t="shared" si="2"/>
        <v>0.46383754623442913</v>
      </c>
      <c r="D32" s="55">
        <f t="shared" si="3"/>
        <v>156543.60640240126</v>
      </c>
      <c r="E32" s="53">
        <f t="shared" si="4"/>
        <v>0.27830252774065745</v>
      </c>
      <c r="F32" s="55">
        <f t="shared" si="5"/>
        <v>26090.60106706688</v>
      </c>
      <c r="G32" s="53">
        <f t="shared" si="6"/>
        <v>0.11595938655860728</v>
      </c>
      <c r="H32" s="55">
        <f t="shared" si="7"/>
        <v>28699.661173773573</v>
      </c>
      <c r="I32" s="53">
        <f t="shared" si="8"/>
        <v>0.25511065042893605</v>
      </c>
      <c r="J32" s="55">
        <f t="shared" si="9"/>
        <v>166979.84682922804</v>
      </c>
      <c r="K32" s="53">
        <f t="shared" si="10"/>
        <v>0.74214007397508663</v>
      </c>
      <c r="L32" s="54">
        <f t="shared" si="11"/>
        <v>900125.73681380739</v>
      </c>
      <c r="M32" s="55"/>
      <c r="N32" s="51">
        <f t="shared" si="21"/>
        <v>0.6000898254407927</v>
      </c>
      <c r="O32" s="43">
        <f t="shared" si="12"/>
        <v>599865.26183881098</v>
      </c>
      <c r="P32" s="45">
        <f t="shared" si="13"/>
        <v>900134.73816118902</v>
      </c>
      <c r="Y32" s="64">
        <f t="shared" si="22"/>
        <v>2029346360.3260729</v>
      </c>
      <c r="AF32" s="64">
        <f t="shared" si="16"/>
        <v>495220681.98939067</v>
      </c>
      <c r="AL32" s="64">
        <f t="shared" si="17"/>
        <v>33022034.968286827</v>
      </c>
      <c r="AR32" s="64">
        <f t="shared" si="18"/>
        <v>88901722.091193795</v>
      </c>
      <c r="AX32" s="64">
        <f t="shared" si="19"/>
        <v>495861145.30289018</v>
      </c>
      <c r="AY32" s="48">
        <f t="shared" si="20"/>
        <v>3490.9969843978656</v>
      </c>
      <c r="AZ32" s="14">
        <f t="shared" si="14"/>
        <v>3142351944.6778345</v>
      </c>
      <c r="BA32" s="65">
        <f t="shared" si="15"/>
        <v>-807813.22655491321</v>
      </c>
    </row>
    <row r="33" spans="2:53" x14ac:dyDescent="0.25">
      <c r="B33" s="60">
        <f t="shared" si="1"/>
        <v>561951.4075983637</v>
      </c>
      <c r="C33" s="53">
        <f t="shared" si="2"/>
        <v>0.49951735748323145</v>
      </c>
      <c r="D33" s="55">
        <f t="shared" si="3"/>
        <v>168585.4222795091</v>
      </c>
      <c r="E33" s="53">
        <f t="shared" si="4"/>
        <v>0.29971041448993885</v>
      </c>
      <c r="F33" s="55">
        <f t="shared" si="5"/>
        <v>28097.570379918187</v>
      </c>
      <c r="G33" s="53">
        <f t="shared" si="6"/>
        <v>0.12487933937080786</v>
      </c>
      <c r="H33" s="55">
        <f t="shared" si="7"/>
        <v>30907.327417910008</v>
      </c>
      <c r="I33" s="53">
        <f t="shared" si="8"/>
        <v>0.27473454661577734</v>
      </c>
      <c r="J33" s="55">
        <f t="shared" si="9"/>
        <v>179824.45043147641</v>
      </c>
      <c r="K33" s="53">
        <f t="shared" si="10"/>
        <v>0.79922777197317041</v>
      </c>
      <c r="L33" s="54">
        <f t="shared" si="11"/>
        <v>969366.17810717737</v>
      </c>
      <c r="M33" s="55"/>
      <c r="N33" s="51">
        <f t="shared" si="21"/>
        <v>0.64625058124393064</v>
      </c>
      <c r="O33" s="43">
        <f t="shared" si="12"/>
        <v>530624.12813410407</v>
      </c>
      <c r="P33" s="45">
        <f t="shared" si="13"/>
        <v>969375.87186589593</v>
      </c>
      <c r="Y33" s="64">
        <f t="shared" si="22"/>
        <v>2730893557.7956009</v>
      </c>
      <c r="AF33" s="64">
        <f t="shared" si="16"/>
        <v>629910285.51667023</v>
      </c>
      <c r="AL33" s="64">
        <f t="shared" si="17"/>
        <v>37730747.622755557</v>
      </c>
      <c r="AR33" s="64">
        <f t="shared" si="18"/>
        <v>112516483.09529084</v>
      </c>
      <c r="AX33" s="64">
        <f t="shared" si="19"/>
        <v>495861145.30289018</v>
      </c>
      <c r="AY33" s="48">
        <f t="shared" si="20"/>
        <v>4133.5176274050564</v>
      </c>
      <c r="AZ33" s="14">
        <f t="shared" si="14"/>
        <v>4006912219.3332076</v>
      </c>
      <c r="BA33" s="65">
        <f t="shared" si="15"/>
        <v>-877054.36025962012</v>
      </c>
    </row>
    <row r="34" spans="2:53" x14ac:dyDescent="0.25">
      <c r="B34" s="60">
        <f t="shared" si="1"/>
        <v>602090.7938553897</v>
      </c>
      <c r="C34" s="53">
        <f t="shared" si="2"/>
        <v>0.53519716873203371</v>
      </c>
      <c r="D34" s="55">
        <f t="shared" si="3"/>
        <v>180627.23815661689</v>
      </c>
      <c r="E34" s="53">
        <f t="shared" si="4"/>
        <v>0.32111830123922019</v>
      </c>
      <c r="F34" s="55">
        <f t="shared" si="5"/>
        <v>30104.539692769486</v>
      </c>
      <c r="G34" s="53">
        <f t="shared" si="6"/>
        <v>0.13379929218300843</v>
      </c>
      <c r="H34" s="55">
        <f t="shared" si="7"/>
        <v>33114.993662046436</v>
      </c>
      <c r="I34" s="53">
        <f t="shared" si="8"/>
        <v>0.29435844280261858</v>
      </c>
      <c r="J34" s="55">
        <f t="shared" si="9"/>
        <v>192669.05403372471</v>
      </c>
      <c r="K34" s="53">
        <f t="shared" si="10"/>
        <v>0.85631546997125396</v>
      </c>
      <c r="L34" s="54">
        <f t="shared" si="11"/>
        <v>1038606.6194005472</v>
      </c>
      <c r="M34" s="55"/>
      <c r="N34" s="51">
        <f t="shared" si="21"/>
        <v>0.69241133704706859</v>
      </c>
      <c r="O34" s="43">
        <f t="shared" si="12"/>
        <v>461382.99442939716</v>
      </c>
      <c r="P34" s="45">
        <f t="shared" si="13"/>
        <v>1038617.0055706028</v>
      </c>
      <c r="Y34" s="64">
        <f t="shared" si="22"/>
        <v>3733945040.63658</v>
      </c>
      <c r="AF34" s="64">
        <f t="shared" si="16"/>
        <v>803714305.95737731</v>
      </c>
      <c r="AL34" s="64">
        <f t="shared" si="17"/>
        <v>42944779.350496612</v>
      </c>
      <c r="AR34" s="64">
        <f t="shared" si="18"/>
        <v>142721741.5070878</v>
      </c>
      <c r="AX34" s="64">
        <f t="shared" si="19"/>
        <v>495861145.30289018</v>
      </c>
      <c r="AY34" s="48">
        <f t="shared" si="20"/>
        <v>5025.1566080223365</v>
      </c>
      <c r="AZ34" s="14">
        <f t="shared" si="14"/>
        <v>5219187012.7544308</v>
      </c>
      <c r="BA34" s="65">
        <f t="shared" si="15"/>
        <v>-946295.49396432703</v>
      </c>
    </row>
    <row r="35" spans="2:53" x14ac:dyDescent="0.25">
      <c r="B35" s="60">
        <f t="shared" si="1"/>
        <v>642230.18011241569</v>
      </c>
      <c r="C35" s="53">
        <f t="shared" si="2"/>
        <v>0.57087697998083597</v>
      </c>
      <c r="D35" s="55">
        <f t="shared" si="3"/>
        <v>192669.05403372471</v>
      </c>
      <c r="E35" s="53">
        <f t="shared" si="4"/>
        <v>0.3425261879885016</v>
      </c>
      <c r="F35" s="55">
        <f t="shared" si="5"/>
        <v>32111.509005620785</v>
      </c>
      <c r="G35" s="53">
        <f t="shared" si="6"/>
        <v>0.14271924499520899</v>
      </c>
      <c r="H35" s="55">
        <f t="shared" si="7"/>
        <v>35322.659906182867</v>
      </c>
      <c r="I35" s="53">
        <f t="shared" si="8"/>
        <v>0.31398233898945982</v>
      </c>
      <c r="J35" s="55">
        <f t="shared" si="9"/>
        <v>205513.65763597304</v>
      </c>
      <c r="K35" s="53">
        <f t="shared" si="10"/>
        <v>0.91340316796933763</v>
      </c>
      <c r="L35" s="54">
        <f t="shared" si="11"/>
        <v>1107847.0606939171</v>
      </c>
      <c r="M35" s="55"/>
      <c r="N35" s="51">
        <f t="shared" si="21"/>
        <v>0.73857209285020653</v>
      </c>
      <c r="O35" s="43">
        <f t="shared" si="12"/>
        <v>392141.86072469014</v>
      </c>
      <c r="P35" s="45">
        <f t="shared" si="13"/>
        <v>1107858.1392753099</v>
      </c>
      <c r="Y35" s="64">
        <f t="shared" si="22"/>
        <v>5208250930.1744461</v>
      </c>
      <c r="AF35" s="64">
        <f t="shared" si="16"/>
        <v>1029805203.788251</v>
      </c>
      <c r="AL35" s="64">
        <f t="shared" si="17"/>
        <v>48724424.099227197</v>
      </c>
      <c r="AR35" s="64">
        <f t="shared" si="18"/>
        <v>181622548.28080764</v>
      </c>
      <c r="AX35" s="64">
        <f t="shared" si="19"/>
        <v>495861145.30289018</v>
      </c>
      <c r="AY35" s="48">
        <f t="shared" si="20"/>
        <v>6286.2733288215604</v>
      </c>
      <c r="AZ35" s="14">
        <f t="shared" si="14"/>
        <v>6964264251.6456213</v>
      </c>
      <c r="BA35" s="65">
        <f t="shared" si="15"/>
        <v>-1015536.6276690341</v>
      </c>
    </row>
    <row r="36" spans="2:53" x14ac:dyDescent="0.25">
      <c r="B36" s="60">
        <f t="shared" si="1"/>
        <v>682369.56636944169</v>
      </c>
      <c r="C36" s="53">
        <f t="shared" si="2"/>
        <v>0.60655679122963824</v>
      </c>
      <c r="D36" s="55">
        <f t="shared" si="3"/>
        <v>204710.86991083249</v>
      </c>
      <c r="E36" s="53">
        <f t="shared" si="4"/>
        <v>0.36393407473778294</v>
      </c>
      <c r="F36" s="55">
        <f t="shared" si="5"/>
        <v>34118.478318472087</v>
      </c>
      <c r="G36" s="53">
        <f t="shared" si="6"/>
        <v>0.15163919780740956</v>
      </c>
      <c r="H36" s="55">
        <f t="shared" si="7"/>
        <v>37530.326150319299</v>
      </c>
      <c r="I36" s="53">
        <f t="shared" si="8"/>
        <v>0.33360623517630106</v>
      </c>
      <c r="J36" s="55">
        <f t="shared" si="9"/>
        <v>218358.26123822134</v>
      </c>
      <c r="K36" s="53">
        <f>C36*cutratio_lndscp</f>
        <v>0.97049086596742118</v>
      </c>
      <c r="L36" s="54">
        <f t="shared" si="11"/>
        <v>1177087.5019872868</v>
      </c>
      <c r="M36" s="55"/>
      <c r="N36" s="51">
        <f t="shared" si="21"/>
        <v>0.78473284865334447</v>
      </c>
      <c r="O36" s="43">
        <f t="shared" si="12"/>
        <v>322900.72701998334</v>
      </c>
      <c r="P36" s="45">
        <f t="shared" si="13"/>
        <v>1177099.2729800167</v>
      </c>
      <c r="Y36" s="64">
        <f t="shared" si="22"/>
        <v>7446289747.4806499</v>
      </c>
      <c r="AF36" s="64">
        <f t="shared" si="16"/>
        <v>1326446918.1468427</v>
      </c>
      <c r="AL36" s="64">
        <f t="shared" si="17"/>
        <v>55137909.450498149</v>
      </c>
      <c r="AR36" s="64">
        <f t="shared" si="18"/>
        <v>232086633.89434981</v>
      </c>
      <c r="AX36" s="64">
        <f t="shared" si="19"/>
        <v>495861145.30289018</v>
      </c>
      <c r="AY36" s="48">
        <f t="shared" si="20"/>
        <v>8118.151419209491</v>
      </c>
      <c r="AZ36" s="14">
        <f t="shared" si="14"/>
        <v>9555822354.2752323</v>
      </c>
      <c r="BA36" s="65">
        <f t="shared" si="15"/>
        <v>-1084777.7613737409</v>
      </c>
    </row>
    <row r="37" spans="2:53" x14ac:dyDescent="0.25">
      <c r="B37" s="60">
        <f t="shared" si="1"/>
        <v>722508.95262646768</v>
      </c>
      <c r="C37" s="53">
        <f t="shared" si="2"/>
        <v>0.6422366024784405</v>
      </c>
      <c r="D37" s="55">
        <f t="shared" si="3"/>
        <v>216752.68578794031</v>
      </c>
      <c r="E37" s="53">
        <f t="shared" si="4"/>
        <v>0.38534196148706429</v>
      </c>
      <c r="F37" s="55">
        <f t="shared" si="5"/>
        <v>36125.447631323383</v>
      </c>
      <c r="G37" s="53">
        <f t="shared" si="6"/>
        <v>0.16055915061961012</v>
      </c>
      <c r="H37" s="55">
        <f t="shared" si="7"/>
        <v>39737.992394455723</v>
      </c>
      <c r="I37" s="53">
        <f t="shared" si="8"/>
        <v>0.3532301313631423</v>
      </c>
      <c r="J37" s="55">
        <f t="shared" si="9"/>
        <v>231202.86484046967</v>
      </c>
      <c r="K37" s="53">
        <f t="shared" si="10"/>
        <v>1.0275785639655048</v>
      </c>
      <c r="L37" s="54">
        <f>J37+H37+F37+D37+B37</f>
        <v>1246327.9432806568</v>
      </c>
      <c r="M37" s="55"/>
      <c r="N37" s="51">
        <f t="shared" si="21"/>
        <v>0.83089360445648242</v>
      </c>
      <c r="O37" s="43">
        <f t="shared" si="12"/>
        <v>253659.59331527632</v>
      </c>
      <c r="P37" s="45">
        <f t="shared" si="13"/>
        <v>1246340.4066847237</v>
      </c>
      <c r="R37" s="11" t="s">
        <v>73</v>
      </c>
      <c r="S37" s="11" t="s">
        <v>71</v>
      </c>
      <c r="T37" s="11" t="s">
        <v>72</v>
      </c>
      <c r="U37" s="11" t="s">
        <v>74</v>
      </c>
      <c r="V37" s="11" t="s">
        <v>75</v>
      </c>
      <c r="W37" s="72" t="s">
        <v>76</v>
      </c>
      <c r="X37" s="72" t="s">
        <v>79</v>
      </c>
      <c r="Y37" s="64">
        <f t="shared" si="22"/>
        <v>10976000280.555107</v>
      </c>
      <c r="Z37" s="11" t="s">
        <v>73</v>
      </c>
      <c r="AA37" s="11" t="s">
        <v>71</v>
      </c>
      <c r="AB37" s="11" t="s">
        <v>72</v>
      </c>
      <c r="AC37" s="11" t="s">
        <v>74</v>
      </c>
      <c r="AD37" s="11" t="s">
        <v>75</v>
      </c>
      <c r="AE37" s="145" t="s">
        <v>76</v>
      </c>
      <c r="AF37" s="64">
        <f t="shared" si="16"/>
        <v>1719235415.4041028</v>
      </c>
      <c r="AG37" s="11" t="s">
        <v>73</v>
      </c>
      <c r="AH37" s="11" t="s">
        <v>71</v>
      </c>
      <c r="AI37" s="11" t="s">
        <v>72</v>
      </c>
      <c r="AJ37" s="11" t="s">
        <v>74</v>
      </c>
      <c r="AK37" s="11" t="s">
        <v>75</v>
      </c>
      <c r="AL37" s="64">
        <f t="shared" si="17"/>
        <v>62262539.986596614</v>
      </c>
      <c r="AM37" s="11" t="s">
        <v>73</v>
      </c>
      <c r="AN37" s="11" t="s">
        <v>71</v>
      </c>
      <c r="AO37" s="11" t="s">
        <v>72</v>
      </c>
      <c r="AP37" s="11" t="s">
        <v>74</v>
      </c>
      <c r="AQ37" s="11" t="s">
        <v>75</v>
      </c>
      <c r="AR37" s="64">
        <f t="shared" si="18"/>
        <v>298055615.11880803</v>
      </c>
      <c r="AS37" s="11" t="s">
        <v>73</v>
      </c>
      <c r="AT37" s="11" t="s">
        <v>71</v>
      </c>
      <c r="AU37" s="11" t="s">
        <v>72</v>
      </c>
      <c r="AV37" s="11" t="s">
        <v>74</v>
      </c>
      <c r="AW37" s="11" t="s">
        <v>75</v>
      </c>
      <c r="AX37" s="64">
        <f t="shared" si="19"/>
        <v>495861145.30289018</v>
      </c>
      <c r="AY37" s="48">
        <f t="shared" si="20"/>
        <v>10873.018864597454</v>
      </c>
      <c r="AZ37" s="14">
        <f t="shared" si="14"/>
        <v>13551414996.367506</v>
      </c>
      <c r="BA37" s="65">
        <f t="shared" si="15"/>
        <v>-1154018.8950784479</v>
      </c>
    </row>
    <row r="38" spans="2:53" x14ac:dyDescent="0.25">
      <c r="B38" s="131">
        <f>shortage_dist_sf*base_use_sf</f>
        <v>802787.72514051944</v>
      </c>
      <c r="C38" s="130">
        <f>Total_adjusted_shortage/(size_sf+cutratio_mf*size_mf+cutratio_ind*size_ind+cutratio_com*size_com+cutratio_lndscp*size_lndscp)</f>
        <v>0.7135962249760448</v>
      </c>
      <c r="D38" s="144">
        <f>shortage_dist_mf*base_use_mf</f>
        <v>240836.31754215583</v>
      </c>
      <c r="E38" s="99">
        <f>shortage_dist_sf*cutratio_mf</f>
        <v>0.42815773498562687</v>
      </c>
      <c r="F38" s="100">
        <f>shortage_dist_ind*base_use_ind</f>
        <v>40139.386257025973</v>
      </c>
      <c r="G38" s="99">
        <f>shortage_dist_sf*cutratio_ind</f>
        <v>0.1783990562440112</v>
      </c>
      <c r="H38" s="100">
        <f>shortage_dist_comm*base_use_comm</f>
        <v>44153.324882728572</v>
      </c>
      <c r="I38" s="99">
        <f>shortage_dist_sf*cutratio_com</f>
        <v>0.39247792373682466</v>
      </c>
      <c r="J38" s="100">
        <f>shortage_dist_lndscp*base_use_lndscp</f>
        <v>256892.07204496622</v>
      </c>
      <c r="K38" s="99">
        <f>shortage_dist_sf*cutratio_lndscp</f>
        <v>1.1417539599616717</v>
      </c>
      <c r="L38" s="78">
        <f>J38+H38+F38+D38+B38</f>
        <v>1384808.8258673961</v>
      </c>
      <c r="M38" s="77"/>
      <c r="N38" s="52">
        <f>H13</f>
        <v>0.92321511606275797</v>
      </c>
      <c r="O38" s="44">
        <f t="shared" si="12"/>
        <v>115177.32590586296</v>
      </c>
      <c r="P38" s="46">
        <f>base_use_total-O38</f>
        <v>1384822.674094137</v>
      </c>
      <c r="Q38" s="143">
        <f>((R38*S38)/T38)-((elasticity_sf*(base_use_sf-shortage_af_SF)*EXP((LN((base_use_sf-shortage_af_SF)/coeff_sf))/elasticity_sf))/(elasticity_sf + 1))</f>
        <v>26986998787.962753</v>
      </c>
      <c r="R38" s="142">
        <f>elasticity_sf*base_use_sf</f>
        <v>-224997.75</v>
      </c>
      <c r="S38" s="142">
        <f>EXP((LN(base_use_sf/coeff_sf))/elasticity_sf)</f>
        <v>650.00000000000057</v>
      </c>
      <c r="T38" s="11">
        <f>elasticity_sf + 1</f>
        <v>0.8</v>
      </c>
      <c r="U38" s="11">
        <f>(R38*S38)/T38</f>
        <v>-182810671.87500015</v>
      </c>
      <c r="V38" s="11">
        <f>elasticity_sf*(base_use_sf-shortage_af_SF)</f>
        <v>-64440.204971896113</v>
      </c>
      <c r="Y38" s="150">
        <f>IF(shortage_SF&lt;=lowerbound_SF,((elasticity_sf*base_use_sf*EXP((LN(base_use_sf/coeff_sf))/elasticity_sf))/(elasticity_sf + 1))-((elasticity_sf*(base_use_sf*(1-lowerbound_SF)*EXP((LN((base_use_sf*(1-lowerbound_SF)/coeff_sf))/elasticity_sf))/(elasticity_sf + 1)))), IF(shortage_SF&gt;=upperbound_SF,((elasticity_sf*base_use_sf*EXP((LN(base_use_sf/coeff_sf))/elasticity_sf))/(elasticity_sf + 1))-((elasticity_sf*(base_use_sf*(1-upperbound_SF))*EXP((LN((base_use_sf*(1-upperbound_SF))/coeff_sf))/elasticity_sf))/(elasticity_sf + 1)), ((elasticity_sf*base_use_sf*EXP((LN(base_use_sf/coeff_sf))/elasticity_sf))/(elasticity_sf + 1))-((elasticity_sf*(base_use_sf-shortage_af_SF)*EXP((LN((base_use_sf-shortage_af_SF)/coeff_sf))/elasticity_sf))/(elasticity_sf + 1))))</f>
        <v>22386408078.124992</v>
      </c>
      <c r="Z38">
        <f>elasticity_mf*base_use_mf</f>
        <v>-67499.324999999997</v>
      </c>
      <c r="AA38">
        <f>EXP((LN(base_use_mf/coeff_mf))/elasticity_mf)</f>
        <v>650.00000000000114</v>
      </c>
      <c r="AB38">
        <f>elasticity_mf + 1</f>
        <v>0.88</v>
      </c>
      <c r="AC38" s="11">
        <f>(Z38*AA38)/AB38</f>
        <v>-49857455.965909176</v>
      </c>
      <c r="AD38">
        <f>elasticity_mf*(base_use_mf-shortage_af_MF)</f>
        <v>-38598.966894941295</v>
      </c>
      <c r="AE38">
        <f>LN((base_use_mf-shortage_af_MF)/coeff_mf)</f>
        <v>-1.3361287696423922</v>
      </c>
      <c r="AF38" s="146">
        <f>IF(shortage_MF&lt;=lowerbound_MF,((elasticity_mf*base_use_mf*EXP((LN(base_use_mf/coeff_mf))/elasticity_mf))/(elasticity_mf + 1))-((elasticity_mf*(base_use_mf*(1-lowerbound_MF)*EXP((LN((base_use_mf*(1-lowerbound_MF)/coeff_mf))/elasticity_mf))/(elasticity_mf + 1)))), IF(shortage_MF&gt;=upperbound_MF,((elasticity_mf*base_use_mf*EXP((LN(base_use_mf/coeff_mf))/elasticity_mf))/(elasticity_mf + 1))-((elasticity_mf*(base_use_mf*(1-upperbound_MF))*EXP((LN((base_use_mf*(1-upperbound_MF))/coeff_mf))/elasticity_mf))/(elasticity_mf + 1)), ((elasticity_mf*base_use_mf*EXP((LN(base_use_mf/coeff_mf))/elasticity_mf))/(elasticity_mf + 1))-((elasticity_mf*(base_use_mf-shortage_af_MF)*EXP((AE38)/elasticity_mf))/(elasticity_mf + 1))))</f>
        <v>2954172599.3942294</v>
      </c>
      <c r="AG38">
        <f>elasticity_ind*base_use_ind</f>
        <v>-22499.775000000001</v>
      </c>
      <c r="AH38">
        <f>EXP((LN(base_use_ind/coeff_ind))/elasticity_ind)</f>
        <v>649.99999999999932</v>
      </c>
      <c r="AI38">
        <f>elasticity_ind + 1</f>
        <v>0.9</v>
      </c>
      <c r="AJ38" s="11">
        <f>(AG38*AH38)/AI38</f>
        <v>-16249837.499999983</v>
      </c>
      <c r="AK38">
        <f>elasticity_ind*(base_use_ind-shortage_af_IND)</f>
        <v>-18485.836374297403</v>
      </c>
      <c r="AL38" s="64">
        <f>IF(shortage_IND&lt;=lowerbound_IND,((elasticity_ind*base_use_ind*EXP((LN(base_use_ind/coeff_ind))/elasticity_ind))/(elasticity_ind + 1))-((elasticity_ind*(base_use_ind*(1-lowerbound_IND)*EXP((LN((base_use_ind*(1-lowerbound_IND)/coeff_ind))/elasticity_ind))/(elasticity_ind + 1)))), IF(shortage_IND&gt;=upperbound_IND,((elasticity_ind*base_use_ind*EXP((LN(base_use_ind/coeff_ind))/elasticity_ind))/(elasticity_ind + 1))-((elasticity_ind*(base_use_ind*(1-upperbound_IND))*EXP((LN((base_use_ind*(1-upperbound_IND))/coeff_ind))/elasticity_ind))/(elasticity_ind + 1)), ((elasticity_ind*base_use_ind*EXP((LN(base_use_ind/coeff_ind))/elasticity_ind))/(elasticity_ind + 1))-((elasticity_ind*(base_use_ind-shortage_af_IND)*EXP((LN((base_use_ind-shortage_af_IND)/coeff_ind))/elasticity_ind))/(elasticity_ind + 1))))</f>
        <v>79007986.647711307</v>
      </c>
      <c r="AM38">
        <f>elasticity_comm*base_use_comm</f>
        <v>-12374.876249999999</v>
      </c>
      <c r="AN38">
        <f>EXP((LN(base_use_comm/coeff_comm))/elasticity_comm)</f>
        <v>650.00000000000057</v>
      </c>
      <c r="AO38">
        <f>elasticity_comm + 1</f>
        <v>0.89</v>
      </c>
      <c r="AP38" s="11">
        <f>(AM38*AN38)/AO38</f>
        <v>-9037830.969101131</v>
      </c>
      <c r="AQ38">
        <f>elasticity_comm*(base_use_comm-shortage_af_COM)</f>
        <v>-7518.0105128998575</v>
      </c>
      <c r="AR38" s="64">
        <f>IF(shortage_COM&lt;=lowerbound_COM,((elasticity_comm*base_use_comm*EXP((LN(base_use_comm/coeff_comm))/elasticity_comm))/(elasticity_comm + 1))-((elasticity_comm*(base_use_comm*(1-lowerbound_COM)*EXP((LN((base_use_comm*(1-lowerbound_COM)/coeff_comm))/elasticity_comm))/(elasticity_comm + 1)))), IF(shortage_COM&gt;=upperbound_COM,((elasticity_comm*base_use_comm*EXP((LN(base_use_comm/coeff_comm))/elasticity_comm))/(elasticity_comm + 1))-((elasticity_comm*(base_use_comm*(1-upperbound_COM))*EXP((LN((base_use_comm*(1-upperbound_COM))/coeff_comm))/elasticity_comm))/(elasticity_comm + 1)), ((elasticity_comm*base_use_comm*EXP((LN(base_use_comm/coeff_comm))/elasticity_comm))/(elasticity_comm + 1))-((elasticity_comm*(base_use_comm-shortage_af_COM)*EXP((LN((base_use_comm-shortage_af_COM)/coeff_comm))/elasticity_comm))/(elasticity_comm + 1))))</f>
        <v>500579135.4492389</v>
      </c>
      <c r="AS38">
        <f>elasticity_lndscp*base_use_lndscp</f>
        <v>-89999.1</v>
      </c>
      <c r="AT38">
        <f>EXP((LN(base_use_lndscp/coeff_lndscp))/elasticity_lndscp)</f>
        <v>650.00000000000057</v>
      </c>
      <c r="AU38">
        <f>elasticity_lndscp + 1</f>
        <v>0.6</v>
      </c>
      <c r="AV38" s="11">
        <f>(AS38*AT38)/AU38</f>
        <v>-97499025.000000089</v>
      </c>
      <c r="AW38">
        <f>elasticity_lndscp*(base_use_lndscp-shortage_af_LNDSCP)</f>
        <v>12757.728817986488</v>
      </c>
      <c r="AX38" s="64">
        <f>IF(shortage_LNDSCP&lt;=$U$14,((elasticity_lndscp*base_use_lndscp*EXP((LN(base_use_lndscp/coeff_lndscp))/elasticity_lndscp))/(elasticity_lndscp + 1))-((elasticity_lndscp*(base_use_lndscp*(1-low_bound_lndscp)*EXP((LN((base_use_lndscp*(1-low_bound_lndscp)/coeff_lndscp))/elasticity_lndscp))/(elasticity_lndscp + 1)))), IF(shortage_LNDSCP&gt;=upperbound_LNDSCP,((elasticity_lndscp*base_use_lndscp*EXP((LN(base_use_lndscp/coeff_lndscp))/elasticity_lndscp))/(elasticity_lndscp + 1))-((elasticity_lndscp*(base_use_lndscp*(1-upperbound_LNDSCP))*EXP((LN((base_use_lndscp*(1-upperbound_LNDSCP))/coeff_lndscp))/elasticity_lndscp))/(elasticity_lndscp + 1)), ((elasticity_lndscp*base_use_lndscp*EXP((LN(base_use_lndscp/coeff_lndscp))/elasticity_lndscp))/(elasticity_lndscp + 1))-((elasticity_lndscp*(base_use_lndscp-shortage_af_LNDSCP)*EXP((LN((base_use_lndscp-shortage_af_LNDSCP)/coeff_lndscp))/elasticity_lndscp))/(elasticity_lndscp + 1))))</f>
        <v>495861145.30289018</v>
      </c>
      <c r="AY38" s="48">
        <f t="shared" si="20"/>
        <v>19075.482745570349</v>
      </c>
      <c r="AZ38" s="146">
        <f t="shared" si="14"/>
        <v>26416028944.919064</v>
      </c>
      <c r="BA38" s="65">
        <f t="shared" si="15"/>
        <v>-1292501.1624878612</v>
      </c>
    </row>
    <row r="39" spans="2:53" x14ac:dyDescent="0.25">
      <c r="B39" s="62"/>
      <c r="C39" s="79" t="s">
        <v>60</v>
      </c>
      <c r="D39" s="9"/>
      <c r="E39" s="79"/>
      <c r="F39" s="9"/>
      <c r="G39" s="9"/>
      <c r="H39" s="9"/>
      <c r="I39" s="9"/>
      <c r="J39" s="9"/>
      <c r="K39" s="9"/>
      <c r="L39" s="28"/>
      <c r="Q39" s="42"/>
      <c r="R39" s="142">
        <f>elasticity_sf*base_use_sf</f>
        <v>-224997.75</v>
      </c>
      <c r="S39" s="142">
        <f>EXP((LN(base_use_sf/coeff_sf))/elasticity_sf)</f>
        <v>650.00000000000057</v>
      </c>
      <c r="T39" s="11">
        <f>elasticity_sf + 1</f>
        <v>0.8</v>
      </c>
      <c r="U39" s="11">
        <f>(R39*S39)/T39</f>
        <v>-182810671.87500015</v>
      </c>
      <c r="V39" s="149">
        <f>elasticity_sf*(base_use_sf*(1-upperbound_SF))</f>
        <v>-67499.325000000012</v>
      </c>
      <c r="W39" s="149">
        <f>LN((base_use_sf*(1-upperbound_SF))/coeff_sf)</f>
        <v>-2.4993672769038726</v>
      </c>
      <c r="X39" s="149">
        <f>EXP((W39/elasticity_sf)/(elasticity_sf+1))</f>
        <v>6083224.6331954384</v>
      </c>
      <c r="Y39" s="146">
        <f>U39-(V39*X39)</f>
        <v>410430745892.18976</v>
      </c>
      <c r="Z39" s="11"/>
      <c r="AA39" s="11"/>
      <c r="AB39" s="42"/>
      <c r="AC39" s="49"/>
      <c r="AD39" s="18"/>
      <c r="AF39">
        <v>319933590.67021275</v>
      </c>
    </row>
    <row r="40" spans="2:53" x14ac:dyDescent="0.25">
      <c r="B40" s="19"/>
      <c r="C40" s="63">
        <f>C38/$C$38</f>
        <v>1</v>
      </c>
      <c r="D40" s="8"/>
      <c r="E40" s="63">
        <f>E38/$C$38</f>
        <v>0.6</v>
      </c>
      <c r="F40" s="8"/>
      <c r="G40" s="63">
        <f>G38/$C$38</f>
        <v>0.25</v>
      </c>
      <c r="H40" s="8"/>
      <c r="I40" s="63">
        <f>I38/$C$38</f>
        <v>0.55000000000000004</v>
      </c>
      <c r="J40" s="8"/>
      <c r="K40" s="63">
        <f>K38/$C$38</f>
        <v>1.6</v>
      </c>
      <c r="L40" s="47"/>
      <c r="Q40" s="42"/>
      <c r="R40" s="42"/>
      <c r="S40" s="42"/>
      <c r="T40" s="42"/>
      <c r="U40" s="42"/>
      <c r="Y40" s="149"/>
      <c r="Z40" s="11"/>
      <c r="AA40" s="11"/>
      <c r="AB40" s="42"/>
      <c r="AC40" s="11"/>
    </row>
    <row r="41" spans="2:53" ht="14.1" customHeight="1" x14ac:dyDescent="0.25">
      <c r="C41" s="96"/>
      <c r="D41" s="96"/>
      <c r="E41" s="96"/>
      <c r="F41" s="96"/>
      <c r="G41" s="96"/>
      <c r="H41" s="96"/>
      <c r="I41" s="96"/>
      <c r="J41" s="96"/>
      <c r="K41" s="96"/>
      <c r="Q41" s="42"/>
      <c r="R41" s="42"/>
      <c r="S41" s="42"/>
      <c r="T41" s="42"/>
      <c r="U41" s="42"/>
      <c r="AC41" s="42"/>
    </row>
    <row r="42" spans="2:53" x14ac:dyDescent="0.25">
      <c r="B42" s="74" t="s">
        <v>61</v>
      </c>
      <c r="C42" s="96"/>
      <c r="E42" s="96"/>
      <c r="G42" s="96"/>
      <c r="I42" s="96"/>
      <c r="K42" s="96"/>
      <c r="N42" t="s">
        <v>62</v>
      </c>
      <c r="Q42" s="42" t="s">
        <v>63</v>
      </c>
      <c r="R42" s="42"/>
      <c r="S42" s="42"/>
      <c r="T42" s="42"/>
      <c r="U42" s="42"/>
      <c r="AC42" s="42"/>
    </row>
    <row r="43" spans="2:53" ht="27" customHeight="1" x14ac:dyDescent="0.25">
      <c r="B43" s="56" t="s">
        <v>38</v>
      </c>
      <c r="C43" s="57" t="s">
        <v>39</v>
      </c>
      <c r="D43" s="58" t="s">
        <v>40</v>
      </c>
      <c r="E43" s="57" t="s">
        <v>41</v>
      </c>
      <c r="F43" s="58" t="s">
        <v>42</v>
      </c>
      <c r="G43" s="57" t="s">
        <v>43</v>
      </c>
      <c r="H43" s="58" t="s">
        <v>44</v>
      </c>
      <c r="I43" s="57" t="s">
        <v>45</v>
      </c>
      <c r="J43" s="61" t="s">
        <v>46</v>
      </c>
      <c r="K43" s="57" t="s">
        <v>47</v>
      </c>
      <c r="L43" s="59" t="s">
        <v>48</v>
      </c>
      <c r="N43" s="36" t="s">
        <v>49</v>
      </c>
      <c r="O43" s="36" t="s">
        <v>50</v>
      </c>
      <c r="P43" s="36" t="s">
        <v>51</v>
      </c>
      <c r="Q43" s="11" t="s">
        <v>21</v>
      </c>
      <c r="R43" s="11" t="s">
        <v>21</v>
      </c>
      <c r="S43" s="11" t="s">
        <v>21</v>
      </c>
      <c r="T43" s="11" t="s">
        <v>21</v>
      </c>
      <c r="U43" s="11" t="s">
        <v>21</v>
      </c>
      <c r="V43" s="40"/>
      <c r="W43" s="40"/>
      <c r="X43" s="40"/>
      <c r="Y43" s="17"/>
      <c r="Z43" s="17"/>
      <c r="AA43" s="17"/>
      <c r="AB43" s="17"/>
      <c r="AC43" s="42"/>
      <c r="AD43" s="17"/>
    </row>
    <row r="44" spans="2:53" x14ac:dyDescent="0.25">
      <c r="B44" s="55">
        <f t="shared" ref="B44:B61" si="23">C44*base_use_sf</f>
        <v>0</v>
      </c>
      <c r="C44" s="53">
        <f t="shared" ref="C44:C61" si="24">N44/(size_sf+cutratio_mf*size_mf+cutratio_ind*size_ind+cutratio_com*size_com+cutratio_lndscp*size_lndscp)</f>
        <v>0</v>
      </c>
      <c r="D44" s="55">
        <f t="shared" ref="D44:D62" si="25">E44*base_use_mf</f>
        <v>0</v>
      </c>
      <c r="E44" s="53">
        <f t="shared" ref="E44:E62" si="26">C44*cutratio_mf</f>
        <v>0</v>
      </c>
      <c r="F44" s="55">
        <f t="shared" ref="F44:F62" si="27">G44*base_use_ind</f>
        <v>0</v>
      </c>
      <c r="G44" s="53">
        <f t="shared" ref="G44:G62" si="28">C44*cutratio_ind</f>
        <v>0</v>
      </c>
      <c r="H44" s="55">
        <f t="shared" ref="H44:H62" si="29">I44*base_use_comm</f>
        <v>0</v>
      </c>
      <c r="I44" s="53">
        <f t="shared" ref="I44:I62" si="30">C44*cutratio_com</f>
        <v>0</v>
      </c>
      <c r="J44" s="55">
        <f t="shared" ref="J44:J62" si="31">K44*base_use_lndscp</f>
        <v>0</v>
      </c>
      <c r="K44" s="53">
        <f t="shared" ref="K44:K60" si="32">C44*cutratio_lndscp</f>
        <v>0</v>
      </c>
      <c r="L44" s="55">
        <f t="shared" ref="L44:L61" si="33">J44+H44+F44+D44+B44</f>
        <v>0</v>
      </c>
      <c r="N44" s="51">
        <f>0</f>
        <v>0</v>
      </c>
      <c r="O44" s="43">
        <f t="shared" ref="O44" si="34">base_use_total-(N44*base_use_total)</f>
        <v>1500000</v>
      </c>
      <c r="P44" s="45">
        <f t="shared" ref="P44:P62" si="35">base_use_total-O44</f>
        <v>0</v>
      </c>
      <c r="Q44" s="50"/>
      <c r="R44" s="50"/>
      <c r="S44" s="50"/>
      <c r="T44" s="50"/>
      <c r="U44" s="50"/>
      <c r="V44" s="41"/>
      <c r="W44" s="41"/>
      <c r="X44" s="41"/>
      <c r="Y44" s="6"/>
      <c r="Z44" s="6"/>
      <c r="AA44" s="6"/>
      <c r="AB44" s="6"/>
      <c r="AC44" s="42"/>
      <c r="AD44" s="6"/>
      <c r="AM44" s="10"/>
    </row>
    <row r="45" spans="2:53" x14ac:dyDescent="0.25">
      <c r="B45" s="60">
        <f t="shared" si="23"/>
        <v>40139.185560652171</v>
      </c>
      <c r="C45" s="53">
        <f t="shared" si="24"/>
        <v>3.5679632850241547E-2</v>
      </c>
      <c r="D45" s="55">
        <f t="shared" si="25"/>
        <v>12041.755668195652</v>
      </c>
      <c r="E45" s="53">
        <f t="shared" si="26"/>
        <v>2.1407779710144927E-2</v>
      </c>
      <c r="F45" s="55">
        <f t="shared" si="27"/>
        <v>2006.9592780326088</v>
      </c>
      <c r="G45" s="53">
        <f t="shared" si="28"/>
        <v>8.9199082125603867E-3</v>
      </c>
      <c r="H45" s="55">
        <f t="shared" si="29"/>
        <v>2207.6552058358698</v>
      </c>
      <c r="I45" s="53">
        <f t="shared" si="30"/>
        <v>1.9623798067632852E-2</v>
      </c>
      <c r="J45" s="55">
        <f t="shared" si="31"/>
        <v>12844.539379408696</v>
      </c>
      <c r="K45" s="53">
        <f t="shared" si="32"/>
        <v>5.7087412560386477E-2</v>
      </c>
      <c r="L45" s="54">
        <f t="shared" si="33"/>
        <v>69240.095092125004</v>
      </c>
      <c r="N45" s="51">
        <f t="shared" ref="N45:N61" si="36">($N$63/20)+N44</f>
        <v>4.6160525000000001E-2</v>
      </c>
      <c r="O45" s="43">
        <f>base_use_total-(N45*base_use_total)</f>
        <v>1430759.2124999999</v>
      </c>
      <c r="P45" s="45">
        <f t="shared" si="35"/>
        <v>69240.787500000093</v>
      </c>
      <c r="Q45" s="50">
        <f t="shared" ref="Q45:Q63" si="37">Y20/B45</f>
        <v>712.39458227774355</v>
      </c>
      <c r="R45" s="50">
        <f t="shared" ref="R45:R63" si="38">AF20/D45</f>
        <v>712.06923340641492</v>
      </c>
      <c r="S45" s="50">
        <f t="shared" ref="S45:S63" si="39">AL20/F45</f>
        <v>679.96737615072243</v>
      </c>
      <c r="T45" s="50">
        <f t="shared" ref="T45:T63" si="40">AR20/H45</f>
        <v>712.02891827626274</v>
      </c>
      <c r="U45" s="50">
        <f t="shared" ref="U45:U63" si="41">AX20/J45</f>
        <v>699.68820216072356</v>
      </c>
      <c r="V45" s="41"/>
      <c r="W45" s="41"/>
      <c r="X45" s="41"/>
      <c r="Y45" s="6"/>
      <c r="Z45" s="6"/>
      <c r="AA45" s="6"/>
      <c r="AB45" s="6"/>
      <c r="AC45" s="42"/>
      <c r="AD45" s="6"/>
    </row>
    <row r="46" spans="2:53" x14ac:dyDescent="0.25">
      <c r="B46" s="60">
        <f t="shared" si="23"/>
        <v>80278.371121304343</v>
      </c>
      <c r="C46" s="53">
        <f t="shared" si="24"/>
        <v>7.1359265700483093E-2</v>
      </c>
      <c r="D46" s="55">
        <f t="shared" si="25"/>
        <v>24083.511336391304</v>
      </c>
      <c r="E46" s="53">
        <f t="shared" si="26"/>
        <v>4.2815559420289855E-2</v>
      </c>
      <c r="F46" s="55">
        <f t="shared" si="27"/>
        <v>4013.9185560652177</v>
      </c>
      <c r="G46" s="53">
        <f t="shared" si="28"/>
        <v>1.7839816425120773E-2</v>
      </c>
      <c r="H46" s="55">
        <f t="shared" si="29"/>
        <v>4415.3104116717395</v>
      </c>
      <c r="I46" s="53">
        <f t="shared" si="30"/>
        <v>3.9247596135265704E-2</v>
      </c>
      <c r="J46" s="55">
        <f t="shared" si="31"/>
        <v>25689.078758817392</v>
      </c>
      <c r="K46" s="53">
        <f t="shared" si="32"/>
        <v>0.11417482512077295</v>
      </c>
      <c r="L46" s="54">
        <f t="shared" si="33"/>
        <v>138480.19018425001</v>
      </c>
      <c r="N46" s="51">
        <f t="shared" si="36"/>
        <v>9.2321050000000002E-2</v>
      </c>
      <c r="O46" s="43">
        <f t="shared" ref="O46:O63" si="42">base_use_total-(N46*base_use_total)</f>
        <v>1361518.425</v>
      </c>
      <c r="P46" s="45">
        <f t="shared" si="35"/>
        <v>138481.57499999995</v>
      </c>
      <c r="Q46" s="50">
        <f t="shared" si="37"/>
        <v>784.84373341137064</v>
      </c>
      <c r="R46" s="50">
        <f t="shared" si="38"/>
        <v>783.29979581398436</v>
      </c>
      <c r="S46" s="50">
        <f t="shared" si="39"/>
        <v>711.98868079739157</v>
      </c>
      <c r="T46" s="50">
        <f t="shared" si="40"/>
        <v>783.11043245154542</v>
      </c>
      <c r="U46" s="50">
        <f t="shared" si="41"/>
        <v>756.94302140153002</v>
      </c>
      <c r="V46" s="41"/>
      <c r="W46" s="41"/>
      <c r="X46" s="41"/>
      <c r="Y46" s="6"/>
      <c r="Z46" s="6"/>
      <c r="AA46" s="6"/>
      <c r="AB46" s="6"/>
      <c r="AC46" s="42"/>
      <c r="AD46" s="6"/>
    </row>
    <row r="47" spans="2:53" x14ac:dyDescent="0.25">
      <c r="B47" s="60">
        <f t="shared" si="23"/>
        <v>120417.55668195653</v>
      </c>
      <c r="C47" s="53">
        <f t="shared" si="24"/>
        <v>0.10703889855072464</v>
      </c>
      <c r="D47" s="55">
        <f t="shared" si="25"/>
        <v>36125.267004586953</v>
      </c>
      <c r="E47" s="53">
        <f t="shared" si="26"/>
        <v>6.4223339130434778E-2</v>
      </c>
      <c r="F47" s="55">
        <f t="shared" si="27"/>
        <v>6020.8778340978261</v>
      </c>
      <c r="G47" s="53">
        <f t="shared" si="28"/>
        <v>2.675972463768116E-2</v>
      </c>
      <c r="H47" s="55">
        <f t="shared" si="29"/>
        <v>6622.9656175076097</v>
      </c>
      <c r="I47" s="53">
        <f t="shared" si="30"/>
        <v>5.887139420289856E-2</v>
      </c>
      <c r="J47" s="55">
        <f t="shared" si="31"/>
        <v>38533.618138226091</v>
      </c>
      <c r="K47" s="53">
        <f t="shared" si="32"/>
        <v>0.17126223768115945</v>
      </c>
      <c r="L47" s="54">
        <f t="shared" si="33"/>
        <v>207720.28527637501</v>
      </c>
      <c r="N47" s="51">
        <f t="shared" si="36"/>
        <v>0.138481575</v>
      </c>
      <c r="O47" s="43">
        <f t="shared" si="42"/>
        <v>1292277.6375</v>
      </c>
      <c r="P47" s="45">
        <f t="shared" si="35"/>
        <v>207722.36250000005</v>
      </c>
      <c r="Q47" s="50">
        <f t="shared" si="37"/>
        <v>869.57599316623975</v>
      </c>
      <c r="R47" s="50">
        <f t="shared" si="38"/>
        <v>865.42927035570744</v>
      </c>
      <c r="S47" s="50">
        <f t="shared" si="39"/>
        <v>746.24255517164227</v>
      </c>
      <c r="T47" s="50">
        <f t="shared" si="40"/>
        <v>864.92672954913303</v>
      </c>
      <c r="U47" s="50">
        <f t="shared" si="41"/>
        <v>823.55408717748935</v>
      </c>
      <c r="V47" s="41"/>
      <c r="W47" s="41"/>
      <c r="X47" s="41"/>
      <c r="Y47" s="6"/>
      <c r="Z47" s="6"/>
      <c r="AA47" s="6"/>
      <c r="AB47" s="6"/>
      <c r="AC47" s="42"/>
      <c r="AD47" s="6"/>
    </row>
    <row r="48" spans="2:53" x14ac:dyDescent="0.25">
      <c r="B48" s="60">
        <f t="shared" si="23"/>
        <v>160556.74224260869</v>
      </c>
      <c r="C48" s="53">
        <f t="shared" si="24"/>
        <v>0.14271853140096619</v>
      </c>
      <c r="D48" s="55">
        <f t="shared" si="25"/>
        <v>48167.022672782608</v>
      </c>
      <c r="E48" s="53">
        <f t="shared" si="26"/>
        <v>8.5631118840579709E-2</v>
      </c>
      <c r="F48" s="55">
        <f t="shared" si="27"/>
        <v>8027.8371121304353</v>
      </c>
      <c r="G48" s="53">
        <f t="shared" si="28"/>
        <v>3.5679632850241547E-2</v>
      </c>
      <c r="H48" s="55">
        <f t="shared" si="29"/>
        <v>8830.6208233434791</v>
      </c>
      <c r="I48" s="53">
        <f t="shared" si="30"/>
        <v>7.8495192270531408E-2</v>
      </c>
      <c r="J48" s="55">
        <f t="shared" si="31"/>
        <v>51378.157517634783</v>
      </c>
      <c r="K48" s="53">
        <f t="shared" si="32"/>
        <v>0.22834965024154591</v>
      </c>
      <c r="L48" s="54">
        <f t="shared" si="33"/>
        <v>276960.38036850002</v>
      </c>
      <c r="N48" s="51">
        <f t="shared" si="36"/>
        <v>0.1846421</v>
      </c>
      <c r="O48" s="43">
        <f t="shared" si="42"/>
        <v>1223036.8500000001</v>
      </c>
      <c r="P48" s="45">
        <f t="shared" si="35"/>
        <v>276963.14999999991</v>
      </c>
      <c r="Q48" s="50">
        <f t="shared" si="37"/>
        <v>969.44422504109048</v>
      </c>
      <c r="R48" s="50">
        <f t="shared" si="38"/>
        <v>960.58640657076114</v>
      </c>
      <c r="S48" s="50">
        <f t="shared" si="39"/>
        <v>782.92185577381485</v>
      </c>
      <c r="T48" s="50">
        <f t="shared" si="40"/>
        <v>959.52776962593396</v>
      </c>
      <c r="U48" s="50">
        <f t="shared" si="41"/>
        <v>901.89889526966056</v>
      </c>
      <c r="V48" s="41"/>
      <c r="W48" s="41"/>
      <c r="X48" s="41"/>
      <c r="Y48" s="6"/>
      <c r="Z48" s="6"/>
      <c r="AA48" s="6"/>
      <c r="AB48" s="6"/>
      <c r="AC48" s="42"/>
      <c r="AD48" s="6"/>
    </row>
    <row r="49" spans="2:30" x14ac:dyDescent="0.25">
      <c r="B49" s="60">
        <f t="shared" si="23"/>
        <v>200695.92780326089</v>
      </c>
      <c r="C49" s="53">
        <f t="shared" si="24"/>
        <v>0.17839816425120775</v>
      </c>
      <c r="D49" s="55">
        <f t="shared" si="25"/>
        <v>60208.778340978264</v>
      </c>
      <c r="E49" s="53">
        <f t="shared" si="26"/>
        <v>0.10703889855072464</v>
      </c>
      <c r="F49" s="55">
        <f t="shared" si="27"/>
        <v>10034.796390163045</v>
      </c>
      <c r="G49" s="53">
        <f t="shared" si="28"/>
        <v>4.4599541062801937E-2</v>
      </c>
      <c r="H49" s="55">
        <f t="shared" si="29"/>
        <v>11038.276029179349</v>
      </c>
      <c r="I49" s="53">
        <f t="shared" si="30"/>
        <v>9.8118990338164264E-2</v>
      </c>
      <c r="J49" s="55">
        <f t="shared" si="31"/>
        <v>64222.69689704349</v>
      </c>
      <c r="K49" s="53">
        <f t="shared" si="32"/>
        <v>0.28543706280193243</v>
      </c>
      <c r="L49" s="54">
        <f t="shared" si="33"/>
        <v>346200.47546062502</v>
      </c>
      <c r="N49" s="51">
        <f t="shared" si="36"/>
        <v>0.23080262500000001</v>
      </c>
      <c r="O49" s="43">
        <f t="shared" si="42"/>
        <v>1153796.0625</v>
      </c>
      <c r="P49" s="45">
        <f t="shared" si="35"/>
        <v>346203.9375</v>
      </c>
      <c r="Q49" s="50">
        <f t="shared" si="37"/>
        <v>1088.1459787606268</v>
      </c>
      <c r="R49" s="50">
        <f t="shared" si="38"/>
        <v>1071.3987758230896</v>
      </c>
      <c r="S49" s="50">
        <f t="shared" si="39"/>
        <v>822.23887550144082</v>
      </c>
      <c r="T49" s="50">
        <f t="shared" si="40"/>
        <v>1069.4292746771034</v>
      </c>
      <c r="U49" s="50">
        <f t="shared" si="41"/>
        <v>995.20645844818057</v>
      </c>
      <c r="V49" s="41"/>
      <c r="W49" s="41"/>
      <c r="X49" s="41"/>
      <c r="Y49" s="6"/>
      <c r="Z49" s="6"/>
      <c r="AA49" s="6"/>
      <c r="AB49" s="6"/>
      <c r="AC49" s="42"/>
      <c r="AD49" s="6"/>
    </row>
    <row r="50" spans="2:30" x14ac:dyDescent="0.25">
      <c r="B50" s="60">
        <f t="shared" si="23"/>
        <v>240835.11336391306</v>
      </c>
      <c r="C50" s="53">
        <f t="shared" si="24"/>
        <v>0.21407779710144928</v>
      </c>
      <c r="D50" s="55">
        <f t="shared" si="25"/>
        <v>72250.534009173905</v>
      </c>
      <c r="E50" s="53">
        <f t="shared" si="26"/>
        <v>0.12844667826086956</v>
      </c>
      <c r="F50" s="55">
        <f t="shared" si="27"/>
        <v>12041.755668195652</v>
      </c>
      <c r="G50" s="53">
        <f t="shared" si="28"/>
        <v>5.351944927536232E-2</v>
      </c>
      <c r="H50" s="55">
        <f t="shared" si="29"/>
        <v>13245.931235015219</v>
      </c>
      <c r="I50" s="53">
        <f t="shared" si="30"/>
        <v>0.11774278840579712</v>
      </c>
      <c r="J50" s="55">
        <f t="shared" si="31"/>
        <v>77067.236276452182</v>
      </c>
      <c r="K50" s="53">
        <f t="shared" si="32"/>
        <v>0.34252447536231889</v>
      </c>
      <c r="L50" s="54">
        <f t="shared" si="33"/>
        <v>415440.57055275002</v>
      </c>
      <c r="N50" s="51">
        <f t="shared" si="36"/>
        <v>0.27696314999999999</v>
      </c>
      <c r="O50" s="43">
        <f t="shared" si="42"/>
        <v>1084555.2749999999</v>
      </c>
      <c r="P50" s="45">
        <f t="shared" si="35"/>
        <v>415444.72500000009</v>
      </c>
      <c r="Q50" s="50">
        <f t="shared" si="37"/>
        <v>1230.5306120166226</v>
      </c>
      <c r="R50" s="50">
        <f t="shared" si="38"/>
        <v>1201.1287371714836</v>
      </c>
      <c r="S50" s="50">
        <f t="shared" si="39"/>
        <v>864.42756241836139</v>
      </c>
      <c r="T50" s="50">
        <f t="shared" si="40"/>
        <v>1197.7349080409526</v>
      </c>
      <c r="U50" s="50">
        <f t="shared" si="41"/>
        <v>1107.9658891556285</v>
      </c>
      <c r="V50" s="41"/>
      <c r="W50" s="41"/>
      <c r="X50" s="41"/>
      <c r="Y50" s="6"/>
      <c r="Z50" s="6"/>
      <c r="AA50" s="6"/>
      <c r="AB50" s="6"/>
      <c r="AC50" s="42"/>
      <c r="AD50" s="6"/>
    </row>
    <row r="51" spans="2:30" x14ac:dyDescent="0.25">
      <c r="B51" s="60">
        <f t="shared" si="23"/>
        <v>280974.29892456526</v>
      </c>
      <c r="C51" s="53">
        <f t="shared" si="24"/>
        <v>0.24975742995169084</v>
      </c>
      <c r="D51" s="55">
        <f t="shared" si="25"/>
        <v>84292.289677369568</v>
      </c>
      <c r="E51" s="53">
        <f t="shared" si="26"/>
        <v>0.14985445797101449</v>
      </c>
      <c r="F51" s="55">
        <f t="shared" si="27"/>
        <v>14048.714946228261</v>
      </c>
      <c r="G51" s="53">
        <f t="shared" si="28"/>
        <v>6.243935748792271E-2</v>
      </c>
      <c r="H51" s="55">
        <f t="shared" si="29"/>
        <v>15453.58644085109</v>
      </c>
      <c r="I51" s="53">
        <f t="shared" si="30"/>
        <v>0.13736658647342997</v>
      </c>
      <c r="J51" s="55">
        <f t="shared" si="31"/>
        <v>89911.775655860882</v>
      </c>
      <c r="K51" s="53">
        <f t="shared" si="32"/>
        <v>0.39961188792270536</v>
      </c>
      <c r="L51" s="54">
        <f t="shared" si="33"/>
        <v>484680.66564487503</v>
      </c>
      <c r="N51" s="51">
        <f t="shared" si="36"/>
        <v>0.323123675</v>
      </c>
      <c r="O51" s="43">
        <f t="shared" si="42"/>
        <v>1015314.4875</v>
      </c>
      <c r="P51" s="45">
        <f t="shared" si="35"/>
        <v>484685.51249999995</v>
      </c>
      <c r="Q51" s="50">
        <f t="shared" si="37"/>
        <v>1403.0404484229243</v>
      </c>
      <c r="R51" s="50">
        <f t="shared" si="38"/>
        <v>1353.8517199646508</v>
      </c>
      <c r="S51" s="50">
        <f t="shared" si="39"/>
        <v>909.74602039343665</v>
      </c>
      <c r="T51" s="50">
        <f t="shared" si="40"/>
        <v>1348.2947994292874</v>
      </c>
      <c r="U51" s="50">
        <f t="shared" si="41"/>
        <v>1246.5901731886572</v>
      </c>
      <c r="V51" s="41"/>
      <c r="W51" s="41"/>
      <c r="X51" s="41"/>
      <c r="Y51" s="6"/>
      <c r="Z51" s="6"/>
      <c r="AA51" s="6"/>
      <c r="AB51" s="6"/>
      <c r="AC51" s="42"/>
      <c r="AD51" s="6"/>
    </row>
    <row r="52" spans="2:30" x14ac:dyDescent="0.25">
      <c r="B52" s="60">
        <f t="shared" si="23"/>
        <v>321113.48448521737</v>
      </c>
      <c r="C52" s="53">
        <f t="shared" si="24"/>
        <v>0.28543706280193237</v>
      </c>
      <c r="D52" s="55">
        <f t="shared" si="25"/>
        <v>96334.045345565217</v>
      </c>
      <c r="E52" s="53">
        <f t="shared" si="26"/>
        <v>0.17126223768115942</v>
      </c>
      <c r="F52" s="55">
        <f t="shared" si="27"/>
        <v>16055.674224260871</v>
      </c>
      <c r="G52" s="53">
        <f t="shared" si="28"/>
        <v>7.1359265700483093E-2</v>
      </c>
      <c r="H52" s="55">
        <f t="shared" si="29"/>
        <v>17661.241646686958</v>
      </c>
      <c r="I52" s="53">
        <f t="shared" si="30"/>
        <v>0.15699038454106282</v>
      </c>
      <c r="J52" s="55">
        <f t="shared" si="31"/>
        <v>102756.31503526957</v>
      </c>
      <c r="K52" s="53">
        <f t="shared" si="32"/>
        <v>0.45669930048309182</v>
      </c>
      <c r="L52" s="54">
        <f t="shared" si="33"/>
        <v>553920.76073700003</v>
      </c>
      <c r="N52" s="51">
        <f t="shared" si="36"/>
        <v>0.36928420000000001</v>
      </c>
      <c r="O52" s="43">
        <f t="shared" si="42"/>
        <v>946073.7</v>
      </c>
      <c r="P52" s="45">
        <f t="shared" si="35"/>
        <v>553926.30000000005</v>
      </c>
      <c r="Q52" s="50">
        <f t="shared" si="37"/>
        <v>1614.3551341735292</v>
      </c>
      <c r="R52" s="50">
        <f t="shared" si="38"/>
        <v>1534.6916746855584</v>
      </c>
      <c r="S52" s="50">
        <f t="shared" si="39"/>
        <v>958.47933098672775</v>
      </c>
      <c r="T52" s="50">
        <f t="shared" si="40"/>
        <v>1525.9125301041504</v>
      </c>
      <c r="U52" s="50">
        <f t="shared" si="41"/>
        <v>1420.539283614763</v>
      </c>
      <c r="V52" s="41"/>
      <c r="W52" s="41"/>
      <c r="X52" s="41"/>
      <c r="Y52" s="6"/>
      <c r="Z52" s="6"/>
      <c r="AA52" s="6"/>
      <c r="AB52" s="6"/>
      <c r="AC52" s="42"/>
      <c r="AD52" s="6"/>
    </row>
    <row r="53" spans="2:30" x14ac:dyDescent="0.25">
      <c r="B53" s="60">
        <f t="shared" si="23"/>
        <v>361252.6700458696</v>
      </c>
      <c r="C53" s="53">
        <f t="shared" si="24"/>
        <v>0.32111669565217393</v>
      </c>
      <c r="D53" s="55">
        <f t="shared" si="25"/>
        <v>108375.80101376087</v>
      </c>
      <c r="E53" s="53">
        <f t="shared" si="26"/>
        <v>0.19267001739130435</v>
      </c>
      <c r="F53" s="55">
        <f t="shared" si="27"/>
        <v>18062.63350229348</v>
      </c>
      <c r="G53" s="53">
        <f t="shared" si="28"/>
        <v>8.0279173913043483E-2</v>
      </c>
      <c r="H53" s="55">
        <f t="shared" si="29"/>
        <v>19868.89685252283</v>
      </c>
      <c r="I53" s="53">
        <f t="shared" si="30"/>
        <v>0.17661418260869569</v>
      </c>
      <c r="J53" s="55">
        <f t="shared" si="31"/>
        <v>115600.85441467828</v>
      </c>
      <c r="K53" s="53">
        <f t="shared" si="32"/>
        <v>0.51378671304347834</v>
      </c>
      <c r="L53" s="54">
        <f t="shared" si="33"/>
        <v>623160.85582912504</v>
      </c>
      <c r="N53" s="51">
        <f t="shared" si="36"/>
        <v>0.41544472500000001</v>
      </c>
      <c r="O53" s="43">
        <f t="shared" si="42"/>
        <v>876832.91249999998</v>
      </c>
      <c r="P53" s="45">
        <f t="shared" si="35"/>
        <v>623167.08750000002</v>
      </c>
      <c r="Q53" s="50">
        <f t="shared" si="37"/>
        <v>1876.3501136316074</v>
      </c>
      <c r="R53" s="50">
        <f t="shared" si="38"/>
        <v>1750.1343685947356</v>
      </c>
      <c r="S53" s="50">
        <f t="shared" si="39"/>
        <v>1010.9427419582513</v>
      </c>
      <c r="T53" s="50">
        <f t="shared" si="40"/>
        <v>1736.6171780928084</v>
      </c>
      <c r="U53" s="50">
        <f t="shared" si="41"/>
        <v>1644.3144399007822</v>
      </c>
      <c r="V53" s="42"/>
      <c r="W53" s="42"/>
      <c r="X53" s="42"/>
      <c r="Y53" s="6"/>
      <c r="Z53" s="6"/>
      <c r="AA53" s="6"/>
      <c r="AB53" s="6"/>
      <c r="AC53" s="42"/>
      <c r="AD53" s="6"/>
    </row>
    <row r="54" spans="2:30" x14ac:dyDescent="0.25">
      <c r="B54" s="60">
        <f t="shared" si="23"/>
        <v>401391.85560652177</v>
      </c>
      <c r="C54" s="53">
        <f t="shared" si="24"/>
        <v>0.35679632850241549</v>
      </c>
      <c r="D54" s="55">
        <f t="shared" si="25"/>
        <v>120417.55668195653</v>
      </c>
      <c r="E54" s="53">
        <f t="shared" si="26"/>
        <v>0.21407779710144928</v>
      </c>
      <c r="F54" s="55">
        <f t="shared" si="27"/>
        <v>20069.592780326089</v>
      </c>
      <c r="G54" s="53">
        <f t="shared" si="28"/>
        <v>8.9199082125603874E-2</v>
      </c>
      <c r="H54" s="55">
        <f t="shared" si="29"/>
        <v>22076.552058358699</v>
      </c>
      <c r="I54" s="53">
        <f t="shared" si="30"/>
        <v>0.19623798067632853</v>
      </c>
      <c r="J54" s="55">
        <f t="shared" si="31"/>
        <v>128445.39379408698</v>
      </c>
      <c r="K54" s="53">
        <f t="shared" si="32"/>
        <v>0.57087412560386486</v>
      </c>
      <c r="L54" s="54">
        <f t="shared" si="33"/>
        <v>692400.95092125004</v>
      </c>
      <c r="N54" s="51">
        <f t="shared" si="36"/>
        <v>0.46160525000000002</v>
      </c>
      <c r="O54" s="43">
        <f t="shared" si="42"/>
        <v>807592.125</v>
      </c>
      <c r="P54" s="45">
        <f t="shared" si="35"/>
        <v>692407.875</v>
      </c>
      <c r="Q54" s="50">
        <f t="shared" si="37"/>
        <v>2205.5511895739892</v>
      </c>
      <c r="R54" s="50">
        <f t="shared" si="38"/>
        <v>2008.4475636972188</v>
      </c>
      <c r="S54" s="50">
        <f t="shared" si="39"/>
        <v>1067.4852747605485</v>
      </c>
      <c r="T54" s="50">
        <f t="shared" si="40"/>
        <v>1988.0233413626434</v>
      </c>
      <c r="U54" s="50">
        <f t="shared" si="41"/>
        <v>1941.2115210433299</v>
      </c>
      <c r="V54" s="41"/>
      <c r="W54" s="41"/>
      <c r="X54" s="41"/>
      <c r="Y54" s="6"/>
      <c r="Z54" s="6"/>
      <c r="AA54" s="6"/>
      <c r="AB54" s="6"/>
      <c r="AC54" s="42"/>
      <c r="AD54" s="6"/>
    </row>
    <row r="55" spans="2:30" x14ac:dyDescent="0.25">
      <c r="B55" s="60">
        <f t="shared" si="23"/>
        <v>441531.04116717388</v>
      </c>
      <c r="C55" s="53">
        <f t="shared" si="24"/>
        <v>0.392475961352657</v>
      </c>
      <c r="D55" s="55">
        <f t="shared" si="25"/>
        <v>132459.31235015218</v>
      </c>
      <c r="E55" s="53">
        <f t="shared" si="26"/>
        <v>0.23548557681159418</v>
      </c>
      <c r="F55" s="55">
        <f t="shared" si="27"/>
        <v>22076.552058358695</v>
      </c>
      <c r="G55" s="53">
        <f t="shared" si="28"/>
        <v>9.811899033816425E-2</v>
      </c>
      <c r="H55" s="55">
        <f t="shared" si="29"/>
        <v>24284.207264194567</v>
      </c>
      <c r="I55" s="53">
        <f t="shared" si="30"/>
        <v>0.21586177874396137</v>
      </c>
      <c r="J55" s="55">
        <f t="shared" si="31"/>
        <v>141289.93317349566</v>
      </c>
      <c r="K55" s="53">
        <f t="shared" si="32"/>
        <v>0.62796153816425127</v>
      </c>
      <c r="L55" s="54">
        <f t="shared" si="33"/>
        <v>761641.04601337505</v>
      </c>
      <c r="N55" s="51">
        <f t="shared" si="36"/>
        <v>0.50776577499999997</v>
      </c>
      <c r="O55" s="43">
        <f t="shared" si="42"/>
        <v>738351.33750000002</v>
      </c>
      <c r="P55" s="45">
        <f t="shared" si="35"/>
        <v>761648.66249999998</v>
      </c>
      <c r="Q55" s="50">
        <f t="shared" si="37"/>
        <v>2625.3912138918863</v>
      </c>
      <c r="R55" s="50">
        <f t="shared" si="38"/>
        <v>2320.2492304783673</v>
      </c>
      <c r="S55" s="50">
        <f t="shared" si="39"/>
        <v>1128.4938115276477</v>
      </c>
      <c r="T55" s="50">
        <f t="shared" si="40"/>
        <v>2289.8110296737927</v>
      </c>
      <c r="U55" s="50">
        <f t="shared" si="41"/>
        <v>2350.9110914521962</v>
      </c>
      <c r="V55" s="41"/>
      <c r="W55" s="41"/>
      <c r="X55" s="41"/>
      <c r="Y55" s="6"/>
      <c r="Z55" s="6"/>
      <c r="AA55" s="6"/>
      <c r="AB55" s="6"/>
      <c r="AC55" s="42"/>
      <c r="AD55" s="6"/>
    </row>
    <row r="56" spans="2:30" x14ac:dyDescent="0.25">
      <c r="B56" s="60">
        <f t="shared" si="23"/>
        <v>481670.22672782611</v>
      </c>
      <c r="C56" s="53">
        <f t="shared" si="24"/>
        <v>0.42815559420289856</v>
      </c>
      <c r="D56" s="55">
        <f t="shared" si="25"/>
        <v>144501.06801834781</v>
      </c>
      <c r="E56" s="53">
        <f t="shared" si="26"/>
        <v>0.25689335652173911</v>
      </c>
      <c r="F56" s="55">
        <f t="shared" si="27"/>
        <v>24083.511336391304</v>
      </c>
      <c r="G56" s="53">
        <f t="shared" si="28"/>
        <v>0.10703889855072464</v>
      </c>
      <c r="H56" s="55">
        <f t="shared" si="29"/>
        <v>26491.862470030439</v>
      </c>
      <c r="I56" s="53">
        <f t="shared" si="30"/>
        <v>0.23548557681159424</v>
      </c>
      <c r="J56" s="55">
        <f t="shared" si="31"/>
        <v>154134.47255290436</v>
      </c>
      <c r="K56" s="53">
        <f t="shared" si="32"/>
        <v>0.68504895072463778</v>
      </c>
      <c r="L56" s="54">
        <f t="shared" si="33"/>
        <v>830881.14110550005</v>
      </c>
      <c r="N56" s="51">
        <f t="shared" si="36"/>
        <v>0.55392629999999998</v>
      </c>
      <c r="O56" s="43">
        <f t="shared" si="42"/>
        <v>669110.55000000005</v>
      </c>
      <c r="P56" s="45">
        <f t="shared" si="35"/>
        <v>830889.45</v>
      </c>
      <c r="Q56" s="50">
        <f t="shared" si="37"/>
        <v>3169.7980080763155</v>
      </c>
      <c r="R56" s="50">
        <f t="shared" si="38"/>
        <v>2699.2826849713724</v>
      </c>
      <c r="S56" s="50">
        <f t="shared" si="39"/>
        <v>1194.3977315979002</v>
      </c>
      <c r="T56" s="50">
        <f t="shared" si="40"/>
        <v>2654.3701687336611</v>
      </c>
      <c r="U56" s="50">
        <f t="shared" si="41"/>
        <v>2946.2876052767001</v>
      </c>
      <c r="V56" s="41"/>
      <c r="W56" s="41"/>
      <c r="X56" s="41"/>
      <c r="Y56" s="6"/>
      <c r="Z56" s="6"/>
      <c r="AA56" s="6"/>
      <c r="AB56" s="6"/>
      <c r="AC56" s="42"/>
      <c r="AD56" s="6"/>
    </row>
    <row r="57" spans="2:30" x14ac:dyDescent="0.25">
      <c r="B57" s="60">
        <f t="shared" si="23"/>
        <v>521809.41228847828</v>
      </c>
      <c r="C57" s="53">
        <f t="shared" si="24"/>
        <v>0.46383522705314012</v>
      </c>
      <c r="D57" s="55">
        <f t="shared" si="25"/>
        <v>156542.82368654347</v>
      </c>
      <c r="E57" s="53">
        <f t="shared" si="26"/>
        <v>0.27830113623188407</v>
      </c>
      <c r="F57" s="55">
        <f t="shared" si="27"/>
        <v>26090.470614423914</v>
      </c>
      <c r="G57" s="53">
        <f t="shared" si="28"/>
        <v>0.11595880676328503</v>
      </c>
      <c r="H57" s="55">
        <f t="shared" si="29"/>
        <v>28699.517675866307</v>
      </c>
      <c r="I57" s="53">
        <f t="shared" si="30"/>
        <v>0.25510937487922708</v>
      </c>
      <c r="J57" s="55">
        <f t="shared" si="31"/>
        <v>166979.01193231306</v>
      </c>
      <c r="K57" s="53">
        <f t="shared" si="32"/>
        <v>0.74213636328502419</v>
      </c>
      <c r="L57" s="54">
        <f t="shared" si="33"/>
        <v>900121.23619762505</v>
      </c>
      <c r="N57" s="51">
        <f t="shared" si="36"/>
        <v>0.60008682499999999</v>
      </c>
      <c r="O57" s="43">
        <f t="shared" si="42"/>
        <v>599869.76250000007</v>
      </c>
      <c r="P57" s="45">
        <f t="shared" si="35"/>
        <v>900130.23749999993</v>
      </c>
      <c r="Q57" s="50">
        <f t="shared" si="37"/>
        <v>3889.0566412477137</v>
      </c>
      <c r="R57" s="50">
        <f t="shared" si="38"/>
        <v>3163.4837696616823</v>
      </c>
      <c r="S57" s="50">
        <f t="shared" si="39"/>
        <v>1265.6741787567009</v>
      </c>
      <c r="T57" s="50">
        <f t="shared" si="40"/>
        <v>3097.6730374096874</v>
      </c>
      <c r="U57" s="50">
        <f t="shared" si="41"/>
        <v>2969.6016257653591</v>
      </c>
      <c r="V57" s="41"/>
      <c r="W57" s="41"/>
      <c r="X57" s="41"/>
      <c r="Y57" s="6"/>
      <c r="Z57" s="6"/>
      <c r="AA57" s="6"/>
      <c r="AB57" s="6"/>
      <c r="AC57" s="42"/>
      <c r="AD57" s="6"/>
    </row>
    <row r="58" spans="2:30" x14ac:dyDescent="0.25">
      <c r="B58" s="60">
        <f t="shared" si="23"/>
        <v>561948.59784913051</v>
      </c>
      <c r="C58" s="53">
        <f t="shared" si="24"/>
        <v>0.49951485990338168</v>
      </c>
      <c r="D58" s="55">
        <f t="shared" si="25"/>
        <v>168584.57935473914</v>
      </c>
      <c r="E58" s="53">
        <f t="shared" si="26"/>
        <v>0.29970891594202898</v>
      </c>
      <c r="F58" s="55">
        <f t="shared" si="27"/>
        <v>28097.429892456523</v>
      </c>
      <c r="G58" s="53">
        <f t="shared" si="28"/>
        <v>0.12487871497584542</v>
      </c>
      <c r="H58" s="55">
        <f t="shared" si="29"/>
        <v>30907.172881702179</v>
      </c>
      <c r="I58" s="53">
        <f t="shared" si="30"/>
        <v>0.27473317294685995</v>
      </c>
      <c r="J58" s="55">
        <f t="shared" si="31"/>
        <v>179823.55131172176</v>
      </c>
      <c r="K58" s="53">
        <f t="shared" si="32"/>
        <v>0.79922377584541071</v>
      </c>
      <c r="L58" s="54">
        <f t="shared" si="33"/>
        <v>969361.33128975006</v>
      </c>
      <c r="N58" s="51">
        <f t="shared" si="36"/>
        <v>0.64624735</v>
      </c>
      <c r="O58" s="43">
        <f t="shared" si="42"/>
        <v>530628.97499999998</v>
      </c>
      <c r="P58" s="45">
        <f t="shared" si="35"/>
        <v>969371.02500000002</v>
      </c>
      <c r="Q58" s="50">
        <f t="shared" si="37"/>
        <v>4859.6856869972635</v>
      </c>
      <c r="R58" s="50">
        <f t="shared" si="38"/>
        <v>3736.4644377775508</v>
      </c>
      <c r="S58" s="50">
        <f t="shared" si="39"/>
        <v>1342.8540534550937</v>
      </c>
      <c r="T58" s="50">
        <f t="shared" si="40"/>
        <v>3640.465063755586</v>
      </c>
      <c r="U58" s="50">
        <f t="shared" si="41"/>
        <v>2757.4872239249762</v>
      </c>
      <c r="V58" s="41"/>
      <c r="W58" s="41"/>
      <c r="X58" s="41"/>
      <c r="Y58" s="6"/>
      <c r="Z58" s="6"/>
      <c r="AA58" s="6"/>
      <c r="AB58" s="6"/>
      <c r="AC58" s="42"/>
      <c r="AD58" s="6"/>
    </row>
    <row r="59" spans="2:30" x14ac:dyDescent="0.25">
      <c r="B59" s="60">
        <f t="shared" si="23"/>
        <v>602087.78340978257</v>
      </c>
      <c r="C59" s="53">
        <f t="shared" si="24"/>
        <v>0.53519449275362319</v>
      </c>
      <c r="D59" s="55">
        <f t="shared" si="25"/>
        <v>180626.33502293477</v>
      </c>
      <c r="E59" s="53">
        <f t="shared" si="26"/>
        <v>0.32111669565217388</v>
      </c>
      <c r="F59" s="55">
        <f t="shared" si="27"/>
        <v>30104.389170489132</v>
      </c>
      <c r="G59" s="53">
        <f t="shared" si="28"/>
        <v>0.1337986231884058</v>
      </c>
      <c r="H59" s="55">
        <f t="shared" si="29"/>
        <v>33114.828087538044</v>
      </c>
      <c r="I59" s="53">
        <f t="shared" si="30"/>
        <v>0.29435697101449276</v>
      </c>
      <c r="J59" s="55">
        <f t="shared" si="31"/>
        <v>192668.09069113043</v>
      </c>
      <c r="K59" s="53">
        <f t="shared" si="32"/>
        <v>0.85631118840579712</v>
      </c>
      <c r="L59" s="54">
        <f t="shared" si="33"/>
        <v>1038601.4263818749</v>
      </c>
      <c r="N59" s="51">
        <f t="shared" si="36"/>
        <v>0.69240787500000001</v>
      </c>
      <c r="O59" s="43">
        <f t="shared" si="42"/>
        <v>461388.1875</v>
      </c>
      <c r="P59" s="45">
        <f t="shared" si="35"/>
        <v>1038611.8125</v>
      </c>
      <c r="Q59" s="50">
        <f t="shared" si="37"/>
        <v>6201.6621886766416</v>
      </c>
      <c r="R59" s="50">
        <f t="shared" si="38"/>
        <v>4449.5964879945486</v>
      </c>
      <c r="S59" s="50">
        <f t="shared" si="39"/>
        <v>1426.528839608369</v>
      </c>
      <c r="T59" s="50">
        <f t="shared" si="40"/>
        <v>4309.9043464700226</v>
      </c>
      <c r="U59" s="50">
        <f t="shared" si="41"/>
        <v>2573.6547423299785</v>
      </c>
      <c r="V59" s="41"/>
      <c r="W59" s="41"/>
      <c r="X59" s="41"/>
      <c r="Y59" s="6"/>
      <c r="Z59" s="6"/>
      <c r="AA59" s="6"/>
      <c r="AB59" s="6"/>
      <c r="AC59" s="42"/>
      <c r="AD59" s="6"/>
    </row>
    <row r="60" spans="2:30" x14ac:dyDescent="0.25">
      <c r="B60" s="60">
        <f t="shared" si="23"/>
        <v>642226.96897043474</v>
      </c>
      <c r="C60" s="53">
        <f t="shared" si="24"/>
        <v>0.57087412560386475</v>
      </c>
      <c r="D60" s="55">
        <f t="shared" si="25"/>
        <v>192668.09069113043</v>
      </c>
      <c r="E60" s="53">
        <f t="shared" si="26"/>
        <v>0.34252447536231884</v>
      </c>
      <c r="F60" s="55">
        <f t="shared" si="27"/>
        <v>32111.348448521741</v>
      </c>
      <c r="G60" s="53">
        <f t="shared" si="28"/>
        <v>0.14271853140096619</v>
      </c>
      <c r="H60" s="55">
        <f t="shared" si="29"/>
        <v>35322.483293373916</v>
      </c>
      <c r="I60" s="53">
        <f t="shared" si="30"/>
        <v>0.31398076908212563</v>
      </c>
      <c r="J60" s="55">
        <f t="shared" si="31"/>
        <v>205512.63007053913</v>
      </c>
      <c r="K60" s="53">
        <f t="shared" si="32"/>
        <v>0.91339860096618364</v>
      </c>
      <c r="L60" s="54">
        <f t="shared" si="33"/>
        <v>1107841.5214740001</v>
      </c>
      <c r="N60" s="51">
        <f t="shared" si="36"/>
        <v>0.73856840000000001</v>
      </c>
      <c r="O60" s="43">
        <f t="shared" si="42"/>
        <v>392147.39999999991</v>
      </c>
      <c r="P60" s="45">
        <f t="shared" si="35"/>
        <v>1107852.6000000001</v>
      </c>
      <c r="Q60" s="50">
        <f t="shared" si="37"/>
        <v>8109.6733426250912</v>
      </c>
      <c r="R60" s="50">
        <f t="shared" si="38"/>
        <v>5344.9702028715783</v>
      </c>
      <c r="S60" s="50">
        <f t="shared" si="39"/>
        <v>1517.3583936326488</v>
      </c>
      <c r="T60" s="50">
        <f t="shared" si="40"/>
        <v>5141.8397390785349</v>
      </c>
      <c r="U60" s="50">
        <f t="shared" si="41"/>
        <v>2412.8013209343544</v>
      </c>
      <c r="V60" s="41"/>
      <c r="W60" s="41"/>
      <c r="X60" s="41"/>
      <c r="Y60" s="6"/>
      <c r="Z60" s="6"/>
      <c r="AA60" s="6"/>
      <c r="AB60" s="6"/>
      <c r="AC60" s="42"/>
      <c r="AD60" s="6"/>
    </row>
    <row r="61" spans="2:30" x14ac:dyDescent="0.25">
      <c r="B61" s="60">
        <f t="shared" si="23"/>
        <v>682366.15453108703</v>
      </c>
      <c r="C61" s="53">
        <f t="shared" si="24"/>
        <v>0.60655375845410631</v>
      </c>
      <c r="D61" s="55">
        <f t="shared" si="25"/>
        <v>204709.8463593261</v>
      </c>
      <c r="E61" s="53">
        <f t="shared" si="26"/>
        <v>0.3639322550724638</v>
      </c>
      <c r="F61" s="55">
        <f t="shared" si="27"/>
        <v>34118.307726554347</v>
      </c>
      <c r="G61" s="53">
        <f t="shared" si="28"/>
        <v>0.15163843961352658</v>
      </c>
      <c r="H61" s="55">
        <f t="shared" si="29"/>
        <v>37530.138499209788</v>
      </c>
      <c r="I61" s="53">
        <f t="shared" si="30"/>
        <v>0.3336045671497585</v>
      </c>
      <c r="J61" s="55">
        <f t="shared" si="31"/>
        <v>218357.16944994786</v>
      </c>
      <c r="K61" s="53">
        <f>C61*cutratio_lndscp</f>
        <v>0.97048601352657016</v>
      </c>
      <c r="L61" s="54">
        <f t="shared" si="33"/>
        <v>1177081.6165661251</v>
      </c>
      <c r="N61" s="51">
        <f t="shared" si="36"/>
        <v>0.78472892500000002</v>
      </c>
      <c r="O61" s="43">
        <f t="shared" si="42"/>
        <v>322906.61250000005</v>
      </c>
      <c r="P61" s="45">
        <f t="shared" si="35"/>
        <v>1177093.3875</v>
      </c>
      <c r="Q61" s="50">
        <f t="shared" si="37"/>
        <v>10912.454696112003</v>
      </c>
      <c r="R61" s="50">
        <f t="shared" si="38"/>
        <v>6479.6439533178955</v>
      </c>
      <c r="S61" s="50">
        <f t="shared" si="39"/>
        <v>1616.0798446513866</v>
      </c>
      <c r="T61" s="50">
        <f t="shared" si="40"/>
        <v>6184.0068588938593</v>
      </c>
      <c r="U61" s="50">
        <f t="shared" si="41"/>
        <v>2270.8718314676275</v>
      </c>
      <c r="V61" s="41"/>
      <c r="W61" s="41"/>
      <c r="X61" s="41"/>
      <c r="Y61" s="6"/>
      <c r="Z61" s="6"/>
      <c r="AA61" s="6"/>
      <c r="AB61" s="6"/>
      <c r="AC61" s="42"/>
      <c r="AD61" s="6"/>
    </row>
    <row r="62" spans="2:30" x14ac:dyDescent="0.25">
      <c r="B62" s="60">
        <f>C62*base_use_sf</f>
        <v>722505.3400917392</v>
      </c>
      <c r="C62" s="53">
        <f>N62/(size_sf+cutratio_mf*size_mf+cutratio_ind*size_ind+cutratio_com*size_com+cutratio_lndscp*size_lndscp)</f>
        <v>0.64223339130434787</v>
      </c>
      <c r="D62" s="55">
        <f t="shared" si="25"/>
        <v>216751.60202752173</v>
      </c>
      <c r="E62" s="53">
        <f t="shared" si="26"/>
        <v>0.3853400347826087</v>
      </c>
      <c r="F62" s="55">
        <f t="shared" si="27"/>
        <v>36125.26700458696</v>
      </c>
      <c r="G62" s="53">
        <f t="shared" si="28"/>
        <v>0.16055834782608697</v>
      </c>
      <c r="H62" s="55">
        <f t="shared" si="29"/>
        <v>39737.79370504566</v>
      </c>
      <c r="I62" s="53">
        <f t="shared" si="30"/>
        <v>0.35322836521739137</v>
      </c>
      <c r="J62" s="55">
        <f t="shared" si="31"/>
        <v>231201.70882935656</v>
      </c>
      <c r="K62" s="53">
        <f t="shared" ref="K62" si="43">C62*cutratio_lndscp</f>
        <v>1.0275734260869567</v>
      </c>
      <c r="L62" s="54">
        <f>J62+H62+F62+D62+B62</f>
        <v>1246321.7116582501</v>
      </c>
      <c r="N62" s="51">
        <f>($N$63/20)+N61</f>
        <v>0.83088945000000003</v>
      </c>
      <c r="O62" s="43">
        <f t="shared" si="42"/>
        <v>253665.82499999995</v>
      </c>
      <c r="P62" s="45">
        <f t="shared" si="35"/>
        <v>1246334.175</v>
      </c>
      <c r="Q62" s="50">
        <f t="shared" si="37"/>
        <v>15191.583607065719</v>
      </c>
      <c r="R62" s="50">
        <f t="shared" si="38"/>
        <v>7931.8233375078134</v>
      </c>
      <c r="S62" s="50">
        <f t="shared" si="39"/>
        <v>1723.5177799153957</v>
      </c>
      <c r="T62" s="50">
        <f t="shared" si="40"/>
        <v>7500.5577141783479</v>
      </c>
      <c r="U62" s="50">
        <f t="shared" si="41"/>
        <v>2144.7122852749817</v>
      </c>
      <c r="V62" s="41"/>
      <c r="W62" s="41"/>
      <c r="X62" s="41"/>
      <c r="Y62" s="6"/>
      <c r="Z62" s="6"/>
      <c r="AA62" s="6"/>
      <c r="AB62" s="6"/>
      <c r="AC62" s="42"/>
      <c r="AD62" s="6"/>
    </row>
    <row r="63" spans="2:30" x14ac:dyDescent="0.25">
      <c r="B63" s="75">
        <f>shortage_dist_sf_actual*base_use_sf</f>
        <v>802783.71121304354</v>
      </c>
      <c r="C63" s="76">
        <f>Total_actual_shortage/(size_sf+cutratio_mf*size_mf+cutratio_ind*size_ind+cutratio_com*size_com+cutratio_lndscp*size_lndscp)</f>
        <v>0.71359265700483099</v>
      </c>
      <c r="D63" s="77">
        <f>shortage_dist_mf_actual*base_use_mf</f>
        <v>240835.11336391306</v>
      </c>
      <c r="E63" s="76">
        <f>shortage_dist_sf_actual*cutratio_mf</f>
        <v>0.42815559420289856</v>
      </c>
      <c r="F63" s="77">
        <f>shortage_dist_ind_actual*base_use_ind</f>
        <v>40139.185560652179</v>
      </c>
      <c r="G63" s="76">
        <f>shortage_dist_sf_actual*cutratio_ind</f>
        <v>0.17839816425120775</v>
      </c>
      <c r="H63" s="77">
        <f>shortage_dist_comm_actual*base_use_comm</f>
        <v>44153.104116717397</v>
      </c>
      <c r="I63" s="76">
        <f>shortage_dist_sf_actual*cutratio_com</f>
        <v>0.39247596135265705</v>
      </c>
      <c r="J63" s="77">
        <f>shortage_dist_lndscp_actual*base_use_lndscp</f>
        <v>256890.78758817396</v>
      </c>
      <c r="K63" s="76">
        <f>shortage_dist_sf_actual*cutratio_lndscp</f>
        <v>1.1417482512077297</v>
      </c>
      <c r="L63" s="78">
        <f>J63+H63+F63+D63+B63</f>
        <v>1384801.9018425001</v>
      </c>
      <c r="N63" s="52">
        <f>Total_actual_shortage</f>
        <v>0.92321050000000004</v>
      </c>
      <c r="O63" s="44">
        <f t="shared" si="42"/>
        <v>115184.25</v>
      </c>
      <c r="P63" s="46">
        <f>base_use_total-O63</f>
        <v>1384815.75</v>
      </c>
      <c r="Q63" s="50">
        <f t="shared" si="37"/>
        <v>27885.97696420383</v>
      </c>
      <c r="R63" s="50">
        <f t="shared" si="38"/>
        <v>12266.369957981738</v>
      </c>
      <c r="S63" s="50">
        <f t="shared" si="39"/>
        <v>1968.3505169362882</v>
      </c>
      <c r="T63" s="50">
        <f t="shared" si="40"/>
        <v>11337.348652225517</v>
      </c>
      <c r="U63" s="50">
        <f t="shared" si="41"/>
        <v>1930.2410567474833</v>
      </c>
      <c r="V63" s="41"/>
      <c r="W63" s="41"/>
      <c r="X63" s="41"/>
      <c r="Y63" s="6"/>
      <c r="Z63" s="6"/>
      <c r="AA63" s="6"/>
      <c r="AB63" s="6"/>
      <c r="AC63" s="42"/>
      <c r="AD63" s="6"/>
    </row>
    <row r="64" spans="2:30" x14ac:dyDescent="0.25">
      <c r="B64" s="62"/>
      <c r="C64" s="79" t="s">
        <v>60</v>
      </c>
      <c r="D64" s="9"/>
      <c r="E64" s="79"/>
      <c r="F64" s="9"/>
      <c r="G64" s="9"/>
      <c r="H64" s="9"/>
      <c r="I64" s="9"/>
      <c r="J64" s="9"/>
      <c r="K64" s="9"/>
      <c r="L64" s="28"/>
      <c r="Q64" s="50"/>
      <c r="T64" s="80"/>
      <c r="U64" s="41"/>
      <c r="V64" s="41"/>
      <c r="W64" s="41"/>
      <c r="X64" s="41"/>
      <c r="Y64" s="6"/>
      <c r="Z64" s="6"/>
      <c r="AA64" s="6"/>
      <c r="AB64" s="6"/>
      <c r="AC64" s="42"/>
      <c r="AD64" s="6"/>
    </row>
    <row r="65" spans="2:39" x14ac:dyDescent="0.25">
      <c r="B65" s="19"/>
      <c r="C65" s="63">
        <f>C63/$C$38</f>
        <v>0.99999500001388886</v>
      </c>
      <c r="D65" s="8"/>
      <c r="E65" s="63">
        <f>E63/$C$38</f>
        <v>0.59999700000833334</v>
      </c>
      <c r="F65" s="8"/>
      <c r="G65" s="63">
        <f>G63/$C$38</f>
        <v>0.24999875000347221</v>
      </c>
      <c r="H65" s="8"/>
      <c r="I65" s="63">
        <f>I63/$C$38</f>
        <v>0.54999725000763888</v>
      </c>
      <c r="J65" s="8"/>
      <c r="K65" s="63">
        <f>K63/$C$38</f>
        <v>1.5999920000222225</v>
      </c>
      <c r="L65" s="47"/>
      <c r="Q65" s="50"/>
      <c r="T65" s="80"/>
      <c r="U65" s="41"/>
    </row>
    <row r="66" spans="2:39" x14ac:dyDescent="0.25">
      <c r="Q66" s="50"/>
      <c r="T66" s="80"/>
      <c r="U66" s="41"/>
      <c r="AM66" s="10"/>
    </row>
    <row r="67" spans="2:39" x14ac:dyDescent="0.25">
      <c r="T67" s="80"/>
      <c r="U67" s="41"/>
    </row>
    <row r="68" spans="2:39" x14ac:dyDescent="0.25">
      <c r="T68" s="80"/>
      <c r="U68" s="41"/>
    </row>
  </sheetData>
  <phoneticPr fontId="4" type="noConversion"/>
  <pageMargins left="0.75" right="0.75" top="1" bottom="1" header="0.5" footer="0.5"/>
  <pageSetup orientation="landscape" horizontalDpi="300" verticalDpi="300" r:id="rId1"/>
  <headerFooter alignWithMargins="0">
    <oddFooter>&amp;R&amp;F  &amp;D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tadata xmlns="c8a5693f-cb4f-4469-ad8f-971ccdc8dc5c" xsi:nil="true"/>
    <Notes xmlns="c8a5693f-cb4f-4469-ad8f-971ccdc8dc5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EEA600E73B5F498B2D4BF2CB2B4B35" ma:contentTypeVersion="" ma:contentTypeDescription="Create a new document." ma:contentTypeScope="" ma:versionID="fccf8eb4bf7c77058f7e1a7c435dd29e">
  <xsd:schema xmlns:xsd="http://www.w3.org/2001/XMLSchema" xmlns:xs="http://www.w3.org/2001/XMLSchema" xmlns:p="http://schemas.microsoft.com/office/2006/metadata/properties" xmlns:ns2="C8A5693F-CB4F-4469-AD8F-971CCDC8DC5C" xmlns:ns3="c8a5693f-cb4f-4469-ad8f-971ccdc8dc5c" xmlns:ns4="8ca2015b-1270-41a8-9966-06a19c2d4f3a" targetNamespace="http://schemas.microsoft.com/office/2006/metadata/properties" ma:root="true" ma:fieldsID="ba32016117279a10a3abb736afd6333a" ns2:_="" ns3:_="" ns4:_="">
    <xsd:import namespace="C8A5693F-CB4F-4469-AD8F-971CCDC8DC5C"/>
    <xsd:import namespace="c8a5693f-cb4f-4469-ad8f-971ccdc8dc5c"/>
    <xsd:import namespace="8ca2015b-1270-41a8-9966-06a19c2d4f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3:Metadata" minOccurs="0"/>
                <xsd:element ref="ns3:Note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A5693F-CB4F-4469-AD8F-971CCDC8DC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a5693f-cb4f-4469-ad8f-971ccdc8dc5c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tadata" ma:index="17" nillable="true" ma:displayName="Metadata" ma:description="Notes regarding references" ma:format="Dropdown" ma:internalName="Metadata">
      <xsd:simpleType>
        <xsd:restriction base="dms:Note">
          <xsd:maxLength value="255"/>
        </xsd:restriction>
      </xsd:simpleType>
    </xsd:element>
    <xsd:element name="Notes" ma:index="18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a2015b-1270-41a8-9966-06a19c2d4f3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85D8AC-4DEA-4D66-8105-40ECD4B542B0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ca2015b-1270-41a8-9966-06a19c2d4f3a"/>
    <ds:schemaRef ds:uri="http://schemas.microsoft.com/office/2006/documentManagement/types"/>
    <ds:schemaRef ds:uri="C8A5693F-CB4F-4469-AD8F-971CCDC8DC5C"/>
    <ds:schemaRef ds:uri="c8a5693f-cb4f-4469-ad8f-971ccdc8dc5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BEF16BB-3AEF-4926-94B8-DF9556B55A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E83BFB-7FED-44D2-9197-89E5DC1C10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A5693F-CB4F-4469-AD8F-971CCDC8DC5C"/>
    <ds:schemaRef ds:uri="c8a5693f-cb4f-4469-ad8f-971ccdc8dc5c"/>
    <ds:schemaRef ds:uri="8ca2015b-1270-41a8-9966-06a19c2d4f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72</vt:i4>
      </vt:variant>
    </vt:vector>
  </HeadingPairs>
  <TitlesOfParts>
    <vt:vector size="73" baseType="lpstr">
      <vt:lpstr>CPED Calc_trial</vt:lpstr>
      <vt:lpstr>base_conservation</vt:lpstr>
      <vt:lpstr>base_use_comm</vt:lpstr>
      <vt:lpstr>base_use_ind</vt:lpstr>
      <vt:lpstr>base_use_lndscp</vt:lpstr>
      <vt:lpstr>base_use_mf</vt:lpstr>
      <vt:lpstr>base_use_sf</vt:lpstr>
      <vt:lpstr>base_use_total</vt:lpstr>
      <vt:lpstr>'CPED Calc_trial'!coeff_2</vt:lpstr>
      <vt:lpstr>'CPED Calc_trial'!coeff_3</vt:lpstr>
      <vt:lpstr>coeff_comm</vt:lpstr>
      <vt:lpstr>coeff_ind</vt:lpstr>
      <vt:lpstr>coeff_lndscp</vt:lpstr>
      <vt:lpstr>coeff_mf</vt:lpstr>
      <vt:lpstr>'CPED Calc_trial'!coeff_sf</vt:lpstr>
      <vt:lpstr>cutratio_com</vt:lpstr>
      <vt:lpstr>cutratio_ind</vt:lpstr>
      <vt:lpstr>cutratio_lndscp</vt:lpstr>
      <vt:lpstr>cutratio_mf</vt:lpstr>
      <vt:lpstr>'CPED Calc_trial'!elasticity_1</vt:lpstr>
      <vt:lpstr>elasticity_comm</vt:lpstr>
      <vt:lpstr>elasticity_ind</vt:lpstr>
      <vt:lpstr>elasticity_lndscp</vt:lpstr>
      <vt:lpstr>elasticity_mf</vt:lpstr>
      <vt:lpstr>elasticity_sf</vt:lpstr>
      <vt:lpstr>foregone_use_total</vt:lpstr>
      <vt:lpstr>hardening_factor</vt:lpstr>
      <vt:lpstr>incremental_conservation</vt:lpstr>
      <vt:lpstr>low_bound_lndscp</vt:lpstr>
      <vt:lpstr>lowerbound_COM</vt:lpstr>
      <vt:lpstr>lowerbound_IND</vt:lpstr>
      <vt:lpstr>lowerbound_LNDSCP</vt:lpstr>
      <vt:lpstr>lowerbound_MF</vt:lpstr>
      <vt:lpstr>lowerbound_SF</vt:lpstr>
      <vt:lpstr>'CPED Calc_trial'!p1_base</vt:lpstr>
      <vt:lpstr>'CPED Calc_trial'!pct_def</vt:lpstr>
      <vt:lpstr>'CPED Calc_trial'!quan_1</vt:lpstr>
      <vt:lpstr>shortage_af_COM</vt:lpstr>
      <vt:lpstr>shortage_af_IND</vt:lpstr>
      <vt:lpstr>shortage_af_LNDSCP</vt:lpstr>
      <vt:lpstr>shortage_af_MF</vt:lpstr>
      <vt:lpstr>shortage_af_SF</vt:lpstr>
      <vt:lpstr>shortage_COM</vt:lpstr>
      <vt:lpstr>shortage_dist_comm</vt:lpstr>
      <vt:lpstr>shortage_dist_comm_actual</vt:lpstr>
      <vt:lpstr>shortage_dist_ind</vt:lpstr>
      <vt:lpstr>shortage_dist_ind_actual</vt:lpstr>
      <vt:lpstr>shortage_dist_lndscp</vt:lpstr>
      <vt:lpstr>shortage_dist_lndscp_actual</vt:lpstr>
      <vt:lpstr>shortage_dist_mf</vt:lpstr>
      <vt:lpstr>shortage_dist_mf_actual</vt:lpstr>
      <vt:lpstr>shortage_dist_sf</vt:lpstr>
      <vt:lpstr>shortage_dist_sf_actual</vt:lpstr>
      <vt:lpstr>shortage_IND</vt:lpstr>
      <vt:lpstr>shortage_LNDSCP</vt:lpstr>
      <vt:lpstr>shortage_MF</vt:lpstr>
      <vt:lpstr>shortage_SF</vt:lpstr>
      <vt:lpstr>size_com</vt:lpstr>
      <vt:lpstr>size_ind</vt:lpstr>
      <vt:lpstr>size_lndscp</vt:lpstr>
      <vt:lpstr>size_mf</vt:lpstr>
      <vt:lpstr>size_sf</vt:lpstr>
      <vt:lpstr>Total_actual_shortage</vt:lpstr>
      <vt:lpstr>Total_adjusted_shortage</vt:lpstr>
      <vt:lpstr>upper_bound_lndscp</vt:lpstr>
      <vt:lpstr>upper_boundary</vt:lpstr>
      <vt:lpstr>upperbound_COM</vt:lpstr>
      <vt:lpstr>upperbound_IND</vt:lpstr>
      <vt:lpstr>upperbound_LNDSCP</vt:lpstr>
      <vt:lpstr>upperbound_MF</vt:lpstr>
      <vt:lpstr>upperbound_SF</vt:lpstr>
      <vt:lpstr>'CPED Calc_trial'!use_2</vt:lpstr>
      <vt:lpstr>'CPED Calc_trial'!use_3</vt:lpstr>
    </vt:vector>
  </TitlesOfParts>
  <Manager/>
  <Company>CA Dept of Water Resources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ray</dc:creator>
  <cp:keywords/>
  <dc:description/>
  <cp:lastModifiedBy>Daly, Kensey</cp:lastModifiedBy>
  <cp:revision/>
  <dcterms:created xsi:type="dcterms:W3CDTF">1999-05-18T15:04:10Z</dcterms:created>
  <dcterms:modified xsi:type="dcterms:W3CDTF">2023-07-28T00:29:23Z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0x010100B8EEA600E73B5F498B2D4BF2CB2B4B35</vt:lpwstr>
  </property>
</Properties>
</file>