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4.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comments12.xml" ContentType="application/vnd.openxmlformats-officedocument.spreadsheetml.comments+xml"/>
  <Override PartName="/xl/threadedComments/threadedComment8.xml" ContentType="application/vnd.ms-excel.threadedcomments+xml"/>
  <Override PartName="/xl/comments13.xml" ContentType="application/vnd.openxmlformats-officedocument.spreadsheetml.comments+xml"/>
  <Override PartName="/xl/comments14.xml" ContentType="application/vnd.openxmlformats-officedocument.spreadsheetml.comments+xml"/>
  <Override PartName="/xl/threadedComments/threadedComment9.xml" ContentType="application/vnd.ms-excel.threadedcomments+xml"/>
  <Override PartName="/xl/comments1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autoCompressPictures="0" defaultThemeVersion="124226"/>
  <mc:AlternateContent xmlns:mc="http://schemas.openxmlformats.org/markup-compatibility/2006">
    <mc:Choice Requires="x15">
      <x15ac:absPath xmlns:x15ac="http://schemas.microsoft.com/office/spreadsheetml/2010/11/ac" url="C:\Users\dmehar\NetAct\Work\CompareVMs\"/>
    </mc:Choice>
  </mc:AlternateContent>
  <xr:revisionPtr revIDLastSave="0" documentId="13_ncr:1_{DE21B803-63AE-4F82-86C8-1066964A316A}" xr6:coauthVersionLast="45" xr6:coauthVersionMax="45" xr10:uidLastSave="{00000000-0000-0000-0000-000000000000}"/>
  <bookViews>
    <workbookView xWindow="-120" yWindow="-120" windowWidth="20730" windowHeight="11160" tabRatio="725" firstSheet="10" activeTab="13" xr2:uid="{00000000-000D-0000-FFFF-FFFF00000000}"/>
  </bookViews>
  <sheets>
    <sheet name="Front Page" sheetId="50" r:id="rId1"/>
    <sheet name="Change history" sheetId="51" r:id="rId2"/>
    <sheet name="Virtual Machines" sheetId="52" r:id="rId3"/>
    <sheet name="Cloud Configuration" sheetId="110" r:id="rId4"/>
    <sheet name="Number of Servers Required" sheetId="57" r:id="rId5"/>
    <sheet name="Small 22" sheetId="123" r:id="rId6"/>
    <sheet name="Mainstream 22" sheetId="124" r:id="rId7"/>
    <sheet name="Large 22" sheetId="125" r:id="rId8"/>
    <sheet name="XXL 22" sheetId="136" r:id="rId9"/>
    <sheet name="3XL 22" sheetId="127" r:id="rId10"/>
    <sheet name="Small 22 SW on VMware" sheetId="128" r:id="rId11"/>
    <sheet name="Small 22 SW on OpenStack" sheetId="129" r:id="rId12"/>
    <sheet name="Mainstream 22 SW on VMware" sheetId="130" r:id="rId13"/>
    <sheet name="Mainstream 22 SW on OpenStack" sheetId="131" r:id="rId14"/>
    <sheet name="Large 22 SW on VMware" sheetId="132" r:id="rId15"/>
    <sheet name="Large 22 SW on OpenStack" sheetId="135" r:id="rId16"/>
    <sheet name="XXL 22 SW on VMware" sheetId="133" r:id="rId17"/>
    <sheet name="XXL 22 SW on OpenStack" sheetId="134" r:id="rId18"/>
    <sheet name="3XL 22 SW on OpenStack" sheetId="137" r:id="rId19"/>
  </sheets>
  <definedNames>
    <definedName name="BTSMediationOpenStack" localSheetId="3">'Cloud Configuration'!$V$22</definedName>
    <definedName name="BTSMediationOpenStack">#REF!</definedName>
    <definedName name="BTSMediationVMware" localSheetId="3">'Cloud Configuration'!$V$25:$V$26</definedName>
    <definedName name="BTSMediationVMware">#REF!</definedName>
    <definedName name="LargeADM22OpenStack">'Cloud Configuration'!$R$387</definedName>
    <definedName name="LargeADM22Vmware">'Cloud Configuration'!$R$362</definedName>
    <definedName name="LargeCustomer22OpenStack">'Cloud Configuration'!$R$290:$R$291</definedName>
    <definedName name="LargeCustomer22VMware">'Cloud Configuration'!$R$286:$R$287</definedName>
    <definedName name="LargeDatabase2304Arc" localSheetId="3">'Cloud Configuration'!$R$201</definedName>
    <definedName name="LargeDatabase2304Arc">#REF!</definedName>
    <definedName name="LargeDatabase2304BackupOpenStack22">'Cloud Configuration'!$R$328</definedName>
    <definedName name="LargeDatabase2304Redo" localSheetId="3">'Cloud Configuration'!$R$177</definedName>
    <definedName name="LargeDatabase2304Redo">#REF!</definedName>
    <definedName name="LargeDatabase2304vRAM" localSheetId="3">'Cloud Configuration'!$R$153</definedName>
    <definedName name="LargeDatabase2304vRAM">#REF!</definedName>
    <definedName name="LargeDatabase2500Arc" localSheetId="3">'Cloud Configuration'!$R$198</definedName>
    <definedName name="LargeDatabase2500Arc">#REF!</definedName>
    <definedName name="LargeDatabase2500BackupVMware22">'Cloud Configuration'!$R$325</definedName>
    <definedName name="LargeDatabase2500Redo" localSheetId="3">'Cloud Configuration'!$R$174</definedName>
    <definedName name="LargeDatabase2500Redo">#REF!</definedName>
    <definedName name="LargeDatabase2500vRAM" localSheetId="3">'Cloud Configuration'!$R$150</definedName>
    <definedName name="LargeDatabase2500vRAM">#REF!</definedName>
    <definedName name="LargeDatabase3150Arc" localSheetId="3">'Cloud Configuration'!$R$207</definedName>
    <definedName name="LargeDatabase3150Arc">#REF!</definedName>
    <definedName name="LargeDatabase3150BackupOpenStack22">'Cloud Configuration'!$R$334</definedName>
    <definedName name="LargeDatabase3150Redo" localSheetId="3">'Cloud Configuration'!$R$183</definedName>
    <definedName name="LargeDatabase3150Redo">#REF!</definedName>
    <definedName name="LargeDatabase3150vRAM" localSheetId="3">'Cloud Configuration'!$R$159</definedName>
    <definedName name="LargeDatabase3150vRAM">#REF!</definedName>
    <definedName name="LargeDatabase3418Arc" localSheetId="3">'Cloud Configuration'!$R$204</definedName>
    <definedName name="LargeDatabase3418Arc">#REF!</definedName>
    <definedName name="LargeDatabase3418BackupVMware22">'Cloud Configuration'!$R$331</definedName>
    <definedName name="LargeDatabase3418Redo" localSheetId="3">'Cloud Configuration'!$R$180</definedName>
    <definedName name="LargeDatabase3418Redo">#REF!</definedName>
    <definedName name="LargeDatabase3418vRAM" localSheetId="3">'Cloud Configuration'!$R$156</definedName>
    <definedName name="LargeDatabase3418vRAM">#REF!</definedName>
    <definedName name="LargeDatabase4147Arc" localSheetId="3">'Cloud Configuration'!$R$213</definedName>
    <definedName name="LargeDatabase4147Arc">#REF!</definedName>
    <definedName name="LargeDatabase4147BackupOpenStack22">'Cloud Configuration'!$R$340</definedName>
    <definedName name="LargeDatabase4147Redo" localSheetId="3">'Cloud Configuration'!$R$189</definedName>
    <definedName name="LargeDatabase4147Redo">#REF!</definedName>
    <definedName name="LargeDatabase4147vRAM" localSheetId="3">'Cloud Configuration'!$R$171</definedName>
    <definedName name="LargeDatabase4147vRAM">#REF!</definedName>
    <definedName name="LargeDatabase4500Arc" localSheetId="3">'Cloud Configuration'!$R$210</definedName>
    <definedName name="LargeDatabase4500Arc">#REF!</definedName>
    <definedName name="LargeDatabase4500Redo" localSheetId="3">'Cloud Configuration'!$R$186</definedName>
    <definedName name="LargeDatabase4500Redo">#REF!</definedName>
    <definedName name="LargeDatabase4500vRAM" localSheetId="3">'Cloud Configuration'!$R$162</definedName>
    <definedName name="LargeDatabase4500vRAM">#REF!</definedName>
    <definedName name="LargeDatabaseOpenStack" localSheetId="3">'Cloud Configuration'!$R$74:$R$75</definedName>
    <definedName name="LargeDatabaseOpenStack">#REF!</definedName>
    <definedName name="LargeDatabaseVMware" localSheetId="3">'Cloud Configuration'!$R$56:$R$57</definedName>
    <definedName name="LargeDatabaseVMware">#REF!</definedName>
    <definedName name="LargeExtRep22OpenStack">'Cloud Configuration'!$R$261</definedName>
    <definedName name="LargeExtRep22VMware">'Cloud Configuration'!$R$258</definedName>
    <definedName name="LargeGlobal22OpenStack">'Cloud Configuration'!$R$237</definedName>
    <definedName name="LargeGlobal22VMware">'Cloud Configuration'!$R$234</definedName>
    <definedName name="LargeISDK22OpenStack">'Cloud Configuration'!$R$390</definedName>
    <definedName name="LargeISDK22Vmware">'Cloud Configuration'!$R$365</definedName>
    <definedName name="LargeUsers" localSheetId="3">'Cloud Configuration'!$R$34:$R$37</definedName>
    <definedName name="MainstreamADM22OpenStack">'Cloud Configuration'!$R$381</definedName>
    <definedName name="MainstreamADM22Vmware">'Cloud Configuration'!$R$356</definedName>
    <definedName name="MainstreamCustomer22OpenStack">'Cloud Configuration'!$R$282:$R$283</definedName>
    <definedName name="MainstreamCustomer22VMware">'Cloud Configuration'!$R$278:$R$279</definedName>
    <definedName name="MainstreamDatabase1382Arc" localSheetId="3">'Cloud Configuration'!$R$141</definedName>
    <definedName name="MainstreamDatabase1382Arc">#REF!</definedName>
    <definedName name="MainstreamDatabase1382BackupOpenStack22">'Cloud Configuration'!$R$316</definedName>
    <definedName name="MainstreamDatabase1382Redo" localSheetId="3">'Cloud Configuration'!$R$129</definedName>
    <definedName name="MainstreamDatabase1382Redo">#REF!</definedName>
    <definedName name="MainstreamDatabase1382vRAM" localSheetId="3">'Cloud Configuration'!$R$117</definedName>
    <definedName name="MainstreamDatabase1382vRAM">#REF!</definedName>
    <definedName name="MainstreamDatabase1500Arc" localSheetId="3">'Cloud Configuration'!$R$138</definedName>
    <definedName name="MainstreamDatabase1500Arc">#REF!</definedName>
    <definedName name="MainstreamDatabase1500BackupVMware22">'Cloud Configuration'!$R$313</definedName>
    <definedName name="MainstreamDatabase1500Redo" localSheetId="3">'Cloud Configuration'!$R$126</definedName>
    <definedName name="MainstreamDatabase1500Redo">#REF!</definedName>
    <definedName name="MainstreamDatabase1500vRAM" localSheetId="3">'Cloud Configuration'!$R$114</definedName>
    <definedName name="MainstreamDatabase1500vRAM">#REF!</definedName>
    <definedName name="MainstreamDatabase1900Arc" localSheetId="3">'Cloud Configuration'!$R$147</definedName>
    <definedName name="MainstreamDatabase1900Arc">#REF!</definedName>
    <definedName name="MainstreamDatabase1900BackupOpenStack22">'Cloud Configuration'!$R$322</definedName>
    <definedName name="MainstreamDatabase1900Redo" localSheetId="3">'Cloud Configuration'!$R$135</definedName>
    <definedName name="MainstreamDatabase1900Redo">#REF!</definedName>
    <definedName name="MainstreamDatabase1900vRAM" localSheetId="3">'Cloud Configuration'!$R$123</definedName>
    <definedName name="MainstreamDatabase1900vRAM">#REF!</definedName>
    <definedName name="MainstreamDatabase2062Arc" localSheetId="3">'Cloud Configuration'!$R$144</definedName>
    <definedName name="MainstreamDatabase2062Arc">#REF!</definedName>
    <definedName name="MainstreamDatabase2062BackupVMware22">'Cloud Configuration'!$R$319</definedName>
    <definedName name="MainstreamDatabase2062Redo" localSheetId="3">'Cloud Configuration'!$R$132</definedName>
    <definedName name="MainstreamDatabase2062Redo">#REF!</definedName>
    <definedName name="MainstreamDatabase2062vRAM" localSheetId="3">'Cloud Configuration'!$R$120</definedName>
    <definedName name="MainstreamDatabase2062vRAM">#REF!</definedName>
    <definedName name="MainstreamDatabaseOpenStack" localSheetId="3">'Cloud Configuration'!$R$70:$R$71</definedName>
    <definedName name="MainstreamDatabaseOpenStack">#REF!</definedName>
    <definedName name="MainstreamDatabaseVMware" localSheetId="3">'Cloud Configuration'!$R$52:$R$53</definedName>
    <definedName name="MainstreamDatabaseVMware">#REF!</definedName>
    <definedName name="MainstreamExtRep22OpenStack">'Cloud Configuration'!$R$255</definedName>
    <definedName name="MainstreamExtRep22VMware">'Cloud Configuration'!$R$252</definedName>
    <definedName name="MainstreamGlobal22OpenStack">'Cloud Configuration'!$R$231</definedName>
    <definedName name="MainstreamGlobal22VMware">'Cloud Configuration'!$R$228</definedName>
    <definedName name="MainstreamISDK22OpenStack">'Cloud Configuration'!$R$384</definedName>
    <definedName name="MainstreamISDK22Vmware">'Cloud Configuration'!$R$359</definedName>
    <definedName name="MainstreamUsers" localSheetId="3">'Cloud Configuration'!$R$27:$R$29</definedName>
    <definedName name="OpenStack">'Cloud Configuration'!$Z$2:$Z$6</definedName>
    <definedName name="OpenStack22">'Cloud Configuration'!$Q$72:$Q$76</definedName>
    <definedName name="OpenStackConfigurationType">'Cloud Configuration'!$Z$2:$Z$6</definedName>
    <definedName name="SmallADM22OpenStack">'Cloud Configuration'!$R$374</definedName>
    <definedName name="SmallADM22Vmware">'Cloud Configuration'!$R$349</definedName>
    <definedName name="SmallCustomer22OpenStack">'Cloud Configuration'!$R$274:$R$275</definedName>
    <definedName name="SmallCustomer22VMware">'Cloud Configuration'!$R$270:$R$271</definedName>
    <definedName name="SmallDatabase1100Arc" localSheetId="3">'Cloud Configuration'!$R$111</definedName>
    <definedName name="SmallDatabase1100Arc">#REF!</definedName>
    <definedName name="SmallDatabase1100BackupOpenStack22">'Cloud Configuration'!$R$310</definedName>
    <definedName name="SmallDatabase1100Redo" localSheetId="3">'Cloud Configuration'!$R$99</definedName>
    <definedName name="SmallDatabase1100Redo">#REF!</definedName>
    <definedName name="SmallDatabase1100vRAM" localSheetId="3">'Cloud Configuration'!$R$87</definedName>
    <definedName name="SmallDatabase1100vRAM">#REF!</definedName>
    <definedName name="SmallDatabase1194Arc" localSheetId="3">'Cloud Configuration'!$R$108</definedName>
    <definedName name="SmallDatabase1194Arc">#REF!</definedName>
    <definedName name="SmallDatabase1194BackupVMware22">'Cloud Configuration'!$R$307</definedName>
    <definedName name="SmallDatabase1194Redo" localSheetId="3">'Cloud Configuration'!$R$96</definedName>
    <definedName name="SmallDatabase1194Redo">#REF!</definedName>
    <definedName name="SmallDatabase1194vRAM" localSheetId="3">'Cloud Configuration'!$R$84</definedName>
    <definedName name="SmallDatabase1194vRAM">#REF!</definedName>
    <definedName name="SmallDatabase691Arc" localSheetId="3">'Cloud Configuration'!$R$105</definedName>
    <definedName name="SmallDatabase691Arc">#REF!</definedName>
    <definedName name="SmallDatabase691BackupOpenStack22">'Cloud Configuration'!$R$304</definedName>
    <definedName name="SmallDatabase691Redo" localSheetId="3">'Cloud Configuration'!$R$93</definedName>
    <definedName name="SmallDatabase691Redo">#REF!</definedName>
    <definedName name="SmallDatabase691vRAM" localSheetId="3">'Cloud Configuration'!$R$81</definedName>
    <definedName name="SmallDatabase691vRAM">#REF!</definedName>
    <definedName name="SmallDatabase750Arc" localSheetId="3">'Cloud Configuration'!$R$102</definedName>
    <definedName name="SmallDatabase750Arc">#REF!</definedName>
    <definedName name="SmallDatabase750BackupVMware22">'Cloud Configuration'!$R$301</definedName>
    <definedName name="SmallDatabase750Redo" localSheetId="3">'Cloud Configuration'!$R$90</definedName>
    <definedName name="SmallDatabase750Redo">#REF!</definedName>
    <definedName name="SmallDatabase750vRAM" localSheetId="3">'Cloud Configuration'!$R$78</definedName>
    <definedName name="SmallDatabase750vRAM">#REF!</definedName>
    <definedName name="SmallDatabaseOpenStack" localSheetId="3">'Cloud Configuration'!$R$66:$R$67</definedName>
    <definedName name="SmallDatabaseOpenStack">#REF!</definedName>
    <definedName name="SmallDatabaseVMware" localSheetId="3">'Cloud Configuration'!$R$45:$R$47</definedName>
    <definedName name="SmallDatabaseVMware">#REF!</definedName>
    <definedName name="SmallExtRep22OpenStack">'Cloud Configuration'!$R$249</definedName>
    <definedName name="SmallExtRep22VMware">'Cloud Configuration'!$R$246</definedName>
    <definedName name="SmallGlobal22OpenStack">'Cloud Configuration'!$R$225</definedName>
    <definedName name="SmallGlobal22VMware">'Cloud Configuration'!$R$222</definedName>
    <definedName name="SmallISDK22OpenStack">'Cloud Configuration'!$R$377</definedName>
    <definedName name="SmallISDK22Vmware">'Cloud Configuration'!$R$352</definedName>
    <definedName name="SmallUsers" localSheetId="3">'Cloud Configuration'!$R$23:$R$24</definedName>
    <definedName name="Version">2</definedName>
    <definedName name="Vmware">'Cloud Configuration'!$Q$66:$Q$69</definedName>
    <definedName name="Vmware22">'Cloud Configuration'!$Q$66:$Q$69</definedName>
    <definedName name="VMWareConfigurationType">'Cloud Configuration'!$Q$66:$Q$69</definedName>
    <definedName name="XLDatabase8294Arc">#REF!</definedName>
    <definedName name="XLDatabase8294Redo">#REF!</definedName>
    <definedName name="XLDatabase8294vRAM">#REF!</definedName>
    <definedName name="XLDatabase9000Arc">#REF!</definedName>
    <definedName name="XLDatabase9000Redo">#REF!</definedName>
    <definedName name="XLDatabase9000vRAM">#REF!</definedName>
    <definedName name="XLDatabaseOpenStack">#REF!</definedName>
    <definedName name="XLDatabaseVMware">#REF!</definedName>
    <definedName name="XLUsers">#REF!</definedName>
    <definedName name="XXLADM22OpenStack">'Cloud Configuration'!$R$393</definedName>
    <definedName name="XXLADM22Vmware">'Cloud Configuration'!$R$368</definedName>
    <definedName name="XXLCustomer22OpenStack">'Cloud Configuration'!$R$294:$R$295</definedName>
    <definedName name="XXLCustomer22VMWare">'Cloud Configuration'!$R$298</definedName>
    <definedName name="XXLDatabase8294Arc" localSheetId="3">'Cloud Configuration'!$R$219</definedName>
    <definedName name="XXLDatabase8294Arc">#REF!</definedName>
    <definedName name="XXLDatabase8294BackupOpenStack22">'Cloud Configuration'!$R$346</definedName>
    <definedName name="XXLDatabase8294Redo" localSheetId="3">'Cloud Configuration'!$R$195</definedName>
    <definedName name="XXLDatabase8294Redo">#REF!</definedName>
    <definedName name="XXLDatabase8294vRAM" localSheetId="3">'Cloud Configuration'!$R$168</definedName>
    <definedName name="XXLDatabase8294vRAM">#REF!</definedName>
    <definedName name="XXLDatabase9000Arc" localSheetId="3">'Cloud Configuration'!$R$216</definedName>
    <definedName name="XXLDatabase9000Arc">#REF!</definedName>
    <definedName name="XXLDatabase9000BackupVMware22">'Cloud Configuration'!$R$343</definedName>
    <definedName name="XXLDatabase9000Redo" localSheetId="3">'Cloud Configuration'!$R$192</definedName>
    <definedName name="XXLDatabase9000Redo">#REF!</definedName>
    <definedName name="XXLDatabase9000vRAM" localSheetId="3">'Cloud Configuration'!$R$165</definedName>
    <definedName name="XXLDatabase9000vRAM">#REF!</definedName>
    <definedName name="XXLDatabaseOpenStack" localSheetId="3">'Cloud Configuration'!$R$63</definedName>
    <definedName name="XXLDatabaseOpenStack">#REF!</definedName>
    <definedName name="XXLDatabaseVMware" localSheetId="3">'Cloud Configuration'!$R$60</definedName>
    <definedName name="XXLDatabaseVMware">#REF!</definedName>
    <definedName name="XXLExtRep22OpenStack">'Cloud Configuration'!$R$267</definedName>
    <definedName name="XXLExtRep22VMware">'Cloud Configuration'!$R$264</definedName>
    <definedName name="XXLGlobal22OpenStack">'Cloud Configuration'!$R$240</definedName>
    <definedName name="XXLGlobal22VMware">'Cloud Configuration'!$R$243</definedName>
    <definedName name="XXLISDK22OpenStack">'Cloud Configuration'!$R$396</definedName>
    <definedName name="XXLISDK22Vmware">'Cloud Configuration'!$R$371</definedName>
    <definedName name="XXLUsers" localSheetId="3">'Cloud Configuration'!$V$34:$V$37</definedName>
    <definedName name="XXXLADM22OpenStack">'Cloud Configuration'!$R$420</definedName>
    <definedName name="XXXLCustomer22OpenStack">'Cloud Configuration'!$R$417</definedName>
    <definedName name="XXXLDatabase15565Arc">'Cloud Configuration'!$R$405</definedName>
    <definedName name="XXXLDatabase15565BackupOpenStack22">'Cloud Configuration'!$R$408</definedName>
    <definedName name="XXXLDatabase15565Redo">'Cloud Configuration'!$R$426</definedName>
    <definedName name="XXXLDatabase15565vRAM">'Cloud Configuration'!$R$402</definedName>
    <definedName name="XXXLDatabaseOpenstack">'Cloud Configuration'!$R$399</definedName>
    <definedName name="XXXLExtRep22OpenStack">'Cloud Configuration'!$R$414</definedName>
    <definedName name="XXXLGlobal22OpenStack">'Cloud Configuration'!$R$411</definedName>
    <definedName name="XXXLISDK22OpenStack">'Cloud Configuration'!$R$423</definedName>
    <definedName name="XXXLUsers">'Cloud Configuration'!$Y$34:$Y$37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11" i="135" l="1"/>
  <c r="U11" i="135"/>
  <c r="G11" i="135"/>
  <c r="X10" i="132"/>
  <c r="P10" i="132"/>
  <c r="G10" i="132"/>
  <c r="H10" i="132" s="1"/>
  <c r="F108" i="132"/>
  <c r="C108" i="132"/>
  <c r="AG11" i="129"/>
  <c r="U11" i="129"/>
  <c r="G11" i="129"/>
  <c r="F11" i="129"/>
  <c r="X10" i="128"/>
  <c r="P10" i="128"/>
  <c r="G10" i="128"/>
  <c r="F10" i="128"/>
  <c r="F11" i="125" l="1"/>
  <c r="C130" i="125"/>
  <c r="X11" i="125"/>
  <c r="P11" i="125"/>
  <c r="G11" i="125"/>
  <c r="X11" i="123"/>
  <c r="P11" i="123"/>
  <c r="C108" i="123"/>
  <c r="B104" i="123"/>
  <c r="B103" i="123"/>
  <c r="G11" i="123"/>
  <c r="F11" i="123"/>
  <c r="AF80" i="127" l="1"/>
  <c r="G80" i="127"/>
  <c r="F80" i="127"/>
  <c r="C150" i="127"/>
  <c r="B150" i="127"/>
  <c r="AF79" i="136"/>
  <c r="G79" i="136"/>
  <c r="F79" i="136"/>
  <c r="C130" i="136"/>
  <c r="B130" i="136"/>
  <c r="AF81" i="125"/>
  <c r="G81" i="125"/>
  <c r="F81" i="125"/>
  <c r="C134" i="125"/>
  <c r="B134" i="125"/>
  <c r="C121" i="124"/>
  <c r="B121" i="124"/>
  <c r="AF69" i="124"/>
  <c r="G69" i="124"/>
  <c r="F69" i="124"/>
  <c r="C112" i="123"/>
  <c r="B112" i="123"/>
  <c r="AF62" i="123"/>
  <c r="G62" i="123"/>
  <c r="F62" i="123"/>
  <c r="AN80" i="127" l="1"/>
  <c r="AO80" i="127"/>
  <c r="AP80" i="127"/>
  <c r="AQ80" i="127"/>
  <c r="AR80" i="127"/>
  <c r="AS80" i="127"/>
  <c r="AT80" i="127"/>
  <c r="AU80" i="127"/>
  <c r="AV80" i="127"/>
  <c r="AM80" i="127"/>
  <c r="J80" i="127"/>
  <c r="AN79" i="136"/>
  <c r="AO79" i="136"/>
  <c r="AP79" i="136"/>
  <c r="AQ79" i="136"/>
  <c r="AR79" i="136"/>
  <c r="AS79" i="136"/>
  <c r="AT79" i="136"/>
  <c r="AU79" i="136"/>
  <c r="AV79" i="136"/>
  <c r="AM79" i="136"/>
  <c r="J79" i="136"/>
  <c r="AP81" i="125"/>
  <c r="AQ81" i="125"/>
  <c r="AR81" i="125"/>
  <c r="AS81" i="125"/>
  <c r="AT81" i="125"/>
  <c r="AU81" i="125"/>
  <c r="AV81" i="125"/>
  <c r="AW81" i="125"/>
  <c r="AX81" i="125"/>
  <c r="AO81" i="125"/>
  <c r="J81" i="125"/>
  <c r="AP69" i="124"/>
  <c r="AQ69" i="124"/>
  <c r="AR69" i="124"/>
  <c r="AS69" i="124"/>
  <c r="AT69" i="124"/>
  <c r="AU69" i="124"/>
  <c r="AV69" i="124"/>
  <c r="AW69" i="124"/>
  <c r="AX69" i="124"/>
  <c r="AO69" i="124"/>
  <c r="J69" i="124"/>
  <c r="AF63" i="123"/>
  <c r="AF77" i="123" s="1"/>
  <c r="AF90" i="123" s="1"/>
  <c r="AP62" i="123"/>
  <c r="AQ62" i="123"/>
  <c r="AR62" i="123"/>
  <c r="AS62" i="123"/>
  <c r="AT62" i="123"/>
  <c r="AU62" i="123"/>
  <c r="AV62" i="123"/>
  <c r="AW62" i="123"/>
  <c r="AX62" i="123"/>
  <c r="AO62" i="123"/>
  <c r="J62" i="123"/>
  <c r="AF32" i="123"/>
  <c r="AF38" i="124"/>
  <c r="AF70" i="124" s="1"/>
  <c r="AF84" i="124" s="1"/>
  <c r="AF97" i="124" s="1"/>
  <c r="AF44" i="125"/>
  <c r="AF82" i="125" s="1"/>
  <c r="AF96" i="125" s="1"/>
  <c r="AF109" i="125" s="1"/>
  <c r="AF44" i="136"/>
  <c r="AF80" i="136" s="1"/>
  <c r="AF94" i="136" s="1"/>
  <c r="AF107" i="136" s="1"/>
  <c r="AF44" i="127"/>
  <c r="AF81" i="127" s="1"/>
  <c r="AF95" i="127" s="1"/>
  <c r="AF108" i="127" s="1"/>
  <c r="B136" i="127" l="1"/>
  <c r="B135" i="127"/>
  <c r="B124" i="136"/>
  <c r="B127" i="125"/>
  <c r="B114" i="124"/>
  <c r="B105" i="123"/>
  <c r="C46" i="110" l="1"/>
  <c r="D46" i="110"/>
  <c r="E46" i="110"/>
  <c r="F46" i="110"/>
  <c r="C37" i="110" l="1"/>
  <c r="F37" i="110" l="1"/>
  <c r="E37" i="110"/>
  <c r="D37" i="110"/>
  <c r="AN93" i="127" l="1"/>
  <c r="AO93" i="127"/>
  <c r="AP93" i="127"/>
  <c r="AQ93" i="127"/>
  <c r="AR93" i="127"/>
  <c r="AS93" i="127"/>
  <c r="AT93" i="127"/>
  <c r="AU93" i="127"/>
  <c r="AV93" i="127"/>
  <c r="AN94" i="127"/>
  <c r="AO94" i="127"/>
  <c r="AP94" i="127"/>
  <c r="AQ94" i="127"/>
  <c r="AR94" i="127"/>
  <c r="AS94" i="127"/>
  <c r="AT94" i="127"/>
  <c r="AU94" i="127"/>
  <c r="AV94" i="127"/>
  <c r="AM94" i="127"/>
  <c r="J94" i="127"/>
  <c r="AM93" i="127"/>
  <c r="J93" i="127"/>
  <c r="AN92" i="136"/>
  <c r="AO92" i="136"/>
  <c r="AP92" i="136"/>
  <c r="AQ92" i="136"/>
  <c r="AR92" i="136"/>
  <c r="AS92" i="136"/>
  <c r="AT92" i="136"/>
  <c r="AU92" i="136"/>
  <c r="AV92" i="136"/>
  <c r="AN93" i="136"/>
  <c r="AO93" i="136"/>
  <c r="AP93" i="136"/>
  <c r="AQ93" i="136"/>
  <c r="AR93" i="136"/>
  <c r="AS93" i="136"/>
  <c r="AT93" i="136"/>
  <c r="AU93" i="136"/>
  <c r="AV93" i="136"/>
  <c r="AM93" i="136"/>
  <c r="J93" i="136"/>
  <c r="AM92" i="136"/>
  <c r="J92" i="136"/>
  <c r="AP94" i="125"/>
  <c r="AQ94" i="125"/>
  <c r="AR94" i="125"/>
  <c r="AS94" i="125"/>
  <c r="AT94" i="125"/>
  <c r="AU94" i="125"/>
  <c r="AV94" i="125"/>
  <c r="AW94" i="125"/>
  <c r="AX94" i="125"/>
  <c r="AP95" i="125"/>
  <c r="AQ95" i="125"/>
  <c r="AR95" i="125"/>
  <c r="AS95" i="125"/>
  <c r="AT95" i="125"/>
  <c r="AU95" i="125"/>
  <c r="AV95" i="125"/>
  <c r="AW95" i="125"/>
  <c r="AX95" i="125"/>
  <c r="AO95" i="125"/>
  <c r="J95" i="125"/>
  <c r="AO94" i="125"/>
  <c r="J94" i="125"/>
  <c r="AP82" i="124"/>
  <c r="AQ82" i="124"/>
  <c r="AR82" i="124"/>
  <c r="AS82" i="124"/>
  <c r="AT82" i="124"/>
  <c r="AU82" i="124"/>
  <c r="AV82" i="124"/>
  <c r="AW82" i="124"/>
  <c r="AX82" i="124"/>
  <c r="AP83" i="124"/>
  <c r="AQ83" i="124"/>
  <c r="AR83" i="124"/>
  <c r="AS83" i="124"/>
  <c r="AT83" i="124"/>
  <c r="AU83" i="124"/>
  <c r="AV83" i="124"/>
  <c r="AW83" i="124"/>
  <c r="AX83" i="124"/>
  <c r="AO83" i="124"/>
  <c r="J83" i="124"/>
  <c r="AO82" i="124"/>
  <c r="J82" i="124"/>
  <c r="AR75" i="123"/>
  <c r="AS75" i="123"/>
  <c r="AT75" i="123"/>
  <c r="AU75" i="123"/>
  <c r="AV75" i="123"/>
  <c r="AW75" i="123"/>
  <c r="AX75" i="123"/>
  <c r="AR76" i="123"/>
  <c r="AS76" i="123"/>
  <c r="AT76" i="123"/>
  <c r="AU76" i="123"/>
  <c r="AV76" i="123"/>
  <c r="AW76" i="123"/>
  <c r="AX76" i="123"/>
  <c r="AQ75" i="123"/>
  <c r="AQ76" i="123"/>
  <c r="AP76" i="123"/>
  <c r="AO76" i="123"/>
  <c r="J76" i="123"/>
  <c r="AP75" i="123"/>
  <c r="AO75" i="123"/>
  <c r="J75" i="123"/>
  <c r="H46" i="110" l="1"/>
  <c r="W16" i="110"/>
  <c r="W15" i="110" l="1"/>
  <c r="W12" i="110"/>
  <c r="W10" i="110"/>
  <c r="W9" i="110"/>
  <c r="W8" i="110"/>
  <c r="W7" i="110"/>
  <c r="W6" i="110"/>
  <c r="W3" i="110"/>
  <c r="R7" i="110" l="1"/>
  <c r="R9" i="110"/>
  <c r="AD73" i="133"/>
  <c r="AB73" i="133"/>
  <c r="Z73" i="133"/>
  <c r="X73" i="133"/>
  <c r="V73" i="133"/>
  <c r="T73" i="133"/>
  <c r="P73" i="133"/>
  <c r="N73" i="133"/>
  <c r="L73" i="133"/>
  <c r="F73" i="133"/>
  <c r="AT72" i="133"/>
  <c r="AT71" i="133"/>
  <c r="AS72" i="133"/>
  <c r="AR72" i="133"/>
  <c r="AQ72" i="133"/>
  <c r="AP72" i="133"/>
  <c r="AO72" i="133"/>
  <c r="AN72" i="133"/>
  <c r="AM72" i="133"/>
  <c r="AL72" i="133"/>
  <c r="AK72" i="133"/>
  <c r="J72" i="133"/>
  <c r="AF64" i="128"/>
  <c r="AD64" i="128"/>
  <c r="AB64" i="128"/>
  <c r="Z64" i="128"/>
  <c r="V64" i="128"/>
  <c r="T64" i="128"/>
  <c r="L64" i="128"/>
  <c r="AF73" i="130"/>
  <c r="AD73" i="130"/>
  <c r="AB73" i="130"/>
  <c r="Z73" i="130"/>
  <c r="X73" i="130"/>
  <c r="V73" i="130"/>
  <c r="T73" i="130"/>
  <c r="P73" i="130"/>
  <c r="L73" i="130"/>
  <c r="AF85" i="132"/>
  <c r="AD85" i="132"/>
  <c r="AB85" i="132"/>
  <c r="Z85" i="132"/>
  <c r="V85" i="132"/>
  <c r="T85" i="132"/>
  <c r="L85" i="132"/>
  <c r="AF73" i="132"/>
  <c r="AD73" i="132"/>
  <c r="AB73" i="132"/>
  <c r="Z73" i="132"/>
  <c r="V73" i="132"/>
  <c r="T73" i="132"/>
  <c r="L73" i="132"/>
  <c r="F73" i="132"/>
  <c r="AV72" i="132"/>
  <c r="AU72" i="132"/>
  <c r="AT72" i="132"/>
  <c r="AS72" i="132"/>
  <c r="AR72" i="132"/>
  <c r="AQ72" i="132"/>
  <c r="AP72" i="132"/>
  <c r="AO72" i="132"/>
  <c r="AN72" i="132"/>
  <c r="AM72" i="132"/>
  <c r="J72" i="132"/>
  <c r="AF61" i="130"/>
  <c r="AD61" i="130"/>
  <c r="AB61" i="130"/>
  <c r="Z61" i="130"/>
  <c r="X61" i="130"/>
  <c r="V61" i="130"/>
  <c r="T61" i="130"/>
  <c r="P61" i="130"/>
  <c r="L61" i="130"/>
  <c r="F61" i="130"/>
  <c r="AV60" i="130"/>
  <c r="AV59" i="130"/>
  <c r="AU60" i="130"/>
  <c r="AT60" i="130"/>
  <c r="AS60" i="130"/>
  <c r="AR60" i="130"/>
  <c r="AQ60" i="130"/>
  <c r="AP60" i="130"/>
  <c r="AO60" i="130"/>
  <c r="AN60" i="130"/>
  <c r="AM60" i="130"/>
  <c r="J60" i="130"/>
  <c r="AF51" i="128"/>
  <c r="AD51" i="128"/>
  <c r="AB51" i="128"/>
  <c r="Z51" i="128"/>
  <c r="V51" i="128"/>
  <c r="T51" i="128"/>
  <c r="L51" i="128"/>
  <c r="AO50" i="128"/>
  <c r="AP50" i="128"/>
  <c r="AQ50" i="128"/>
  <c r="AR50" i="128"/>
  <c r="AS50" i="128"/>
  <c r="AT50" i="128"/>
  <c r="AU50" i="128"/>
  <c r="AV50" i="128"/>
  <c r="AV49" i="128"/>
  <c r="AU49" i="128"/>
  <c r="AT49" i="128"/>
  <c r="AS49" i="128"/>
  <c r="AR49" i="128"/>
  <c r="AQ49" i="128"/>
  <c r="AP49" i="128"/>
  <c r="AO49" i="128"/>
  <c r="AN50" i="128"/>
  <c r="AM50" i="128"/>
  <c r="J50" i="128"/>
  <c r="F48" i="127" l="1"/>
  <c r="F47" i="127"/>
  <c r="F48" i="136"/>
  <c r="F47" i="136"/>
  <c r="F50" i="125"/>
  <c r="F49" i="125"/>
  <c r="F48" i="125"/>
  <c r="F47" i="125"/>
  <c r="F43" i="124"/>
  <c r="F42" i="124"/>
  <c r="F41" i="124"/>
  <c r="F40" i="123"/>
  <c r="F39" i="123"/>
  <c r="F38" i="123"/>
  <c r="F37" i="123"/>
  <c r="F36" i="123"/>
  <c r="F35" i="123"/>
  <c r="C149" i="127" l="1"/>
  <c r="C129" i="136"/>
  <c r="C133" i="125"/>
  <c r="C120" i="124"/>
  <c r="I9" i="127"/>
  <c r="I9" i="136"/>
  <c r="I9" i="125"/>
  <c r="I9" i="124"/>
  <c r="G9" i="127"/>
  <c r="G9" i="136"/>
  <c r="G9" i="125"/>
  <c r="G9" i="124"/>
  <c r="D9" i="127"/>
  <c r="D9" i="136"/>
  <c r="D9" i="125"/>
  <c r="D9" i="124"/>
  <c r="C111" i="123"/>
  <c r="I9" i="123"/>
  <c r="G9" i="123"/>
  <c r="D9" i="123"/>
  <c r="B127" i="136" l="1"/>
  <c r="C42" i="110" l="1"/>
  <c r="W4" i="110"/>
  <c r="C38" i="110"/>
  <c r="Z33" i="110"/>
  <c r="C36" i="110"/>
  <c r="E3" i="110" l="1"/>
  <c r="AK41" i="137"/>
  <c r="AK40" i="137"/>
  <c r="AK39" i="137"/>
  <c r="AK38" i="137"/>
  <c r="H6" i="131" l="1"/>
  <c r="C131" i="125" l="1"/>
  <c r="C125" i="125"/>
  <c r="B125" i="125" s="1"/>
  <c r="C124" i="125"/>
  <c r="B124" i="125" s="1"/>
  <c r="B130" i="125"/>
  <c r="B131" i="125" s="1"/>
  <c r="C126" i="125"/>
  <c r="B126" i="125" s="1"/>
  <c r="H11" i="125"/>
  <c r="H145" i="125"/>
  <c r="C145" i="125"/>
  <c r="C109" i="123"/>
  <c r="C103" i="123"/>
  <c r="B108" i="123"/>
  <c r="B109" i="123" s="1"/>
  <c r="C104" i="123"/>
  <c r="AG82" i="137" l="1"/>
  <c r="AG81" i="137"/>
  <c r="AG80" i="137"/>
  <c r="AG79" i="137"/>
  <c r="AG78" i="137"/>
  <c r="AG77" i="137"/>
  <c r="AY73" i="137"/>
  <c r="AG72" i="137"/>
  <c r="AG71" i="137"/>
  <c r="AG70" i="137"/>
  <c r="AG69" i="137"/>
  <c r="AG68" i="137"/>
  <c r="AG67" i="137"/>
  <c r="AG66" i="137"/>
  <c r="AG65" i="137"/>
  <c r="AG64" i="137"/>
  <c r="AG63" i="137"/>
  <c r="AG62" i="137"/>
  <c r="AG61" i="137"/>
  <c r="AG60" i="137"/>
  <c r="AG59" i="137"/>
  <c r="AG58" i="137"/>
  <c r="AG57" i="137"/>
  <c r="AG56" i="137"/>
  <c r="AG55" i="137"/>
  <c r="AG54" i="137"/>
  <c r="AG53" i="137"/>
  <c r="AG52" i="137"/>
  <c r="AG51" i="137"/>
  <c r="AG50" i="137"/>
  <c r="AG49" i="137"/>
  <c r="BD44" i="137"/>
  <c r="BD73" i="137" s="1"/>
  <c r="BD83" i="137" s="1"/>
  <c r="BC44" i="137"/>
  <c r="BC73" i="137" s="1"/>
  <c r="BC83" i="137" s="1"/>
  <c r="BA44" i="137"/>
  <c r="BA73" i="137" s="1"/>
  <c r="BA83" i="137" s="1"/>
  <c r="AX44" i="137"/>
  <c r="AX73" i="137" s="1"/>
  <c r="AX83" i="137" s="1"/>
  <c r="AW44" i="137"/>
  <c r="AW73" i="137" s="1"/>
  <c r="AW83" i="137" s="1"/>
  <c r="AR44" i="137"/>
  <c r="AK44" i="137"/>
  <c r="AK73" i="137" s="1"/>
  <c r="AK83" i="137" s="1"/>
  <c r="AF44" i="137"/>
  <c r="AF73" i="137" s="1"/>
  <c r="AF83" i="137" s="1"/>
  <c r="AB44" i="137"/>
  <c r="AB73" i="137" s="1"/>
  <c r="AB83" i="137" s="1"/>
  <c r="Y44" i="137"/>
  <c r="Y73" i="137" s="1"/>
  <c r="Y83" i="137" s="1"/>
  <c r="U44" i="137"/>
  <c r="U73" i="137" s="1"/>
  <c r="U83" i="137" s="1"/>
  <c r="Q44" i="137"/>
  <c r="Q73" i="137" s="1"/>
  <c r="Q83" i="137" s="1"/>
  <c r="M44" i="137"/>
  <c r="M73" i="137" s="1"/>
  <c r="M83" i="137" s="1"/>
  <c r="L44" i="137"/>
  <c r="L73" i="137" s="1"/>
  <c r="L83" i="137" s="1"/>
  <c r="H44" i="137"/>
  <c r="H73" i="137" s="1"/>
  <c r="H83" i="137" s="1"/>
  <c r="G44" i="137"/>
  <c r="G73" i="137" s="1"/>
  <c r="G83" i="137" s="1"/>
  <c r="F44" i="137"/>
  <c r="F73" i="137" s="1"/>
  <c r="F83" i="137" s="1"/>
  <c r="AG43" i="137"/>
  <c r="AG42" i="137"/>
  <c r="AN41" i="137"/>
  <c r="AG41" i="137"/>
  <c r="AN40" i="137"/>
  <c r="AG40" i="137"/>
  <c r="AN39" i="137"/>
  <c r="AG39" i="137"/>
  <c r="AN38" i="137"/>
  <c r="AG38" i="137"/>
  <c r="AG37" i="137"/>
  <c r="AG36" i="137"/>
  <c r="AG35" i="137"/>
  <c r="AG34" i="137"/>
  <c r="AG33" i="137"/>
  <c r="AG32" i="137"/>
  <c r="AG31" i="137"/>
  <c r="AG30" i="137"/>
  <c r="AG29" i="137"/>
  <c r="AG28" i="137"/>
  <c r="AG27" i="137"/>
  <c r="AG26" i="137"/>
  <c r="AG25" i="137"/>
  <c r="AV24" i="137"/>
  <c r="AG24" i="137"/>
  <c r="AV23" i="137"/>
  <c r="AG23" i="137"/>
  <c r="AG22" i="137"/>
  <c r="AG21" i="137"/>
  <c r="AG20" i="137"/>
  <c r="AR19" i="137"/>
  <c r="AG19" i="137"/>
  <c r="AG18" i="137"/>
  <c r="AG17" i="137"/>
  <c r="AG16" i="137"/>
  <c r="AG15" i="137"/>
  <c r="AG14" i="137"/>
  <c r="AG13" i="137"/>
  <c r="AG12" i="137"/>
  <c r="AC12" i="137"/>
  <c r="AC44" i="137" s="1"/>
  <c r="AC73" i="137" s="1"/>
  <c r="AC83" i="137" s="1"/>
  <c r="AG11" i="137"/>
  <c r="X11" i="137"/>
  <c r="X44" i="137" s="1"/>
  <c r="X73" i="137" s="1"/>
  <c r="X83" i="137" s="1"/>
  <c r="T11" i="137"/>
  <c r="T44" i="137" s="1"/>
  <c r="T73" i="137" s="1"/>
  <c r="T83" i="137" s="1"/>
  <c r="P11" i="137"/>
  <c r="P44" i="137" s="1"/>
  <c r="P73" i="137" s="1"/>
  <c r="P83" i="137" s="1"/>
  <c r="AG10" i="137"/>
  <c r="AG9" i="137"/>
  <c r="AG44" i="137" l="1"/>
  <c r="AG73" i="137" s="1"/>
  <c r="AG83" i="137" s="1"/>
  <c r="AN44" i="137"/>
  <c r="AN73" i="137" s="1"/>
  <c r="AN83" i="137" s="1"/>
  <c r="AR11" i="124" l="1"/>
  <c r="AR78" i="133"/>
  <c r="AR79" i="133"/>
  <c r="AR80" i="133"/>
  <c r="AR81" i="133"/>
  <c r="AR82" i="133"/>
  <c r="AR83" i="133"/>
  <c r="AR84" i="133"/>
  <c r="AR77" i="133"/>
  <c r="AR49" i="133"/>
  <c r="AR50" i="133"/>
  <c r="AR51" i="133"/>
  <c r="AR52" i="133"/>
  <c r="AR53" i="133"/>
  <c r="AR54" i="133"/>
  <c r="AR55" i="133"/>
  <c r="AR56" i="133"/>
  <c r="AR57" i="133"/>
  <c r="AR58" i="133"/>
  <c r="AR59" i="133"/>
  <c r="AR60" i="133"/>
  <c r="AR61" i="133"/>
  <c r="AR62" i="133"/>
  <c r="AR63" i="133"/>
  <c r="AR64" i="133"/>
  <c r="AR65" i="133"/>
  <c r="AR66" i="133"/>
  <c r="AR67" i="133"/>
  <c r="AR68" i="133"/>
  <c r="AR69" i="133"/>
  <c r="AR70" i="133"/>
  <c r="AR71" i="133"/>
  <c r="AR48" i="133"/>
  <c r="AR23" i="133"/>
  <c r="AR24" i="133"/>
  <c r="AR25" i="133"/>
  <c r="AR26" i="133"/>
  <c r="AR27" i="133"/>
  <c r="AR28" i="133"/>
  <c r="AR29" i="133"/>
  <c r="AR30" i="133"/>
  <c r="AR31" i="133"/>
  <c r="AR32" i="133"/>
  <c r="AR33" i="133"/>
  <c r="AR34" i="133"/>
  <c r="AR35" i="133"/>
  <c r="AR36" i="133"/>
  <c r="AR37" i="133"/>
  <c r="AR38" i="133"/>
  <c r="AR39" i="133"/>
  <c r="AR40" i="133"/>
  <c r="AR41" i="133"/>
  <c r="AR42" i="133"/>
  <c r="AR9" i="133"/>
  <c r="AR10" i="133"/>
  <c r="AR11" i="133"/>
  <c r="AR12" i="133"/>
  <c r="AR13" i="133"/>
  <c r="AR14" i="133"/>
  <c r="AR15" i="133"/>
  <c r="AR16" i="133"/>
  <c r="AR17" i="133"/>
  <c r="AR18" i="133"/>
  <c r="AR19" i="133"/>
  <c r="AR20" i="133"/>
  <c r="AR21" i="133"/>
  <c r="AR22" i="133"/>
  <c r="AR8" i="133"/>
  <c r="AT78" i="132"/>
  <c r="AT79" i="132"/>
  <c r="AT80" i="132"/>
  <c r="AT81" i="132"/>
  <c r="AT82" i="132"/>
  <c r="AT83" i="132"/>
  <c r="AT84" i="132"/>
  <c r="AT77" i="132"/>
  <c r="AT49" i="132"/>
  <c r="AT50" i="132"/>
  <c r="AT51" i="132"/>
  <c r="AT52" i="132"/>
  <c r="AT53" i="132"/>
  <c r="AT54" i="132"/>
  <c r="AT55" i="132"/>
  <c r="AT56" i="132"/>
  <c r="AT57" i="132"/>
  <c r="AT58" i="132"/>
  <c r="AT59" i="132"/>
  <c r="AT60" i="132"/>
  <c r="AT61" i="132"/>
  <c r="AT62" i="132"/>
  <c r="AT63" i="132"/>
  <c r="AT64" i="132"/>
  <c r="AT65" i="132"/>
  <c r="AT66" i="132"/>
  <c r="AT67" i="132"/>
  <c r="AT68" i="132"/>
  <c r="AT69" i="132"/>
  <c r="AT70" i="132"/>
  <c r="AT71" i="132"/>
  <c r="AT48" i="132"/>
  <c r="AT9" i="132"/>
  <c r="AT10" i="132"/>
  <c r="AT11" i="132"/>
  <c r="AT12" i="132"/>
  <c r="AT13" i="132"/>
  <c r="AT14" i="132"/>
  <c r="AT15" i="132"/>
  <c r="AT16" i="132"/>
  <c r="AT17" i="132"/>
  <c r="AT18" i="132"/>
  <c r="AT19" i="132"/>
  <c r="AT20" i="132"/>
  <c r="AT21" i="132"/>
  <c r="AT22" i="132"/>
  <c r="AT23" i="132"/>
  <c r="AT24" i="132"/>
  <c r="AT25" i="132"/>
  <c r="AT26" i="132"/>
  <c r="AT27" i="132"/>
  <c r="AT28" i="132"/>
  <c r="AT29" i="132"/>
  <c r="AT30" i="132"/>
  <c r="AT31" i="132"/>
  <c r="AT32" i="132"/>
  <c r="AT33" i="132"/>
  <c r="AT34" i="132"/>
  <c r="AT35" i="132"/>
  <c r="AT36" i="132"/>
  <c r="AT37" i="132"/>
  <c r="AT38" i="132"/>
  <c r="AT39" i="132"/>
  <c r="AT40" i="132"/>
  <c r="AT41" i="132"/>
  <c r="AT42" i="132"/>
  <c r="AT8" i="132"/>
  <c r="AT66" i="130"/>
  <c r="AT67" i="130"/>
  <c r="AT68" i="130"/>
  <c r="AT69" i="130"/>
  <c r="AT70" i="130"/>
  <c r="AT71" i="130"/>
  <c r="AT72" i="130"/>
  <c r="AT65" i="130"/>
  <c r="AT42" i="130"/>
  <c r="AT43" i="130"/>
  <c r="AT44" i="130"/>
  <c r="AT45" i="130"/>
  <c r="AT46" i="130"/>
  <c r="AT47" i="130"/>
  <c r="AT48" i="130"/>
  <c r="AT49" i="130"/>
  <c r="AT50" i="130"/>
  <c r="AT51" i="130"/>
  <c r="AT52" i="130"/>
  <c r="AT53" i="130"/>
  <c r="AT54" i="130"/>
  <c r="AT55" i="130"/>
  <c r="AT56" i="130"/>
  <c r="AT57" i="130"/>
  <c r="AT58" i="130"/>
  <c r="AT59" i="130"/>
  <c r="AT41" i="130"/>
  <c r="AT18" i="130"/>
  <c r="AT19" i="130"/>
  <c r="AT20" i="130"/>
  <c r="AT21" i="130"/>
  <c r="AT22" i="130"/>
  <c r="AT23" i="130"/>
  <c r="AT24" i="130"/>
  <c r="AT25" i="130"/>
  <c r="AT26" i="130"/>
  <c r="AT27" i="130"/>
  <c r="AT28" i="130"/>
  <c r="AT29" i="130"/>
  <c r="AT30" i="130"/>
  <c r="AT31" i="130"/>
  <c r="AT32" i="130"/>
  <c r="AT33" i="130"/>
  <c r="AT34" i="130"/>
  <c r="AT35" i="130"/>
  <c r="AT36" i="130"/>
  <c r="AT9" i="130"/>
  <c r="AT10" i="130"/>
  <c r="AT11" i="130"/>
  <c r="AT12" i="130"/>
  <c r="AT13" i="130"/>
  <c r="AT14" i="130"/>
  <c r="AT15" i="130"/>
  <c r="AT16" i="130"/>
  <c r="AT17" i="130"/>
  <c r="AT8" i="130"/>
  <c r="AT56" i="128"/>
  <c r="AT57" i="128"/>
  <c r="AT58" i="128"/>
  <c r="AT59" i="128"/>
  <c r="AT60" i="128"/>
  <c r="AT61" i="128"/>
  <c r="AT62" i="128"/>
  <c r="AT63" i="128"/>
  <c r="AT55" i="128"/>
  <c r="AT36" i="128"/>
  <c r="AT37" i="128"/>
  <c r="AT38" i="128"/>
  <c r="AT39" i="128"/>
  <c r="AT40" i="128"/>
  <c r="AT41" i="128"/>
  <c r="AT42" i="128"/>
  <c r="AT43" i="128"/>
  <c r="AT44" i="128"/>
  <c r="AT45" i="128"/>
  <c r="AT46" i="128"/>
  <c r="AT47" i="128"/>
  <c r="AT48" i="128"/>
  <c r="AT35" i="128"/>
  <c r="AT9" i="128"/>
  <c r="AT10" i="128"/>
  <c r="AT11" i="128"/>
  <c r="AT12" i="128"/>
  <c r="AT13" i="128"/>
  <c r="AT14" i="128"/>
  <c r="AT15" i="128"/>
  <c r="AT16" i="128"/>
  <c r="AT17" i="128"/>
  <c r="AT18" i="128"/>
  <c r="AT19" i="128"/>
  <c r="AT20" i="128"/>
  <c r="AT21" i="128"/>
  <c r="AT22" i="128"/>
  <c r="AT23" i="128"/>
  <c r="AT24" i="128"/>
  <c r="AT25" i="128"/>
  <c r="AT26" i="128"/>
  <c r="AT27" i="128"/>
  <c r="AT28" i="128"/>
  <c r="AT29" i="128"/>
  <c r="AT30" i="128"/>
  <c r="AT8" i="128"/>
  <c r="AV88" i="123"/>
  <c r="AV81" i="123"/>
  <c r="AV82" i="123"/>
  <c r="AV83" i="123"/>
  <c r="AV84" i="123"/>
  <c r="AV85" i="123"/>
  <c r="AV86" i="123"/>
  <c r="AV87" i="123"/>
  <c r="AV80" i="123"/>
  <c r="AV72" i="123"/>
  <c r="AV67" i="123"/>
  <c r="AV68" i="123"/>
  <c r="AV69" i="123"/>
  <c r="AV70" i="123"/>
  <c r="AV71" i="123"/>
  <c r="AV73" i="123"/>
  <c r="AV74" i="123"/>
  <c r="AV89" i="123"/>
  <c r="AV66" i="123"/>
  <c r="AV46" i="123"/>
  <c r="AV47" i="123"/>
  <c r="AV48" i="123"/>
  <c r="AV49" i="123"/>
  <c r="AV50" i="123"/>
  <c r="AV51" i="123"/>
  <c r="AV52" i="123"/>
  <c r="AV53" i="123"/>
  <c r="AV54" i="123"/>
  <c r="AV55" i="123"/>
  <c r="AV56" i="123"/>
  <c r="AV57" i="123"/>
  <c r="AV58" i="123"/>
  <c r="AV59" i="123"/>
  <c r="AV60" i="123"/>
  <c r="AV61" i="123"/>
  <c r="AV45" i="123"/>
  <c r="AV31" i="123"/>
  <c r="AV9" i="123"/>
  <c r="AV10" i="123"/>
  <c r="AV11" i="123"/>
  <c r="AV12" i="123"/>
  <c r="AV13" i="123"/>
  <c r="AV14" i="123"/>
  <c r="AV15" i="123"/>
  <c r="AV16" i="123"/>
  <c r="AV17" i="123"/>
  <c r="AV18" i="123"/>
  <c r="AV19" i="123"/>
  <c r="AV20" i="123"/>
  <c r="AV21" i="123"/>
  <c r="AV22" i="123"/>
  <c r="AV23" i="123"/>
  <c r="AV24" i="123"/>
  <c r="AV25" i="123"/>
  <c r="AV26" i="123"/>
  <c r="AV27" i="123"/>
  <c r="AV28" i="123"/>
  <c r="AV29" i="123"/>
  <c r="AV30" i="123"/>
  <c r="AV8" i="123"/>
  <c r="AF31" i="128" l="1"/>
  <c r="AD31" i="128"/>
  <c r="AB31" i="128"/>
  <c r="Z31" i="128"/>
  <c r="X31" i="128"/>
  <c r="X51" i="128" s="1"/>
  <c r="X64" i="128" s="1"/>
  <c r="V31" i="128"/>
  <c r="T31" i="128"/>
  <c r="R31" i="128"/>
  <c r="R51" i="128" s="1"/>
  <c r="R64" i="128" s="1"/>
  <c r="P31" i="128"/>
  <c r="P51" i="128" s="1"/>
  <c r="P64" i="128" s="1"/>
  <c r="AT99" i="127" l="1"/>
  <c r="AT100" i="127"/>
  <c r="AT101" i="127"/>
  <c r="AT102" i="127"/>
  <c r="AT103" i="127"/>
  <c r="AT104" i="127"/>
  <c r="AT105" i="127"/>
  <c r="AT106" i="127"/>
  <c r="AT107" i="127"/>
  <c r="AT98" i="127"/>
  <c r="AN85" i="127"/>
  <c r="AO85" i="127"/>
  <c r="AP85" i="127"/>
  <c r="AQ85" i="127"/>
  <c r="AR85" i="127"/>
  <c r="AS85" i="127"/>
  <c r="AT85" i="127"/>
  <c r="AU85" i="127"/>
  <c r="AV85" i="127"/>
  <c r="AN86" i="127"/>
  <c r="AO86" i="127"/>
  <c r="AP86" i="127"/>
  <c r="AQ86" i="127"/>
  <c r="AR86" i="127"/>
  <c r="AS86" i="127"/>
  <c r="AT86" i="127"/>
  <c r="AU86" i="127"/>
  <c r="AV86" i="127"/>
  <c r="AN87" i="127"/>
  <c r="AO87" i="127"/>
  <c r="AP87" i="127"/>
  <c r="AQ87" i="127"/>
  <c r="AR87" i="127"/>
  <c r="AS87" i="127"/>
  <c r="AT87" i="127"/>
  <c r="AU87" i="127"/>
  <c r="AV87" i="127"/>
  <c r="AN88" i="127"/>
  <c r="AO88" i="127"/>
  <c r="AP88" i="127"/>
  <c r="AQ88" i="127"/>
  <c r="AR88" i="127"/>
  <c r="AS88" i="127"/>
  <c r="AT88" i="127"/>
  <c r="AU88" i="127"/>
  <c r="AV88" i="127"/>
  <c r="AN89" i="127"/>
  <c r="AO89" i="127"/>
  <c r="AP89" i="127"/>
  <c r="AQ89" i="127"/>
  <c r="AR89" i="127"/>
  <c r="AS89" i="127"/>
  <c r="AT89" i="127"/>
  <c r="AU89" i="127"/>
  <c r="AV89" i="127"/>
  <c r="AN90" i="127"/>
  <c r="AO90" i="127"/>
  <c r="AP90" i="127"/>
  <c r="AQ90" i="127"/>
  <c r="AR90" i="127"/>
  <c r="AS90" i="127"/>
  <c r="AT90" i="127"/>
  <c r="AU90" i="127"/>
  <c r="AV90" i="127"/>
  <c r="AN91" i="127"/>
  <c r="AO91" i="127"/>
  <c r="AP91" i="127"/>
  <c r="AQ91" i="127"/>
  <c r="AR91" i="127"/>
  <c r="AS91" i="127"/>
  <c r="AT91" i="127"/>
  <c r="AU91" i="127"/>
  <c r="AV91" i="127"/>
  <c r="AN92" i="127"/>
  <c r="AO92" i="127"/>
  <c r="AP92" i="127"/>
  <c r="AQ92" i="127"/>
  <c r="AR92" i="127"/>
  <c r="AS92" i="127"/>
  <c r="AT92" i="127"/>
  <c r="AU92" i="127"/>
  <c r="AV92" i="127"/>
  <c r="AV84" i="127"/>
  <c r="AU84" i="127"/>
  <c r="AT84" i="127"/>
  <c r="AS84" i="127"/>
  <c r="AM92" i="127"/>
  <c r="AM91" i="127"/>
  <c r="AM90" i="127"/>
  <c r="AM89" i="127"/>
  <c r="AM88" i="127"/>
  <c r="AM87" i="127"/>
  <c r="AM86" i="127"/>
  <c r="AM85" i="127"/>
  <c r="AR84" i="127"/>
  <c r="AQ84" i="127"/>
  <c r="AP84" i="127"/>
  <c r="AO84" i="127"/>
  <c r="AN84" i="127"/>
  <c r="AM84" i="127"/>
  <c r="AO78" i="127"/>
  <c r="AP78" i="127"/>
  <c r="AQ78" i="127"/>
  <c r="AR78" i="127"/>
  <c r="AS78" i="127"/>
  <c r="AT78" i="127"/>
  <c r="AU78" i="127"/>
  <c r="AV78" i="127"/>
  <c r="AO79" i="127"/>
  <c r="AP79" i="127"/>
  <c r="AQ79" i="127"/>
  <c r="AR79" i="127"/>
  <c r="AS79" i="127"/>
  <c r="AT79" i="127"/>
  <c r="AU79" i="127"/>
  <c r="AV79" i="127"/>
  <c r="AV77" i="127"/>
  <c r="AU77" i="127"/>
  <c r="AT55" i="127"/>
  <c r="AT56" i="127"/>
  <c r="AT57" i="127"/>
  <c r="AT58" i="127"/>
  <c r="AT59" i="127"/>
  <c r="AT60" i="127"/>
  <c r="AT61" i="127"/>
  <c r="AT62" i="127"/>
  <c r="AT63" i="127"/>
  <c r="AT64" i="127"/>
  <c r="AT65" i="127"/>
  <c r="AT66" i="127"/>
  <c r="AT67" i="127"/>
  <c r="AT68" i="127"/>
  <c r="AT69" i="127"/>
  <c r="AT70" i="127"/>
  <c r="AT71" i="127"/>
  <c r="AT72" i="127"/>
  <c r="AT73" i="127"/>
  <c r="AT74" i="127"/>
  <c r="AT75" i="127"/>
  <c r="AT76" i="127"/>
  <c r="AT77" i="127"/>
  <c r="AT54" i="127"/>
  <c r="AS77" i="127"/>
  <c r="AR77" i="127"/>
  <c r="AQ77" i="127"/>
  <c r="AP77" i="127"/>
  <c r="AO77" i="127"/>
  <c r="AT9" i="127"/>
  <c r="AT10" i="127"/>
  <c r="AT11" i="127"/>
  <c r="AT12" i="127"/>
  <c r="AT13" i="127"/>
  <c r="AT14" i="127"/>
  <c r="AT15" i="127"/>
  <c r="AT16" i="127"/>
  <c r="AT17" i="127"/>
  <c r="AT18" i="127"/>
  <c r="AT19" i="127"/>
  <c r="AT20" i="127"/>
  <c r="AT21" i="127"/>
  <c r="AT22" i="127"/>
  <c r="AT23" i="127"/>
  <c r="AT24" i="127"/>
  <c r="AT25" i="127"/>
  <c r="AT26" i="127"/>
  <c r="AT27" i="127"/>
  <c r="AT28" i="127"/>
  <c r="AT29" i="127"/>
  <c r="AT30" i="127"/>
  <c r="AT31" i="127"/>
  <c r="AT32" i="127"/>
  <c r="AT33" i="127"/>
  <c r="AT34" i="127"/>
  <c r="AT35" i="127"/>
  <c r="AT36" i="127"/>
  <c r="AT37" i="127"/>
  <c r="AT38" i="127"/>
  <c r="AT39" i="127"/>
  <c r="AT40" i="127"/>
  <c r="AT41" i="127"/>
  <c r="AT42" i="127"/>
  <c r="AT43" i="127"/>
  <c r="AT8" i="127"/>
  <c r="AD44" i="127"/>
  <c r="AD81" i="127" s="1"/>
  <c r="AB44" i="127"/>
  <c r="AB81" i="127" s="1"/>
  <c r="Z44" i="127"/>
  <c r="Z81" i="127" s="1"/>
  <c r="X44" i="127"/>
  <c r="X81" i="127" s="1"/>
  <c r="V44" i="127"/>
  <c r="V81" i="127" s="1"/>
  <c r="T44" i="127"/>
  <c r="T81" i="127" s="1"/>
  <c r="R44" i="127"/>
  <c r="R81" i="127" s="1"/>
  <c r="P44" i="127"/>
  <c r="P81" i="127" s="1"/>
  <c r="N44" i="127"/>
  <c r="N81" i="127" s="1"/>
  <c r="L44" i="127"/>
  <c r="L81" i="127" s="1"/>
  <c r="I44" i="127"/>
  <c r="I81" i="127" s="1"/>
  <c r="G44" i="127"/>
  <c r="G81" i="127" s="1"/>
  <c r="AV84" i="136"/>
  <c r="AV85" i="136"/>
  <c r="AV86" i="136"/>
  <c r="AV87" i="136"/>
  <c r="AV88" i="136"/>
  <c r="AV89" i="136"/>
  <c r="AV90" i="136"/>
  <c r="AV91" i="136"/>
  <c r="AV83" i="136"/>
  <c r="AJ94" i="136"/>
  <c r="AU91" i="136"/>
  <c r="AT91" i="136"/>
  <c r="AS91" i="136"/>
  <c r="AR91" i="136"/>
  <c r="AQ91" i="136"/>
  <c r="AP91" i="136"/>
  <c r="AO91" i="136"/>
  <c r="AN91" i="136"/>
  <c r="AM91" i="136"/>
  <c r="AU90" i="136"/>
  <c r="AT90" i="136"/>
  <c r="AS90" i="136"/>
  <c r="AR90" i="136"/>
  <c r="AQ90" i="136"/>
  <c r="AP90" i="136"/>
  <c r="AO90" i="136"/>
  <c r="AN90" i="136"/>
  <c r="AM90" i="136"/>
  <c r="AU89" i="136"/>
  <c r="AT89" i="136"/>
  <c r="AS89" i="136"/>
  <c r="AR89" i="136"/>
  <c r="AQ89" i="136"/>
  <c r="AP89" i="136"/>
  <c r="AO89" i="136"/>
  <c r="AN89" i="136"/>
  <c r="AM89" i="136"/>
  <c r="AU88" i="136"/>
  <c r="AT88" i="136"/>
  <c r="AS88" i="136"/>
  <c r="AR88" i="136"/>
  <c r="AQ88" i="136"/>
  <c r="AP88" i="136"/>
  <c r="AO88" i="136"/>
  <c r="AN88" i="136"/>
  <c r="AM88" i="136"/>
  <c r="AU87" i="136"/>
  <c r="AT87" i="136"/>
  <c r="AS87" i="136"/>
  <c r="AR87" i="136"/>
  <c r="AQ87" i="136"/>
  <c r="AP87" i="136"/>
  <c r="AO87" i="136"/>
  <c r="AN87" i="136"/>
  <c r="AM87" i="136"/>
  <c r="AU86" i="136"/>
  <c r="AT86" i="136"/>
  <c r="AS86" i="136"/>
  <c r="AR86" i="136"/>
  <c r="AQ86" i="136"/>
  <c r="AP86" i="136"/>
  <c r="AO86" i="136"/>
  <c r="AN86" i="136"/>
  <c r="AM86" i="136"/>
  <c r="AU85" i="136"/>
  <c r="AT85" i="136"/>
  <c r="AS85" i="136"/>
  <c r="AR85" i="136"/>
  <c r="AQ85" i="136"/>
  <c r="AP85" i="136"/>
  <c r="AO85" i="136"/>
  <c r="AN85" i="136"/>
  <c r="AM85" i="136"/>
  <c r="AU84" i="136"/>
  <c r="AT84" i="136"/>
  <c r="AS84" i="136"/>
  <c r="AR84" i="136"/>
  <c r="AQ84" i="136"/>
  <c r="AP84" i="136"/>
  <c r="AO84" i="136"/>
  <c r="AN84" i="136"/>
  <c r="AM84" i="136"/>
  <c r="AU83" i="136"/>
  <c r="AT83" i="136"/>
  <c r="AS83" i="136"/>
  <c r="AR83" i="136"/>
  <c r="AQ83" i="136"/>
  <c r="AP83" i="136"/>
  <c r="AO83" i="136"/>
  <c r="AN83" i="136"/>
  <c r="AM83" i="136"/>
  <c r="AD44" i="136"/>
  <c r="AB44" i="136"/>
  <c r="Z44" i="136"/>
  <c r="X44" i="136"/>
  <c r="V44" i="136"/>
  <c r="T44" i="136"/>
  <c r="R44" i="136"/>
  <c r="R80" i="136" s="1"/>
  <c r="P44" i="136"/>
  <c r="N44" i="136"/>
  <c r="L44" i="136"/>
  <c r="I44" i="136"/>
  <c r="I80" i="136" s="1"/>
  <c r="G44" i="136"/>
  <c r="G80" i="136" s="1"/>
  <c r="AT98" i="136"/>
  <c r="AT99" i="136"/>
  <c r="AT100" i="136"/>
  <c r="AT101" i="136"/>
  <c r="AT102" i="136"/>
  <c r="AT103" i="136"/>
  <c r="AT104" i="136"/>
  <c r="AT105" i="136"/>
  <c r="AT106" i="136"/>
  <c r="AT97" i="136"/>
  <c r="AO77" i="136"/>
  <c r="AP77" i="136"/>
  <c r="AQ77" i="136"/>
  <c r="AR77" i="136"/>
  <c r="AS77" i="136"/>
  <c r="AT77" i="136"/>
  <c r="AU77" i="136"/>
  <c r="AV77" i="136"/>
  <c r="AO78" i="136"/>
  <c r="AP78" i="136"/>
  <c r="AQ78" i="136"/>
  <c r="AR78" i="136"/>
  <c r="AS78" i="136"/>
  <c r="AT78" i="136"/>
  <c r="AU78" i="136"/>
  <c r="AV78" i="136"/>
  <c r="AV76" i="136"/>
  <c r="AU76" i="136"/>
  <c r="AT76" i="136"/>
  <c r="AS76" i="136"/>
  <c r="AR76" i="136"/>
  <c r="AQ76" i="136"/>
  <c r="AP76" i="136"/>
  <c r="AO76" i="136"/>
  <c r="AO63" i="136"/>
  <c r="AP63" i="136"/>
  <c r="AQ63" i="136"/>
  <c r="AR63" i="136"/>
  <c r="AS63" i="136"/>
  <c r="AT63" i="136"/>
  <c r="AU63" i="136"/>
  <c r="AV63" i="136"/>
  <c r="AV62" i="136"/>
  <c r="AU62" i="136"/>
  <c r="AS62" i="136"/>
  <c r="AR62" i="136"/>
  <c r="AQ62" i="136"/>
  <c r="AP62" i="136"/>
  <c r="AO62" i="136"/>
  <c r="AT54" i="136"/>
  <c r="AT55" i="136"/>
  <c r="AT56" i="136"/>
  <c r="AT57" i="136"/>
  <c r="AT58" i="136"/>
  <c r="AT59" i="136"/>
  <c r="AT60" i="136"/>
  <c r="AT61" i="136"/>
  <c r="AT62" i="136"/>
  <c r="AT64" i="136"/>
  <c r="AT65" i="136"/>
  <c r="AT66" i="136"/>
  <c r="AT67" i="136"/>
  <c r="AT68" i="136"/>
  <c r="AT69" i="136"/>
  <c r="AT70" i="136"/>
  <c r="AT71" i="136"/>
  <c r="AT72" i="136"/>
  <c r="AT73" i="136"/>
  <c r="AT74" i="136"/>
  <c r="AT75" i="136"/>
  <c r="AT53" i="136"/>
  <c r="AT9" i="136"/>
  <c r="AT10" i="136"/>
  <c r="AT11" i="136"/>
  <c r="AT12" i="136"/>
  <c r="AT13" i="136"/>
  <c r="AT14" i="136"/>
  <c r="AT15" i="136"/>
  <c r="AT16" i="136"/>
  <c r="AT17" i="136"/>
  <c r="AT18" i="136"/>
  <c r="AT19" i="136"/>
  <c r="AT20" i="136"/>
  <c r="AT21" i="136"/>
  <c r="AT22" i="136"/>
  <c r="AT23" i="136"/>
  <c r="AT24" i="136"/>
  <c r="AT25" i="136"/>
  <c r="AT26" i="136"/>
  <c r="AT27" i="136"/>
  <c r="AT28" i="136"/>
  <c r="AT29" i="136"/>
  <c r="AT30" i="136"/>
  <c r="AT31" i="136"/>
  <c r="AT32" i="136"/>
  <c r="AT33" i="136"/>
  <c r="AT34" i="136"/>
  <c r="AT35" i="136"/>
  <c r="AT36" i="136"/>
  <c r="AT37" i="136"/>
  <c r="AT38" i="136"/>
  <c r="AT39" i="136"/>
  <c r="AT40" i="136"/>
  <c r="AT41" i="136"/>
  <c r="AT42" i="136"/>
  <c r="AT43" i="136"/>
  <c r="AT8" i="136"/>
  <c r="AH44" i="125"/>
  <c r="AH82" i="125" s="1"/>
  <c r="AD44" i="125"/>
  <c r="AB44" i="125"/>
  <c r="Z44" i="125"/>
  <c r="V44" i="125"/>
  <c r="T44" i="125"/>
  <c r="R44" i="125"/>
  <c r="R82" i="125" s="1"/>
  <c r="N44" i="125"/>
  <c r="I44" i="125"/>
  <c r="I82" i="125" s="1"/>
  <c r="AW65" i="125"/>
  <c r="AV65" i="125"/>
  <c r="AU65" i="125"/>
  <c r="AT65" i="125"/>
  <c r="AS65" i="125"/>
  <c r="AR65" i="125"/>
  <c r="AQ65" i="125"/>
  <c r="AX86" i="125"/>
  <c r="AX87" i="125"/>
  <c r="AX88" i="125"/>
  <c r="AX89" i="125"/>
  <c r="AX90" i="125"/>
  <c r="AX91" i="125"/>
  <c r="AX92" i="125"/>
  <c r="AX93" i="125"/>
  <c r="AX85" i="125"/>
  <c r="AL96" i="125"/>
  <c r="AW93" i="125"/>
  <c r="AV93" i="125"/>
  <c r="AU93" i="125"/>
  <c r="AT93" i="125"/>
  <c r="AS93" i="125"/>
  <c r="AR93" i="125"/>
  <c r="AQ93" i="125"/>
  <c r="AP93" i="125"/>
  <c r="AO93" i="125"/>
  <c r="AW92" i="125"/>
  <c r="AV92" i="125"/>
  <c r="AU92" i="125"/>
  <c r="AT92" i="125"/>
  <c r="AS92" i="125"/>
  <c r="AR92" i="125"/>
  <c r="AQ92" i="125"/>
  <c r="AP92" i="125"/>
  <c r="AO92" i="125"/>
  <c r="AW91" i="125"/>
  <c r="AV91" i="125"/>
  <c r="AU91" i="125"/>
  <c r="AT91" i="125"/>
  <c r="AS91" i="125"/>
  <c r="AR91" i="125"/>
  <c r="AQ91" i="125"/>
  <c r="AP91" i="125"/>
  <c r="AO91" i="125"/>
  <c r="AW90" i="125"/>
  <c r="AV90" i="125"/>
  <c r="AU90" i="125"/>
  <c r="AT90" i="125"/>
  <c r="AS90" i="125"/>
  <c r="AR90" i="125"/>
  <c r="AQ90" i="125"/>
  <c r="AP90" i="125"/>
  <c r="AO90" i="125"/>
  <c r="AW89" i="125"/>
  <c r="AV89" i="125"/>
  <c r="AU89" i="125"/>
  <c r="AT89" i="125"/>
  <c r="AS89" i="125"/>
  <c r="AR89" i="125"/>
  <c r="AQ89" i="125"/>
  <c r="AP89" i="125"/>
  <c r="AO89" i="125"/>
  <c r="AW88" i="125"/>
  <c r="AV88" i="125"/>
  <c r="AU88" i="125"/>
  <c r="AT88" i="125"/>
  <c r="AS88" i="125"/>
  <c r="AR88" i="125"/>
  <c r="AQ88" i="125"/>
  <c r="AP88" i="125"/>
  <c r="AO88" i="125"/>
  <c r="AW87" i="125"/>
  <c r="AV87" i="125"/>
  <c r="AU87" i="125"/>
  <c r="AT87" i="125"/>
  <c r="AS87" i="125"/>
  <c r="AR87" i="125"/>
  <c r="AQ87" i="125"/>
  <c r="AP87" i="125"/>
  <c r="AO87" i="125"/>
  <c r="AW86" i="125"/>
  <c r="AV86" i="125"/>
  <c r="AU86" i="125"/>
  <c r="AT86" i="125"/>
  <c r="AS86" i="125"/>
  <c r="AR86" i="125"/>
  <c r="AQ86" i="125"/>
  <c r="AP86" i="125"/>
  <c r="AO86" i="125"/>
  <c r="AW85" i="125"/>
  <c r="AV85" i="125"/>
  <c r="AU85" i="125"/>
  <c r="AT85" i="125"/>
  <c r="AS85" i="125"/>
  <c r="AR85" i="125"/>
  <c r="AQ85" i="125"/>
  <c r="AP85" i="125"/>
  <c r="AO85" i="125"/>
  <c r="AV100" i="125"/>
  <c r="AV101" i="125"/>
  <c r="AV102" i="125"/>
  <c r="AV103" i="125"/>
  <c r="AV104" i="125"/>
  <c r="AV105" i="125"/>
  <c r="AV106" i="125"/>
  <c r="AV107" i="125"/>
  <c r="AV108" i="125"/>
  <c r="AV99" i="125"/>
  <c r="AV56" i="125"/>
  <c r="AV57" i="125"/>
  <c r="AV58" i="125"/>
  <c r="AV59" i="125"/>
  <c r="AV60" i="125"/>
  <c r="AV61" i="125"/>
  <c r="AV62" i="125"/>
  <c r="AV63" i="125"/>
  <c r="AV64" i="125"/>
  <c r="AV66" i="125"/>
  <c r="AV67" i="125"/>
  <c r="AV68" i="125"/>
  <c r="AV69" i="125"/>
  <c r="AV70" i="125"/>
  <c r="AV71" i="125"/>
  <c r="AV72" i="125"/>
  <c r="AV73" i="125"/>
  <c r="AV74" i="125"/>
  <c r="AV75" i="125"/>
  <c r="AV76" i="125"/>
  <c r="AV77" i="125"/>
  <c r="AV78" i="125"/>
  <c r="AV79" i="125"/>
  <c r="AV80" i="125"/>
  <c r="AV55" i="125"/>
  <c r="AQ79" i="125"/>
  <c r="AR79" i="125"/>
  <c r="AS79" i="125"/>
  <c r="AT79" i="125"/>
  <c r="AU79" i="125"/>
  <c r="AW79" i="125"/>
  <c r="AX79" i="125"/>
  <c r="AQ80" i="125"/>
  <c r="AR80" i="125"/>
  <c r="AS80" i="125"/>
  <c r="AT80" i="125"/>
  <c r="AU80" i="125"/>
  <c r="AW80" i="125"/>
  <c r="AX80" i="125"/>
  <c r="AX78" i="125"/>
  <c r="AW78" i="125"/>
  <c r="AU78" i="125"/>
  <c r="AT78" i="125"/>
  <c r="AS78" i="125"/>
  <c r="AR78" i="125"/>
  <c r="AQ78" i="125"/>
  <c r="AV9" i="125"/>
  <c r="AV10" i="125"/>
  <c r="AV11" i="125"/>
  <c r="AV12" i="125"/>
  <c r="AV13" i="125"/>
  <c r="AV14" i="125"/>
  <c r="AV15" i="125"/>
  <c r="AV16" i="125"/>
  <c r="AV17" i="125"/>
  <c r="AV18" i="125"/>
  <c r="AV19" i="125"/>
  <c r="AV20" i="125"/>
  <c r="AV21" i="125"/>
  <c r="AV22" i="125"/>
  <c r="AV23" i="125"/>
  <c r="AV24" i="125"/>
  <c r="AV25" i="125"/>
  <c r="AV26" i="125"/>
  <c r="AV27" i="125"/>
  <c r="AV28" i="125"/>
  <c r="AV29" i="125"/>
  <c r="AV30" i="125"/>
  <c r="AV31" i="125"/>
  <c r="AV32" i="125"/>
  <c r="AV33" i="125"/>
  <c r="AV34" i="125"/>
  <c r="AV35" i="125"/>
  <c r="AV36" i="125"/>
  <c r="AV37" i="125"/>
  <c r="AV38" i="125"/>
  <c r="AV39" i="125"/>
  <c r="AV40" i="125"/>
  <c r="AV41" i="125"/>
  <c r="AV42" i="125"/>
  <c r="AV43" i="125"/>
  <c r="AV8" i="125"/>
  <c r="AH32" i="123"/>
  <c r="AH63" i="123" s="1"/>
  <c r="AH77" i="123" s="1"/>
  <c r="AH90" i="123" s="1"/>
  <c r="AH38" i="124"/>
  <c r="AD38" i="124"/>
  <c r="AD70" i="124" s="1"/>
  <c r="AD84" i="124" s="1"/>
  <c r="AD97" i="124" s="1"/>
  <c r="AB38" i="124"/>
  <c r="AB70" i="124" s="1"/>
  <c r="AB84" i="124" s="1"/>
  <c r="AB97" i="124" s="1"/>
  <c r="Z38" i="124"/>
  <c r="Z70" i="124" s="1"/>
  <c r="Z84" i="124" s="1"/>
  <c r="Z97" i="124" s="1"/>
  <c r="AH70" i="124"/>
  <c r="AH84" i="124" s="1"/>
  <c r="AH97" i="124" s="1"/>
  <c r="AX74" i="124"/>
  <c r="AX75" i="124"/>
  <c r="AX76" i="124"/>
  <c r="AX77" i="124"/>
  <c r="AX78" i="124"/>
  <c r="AX79" i="124"/>
  <c r="AX80" i="124"/>
  <c r="AX81" i="124"/>
  <c r="AX73" i="124"/>
  <c r="AW67" i="124"/>
  <c r="AX67" i="124"/>
  <c r="AW68" i="124"/>
  <c r="AX68" i="124"/>
  <c r="AX66" i="124"/>
  <c r="AW66" i="124"/>
  <c r="AV88" i="124"/>
  <c r="AV89" i="124"/>
  <c r="AV90" i="124"/>
  <c r="AV91" i="124"/>
  <c r="AV92" i="124"/>
  <c r="AV93" i="124"/>
  <c r="AV94" i="124"/>
  <c r="AV95" i="124"/>
  <c r="AV96" i="124"/>
  <c r="AV87" i="124"/>
  <c r="AV49" i="124"/>
  <c r="AV50" i="124"/>
  <c r="AV51" i="124"/>
  <c r="AV52" i="124"/>
  <c r="AV53" i="124"/>
  <c r="AV54" i="124"/>
  <c r="AV55" i="124"/>
  <c r="AV56" i="124"/>
  <c r="AV57" i="124"/>
  <c r="AV58" i="124"/>
  <c r="AV59" i="124"/>
  <c r="AV60" i="124"/>
  <c r="AV61" i="124"/>
  <c r="AV62" i="124"/>
  <c r="AV63" i="124"/>
  <c r="AV64" i="124"/>
  <c r="AV65" i="124"/>
  <c r="AV66" i="124"/>
  <c r="AV67" i="124"/>
  <c r="AV68" i="124"/>
  <c r="AV48" i="124"/>
  <c r="AV9" i="124"/>
  <c r="AV10" i="124"/>
  <c r="AV11" i="124"/>
  <c r="AV12" i="124"/>
  <c r="AV13" i="124"/>
  <c r="AV14" i="124"/>
  <c r="AV15" i="124"/>
  <c r="AV16" i="124"/>
  <c r="AV17" i="124"/>
  <c r="AV18" i="124"/>
  <c r="AV19" i="124"/>
  <c r="AV20" i="124"/>
  <c r="AV21" i="124"/>
  <c r="AV22" i="124"/>
  <c r="AV23" i="124"/>
  <c r="AV24" i="124"/>
  <c r="AV25" i="124"/>
  <c r="AV26" i="124"/>
  <c r="AV27" i="124"/>
  <c r="AV28" i="124"/>
  <c r="AV29" i="124"/>
  <c r="AV30" i="124"/>
  <c r="AV31" i="124"/>
  <c r="AV32" i="124"/>
  <c r="AV33" i="124"/>
  <c r="AV34" i="124"/>
  <c r="AV35" i="124"/>
  <c r="AV36" i="124"/>
  <c r="AV37" i="124"/>
  <c r="AV8" i="124"/>
  <c r="AP67" i="124"/>
  <c r="AQ67" i="124"/>
  <c r="AR67" i="124"/>
  <c r="AS67" i="124"/>
  <c r="AT67" i="124"/>
  <c r="AU67" i="124"/>
  <c r="AP68" i="124"/>
  <c r="AQ68" i="124"/>
  <c r="AR68" i="124"/>
  <c r="AS68" i="124"/>
  <c r="AT68" i="124"/>
  <c r="AU68" i="124"/>
  <c r="AU66" i="124"/>
  <c r="AT66" i="124"/>
  <c r="AS66" i="124"/>
  <c r="AR66" i="124"/>
  <c r="AQ66" i="124"/>
  <c r="AO67" i="124"/>
  <c r="AO68" i="124"/>
  <c r="AW81" i="124"/>
  <c r="AV81" i="124"/>
  <c r="AU81" i="124"/>
  <c r="AT81" i="124"/>
  <c r="AS81" i="124"/>
  <c r="AR81" i="124"/>
  <c r="AQ81" i="124"/>
  <c r="AP81" i="124"/>
  <c r="AO81" i="124"/>
  <c r="AW80" i="124"/>
  <c r="AV80" i="124"/>
  <c r="AU80" i="124"/>
  <c r="AT80" i="124"/>
  <c r="AS80" i="124"/>
  <c r="AR80" i="124"/>
  <c r="AQ80" i="124"/>
  <c r="AP80" i="124"/>
  <c r="AO80" i="124"/>
  <c r="AW79" i="124"/>
  <c r="AV79" i="124"/>
  <c r="AU79" i="124"/>
  <c r="AT79" i="124"/>
  <c r="AS79" i="124"/>
  <c r="AR79" i="124"/>
  <c r="AQ79" i="124"/>
  <c r="AP79" i="124"/>
  <c r="AO79" i="124"/>
  <c r="AW78" i="124"/>
  <c r="AV78" i="124"/>
  <c r="AU78" i="124"/>
  <c r="AT78" i="124"/>
  <c r="AS78" i="124"/>
  <c r="AR78" i="124"/>
  <c r="AQ78" i="124"/>
  <c r="AP78" i="124"/>
  <c r="AO78" i="124"/>
  <c r="AW77" i="124"/>
  <c r="AV77" i="124"/>
  <c r="AU77" i="124"/>
  <c r="AT77" i="124"/>
  <c r="AS77" i="124"/>
  <c r="AR77" i="124"/>
  <c r="AQ77" i="124"/>
  <c r="AP77" i="124"/>
  <c r="AO77" i="124"/>
  <c r="AW76" i="124"/>
  <c r="AV76" i="124"/>
  <c r="AU76" i="124"/>
  <c r="AT76" i="124"/>
  <c r="AS76" i="124"/>
  <c r="AR76" i="124"/>
  <c r="AQ76" i="124"/>
  <c r="AP76" i="124"/>
  <c r="AO76" i="124"/>
  <c r="AW75" i="124"/>
  <c r="AV75" i="124"/>
  <c r="AU75" i="124"/>
  <c r="AT75" i="124"/>
  <c r="AS75" i="124"/>
  <c r="AR75" i="124"/>
  <c r="AQ75" i="124"/>
  <c r="AP75" i="124"/>
  <c r="AO75" i="124"/>
  <c r="AW74" i="124"/>
  <c r="AV74" i="124"/>
  <c r="AU74" i="124"/>
  <c r="AT74" i="124"/>
  <c r="AS74" i="124"/>
  <c r="AR74" i="124"/>
  <c r="AQ74" i="124"/>
  <c r="AP74" i="124"/>
  <c r="AO74" i="124"/>
  <c r="AW73" i="124"/>
  <c r="AV73" i="124"/>
  <c r="AU73" i="124"/>
  <c r="AT73" i="124"/>
  <c r="AS73" i="124"/>
  <c r="AR73" i="124"/>
  <c r="AQ73" i="124"/>
  <c r="AP73" i="124"/>
  <c r="AO73" i="124"/>
  <c r="AL77" i="123"/>
  <c r="AO60" i="123"/>
  <c r="AP60" i="123"/>
  <c r="AQ60" i="123"/>
  <c r="AR60" i="123"/>
  <c r="AS60" i="123"/>
  <c r="AT60" i="123"/>
  <c r="AU60" i="123"/>
  <c r="AW60" i="123"/>
  <c r="AX60" i="123"/>
  <c r="AO61" i="123"/>
  <c r="AP61" i="123"/>
  <c r="AQ61" i="123"/>
  <c r="AR61" i="123"/>
  <c r="AS61" i="123"/>
  <c r="AT61" i="123"/>
  <c r="AU61" i="123"/>
  <c r="AW61" i="123"/>
  <c r="AX61" i="123"/>
  <c r="AX59" i="123"/>
  <c r="AW59" i="123"/>
  <c r="AU59" i="123"/>
  <c r="AT59" i="123"/>
  <c r="AS59" i="123"/>
  <c r="AR59" i="123"/>
  <c r="AQ59" i="123"/>
  <c r="AD32" i="123"/>
  <c r="AD63" i="123" s="1"/>
  <c r="AD77" i="123" s="1"/>
  <c r="AD90" i="123" s="1"/>
  <c r="AB32" i="123"/>
  <c r="AB63" i="123" s="1"/>
  <c r="AB77" i="123" s="1"/>
  <c r="AB90" i="123" s="1"/>
  <c r="Z32" i="123"/>
  <c r="Z63" i="123" s="1"/>
  <c r="Z77" i="123" s="1"/>
  <c r="Z90" i="123" s="1"/>
  <c r="X32" i="123"/>
  <c r="V32" i="123"/>
  <c r="V63" i="123" s="1"/>
  <c r="V77" i="123" s="1"/>
  <c r="V90" i="123" s="1"/>
  <c r="T32" i="123"/>
  <c r="T63" i="123" s="1"/>
  <c r="T77" i="123" s="1"/>
  <c r="T90" i="123" s="1"/>
  <c r="R32" i="123"/>
  <c r="R63" i="123" s="1"/>
  <c r="P32" i="123"/>
  <c r="N32" i="123"/>
  <c r="L32" i="123"/>
  <c r="L63" i="123" s="1"/>
  <c r="L77" i="123" s="1"/>
  <c r="L90" i="123" s="1"/>
  <c r="I32" i="123"/>
  <c r="I63" i="123" s="1"/>
  <c r="G32" i="123"/>
  <c r="G63" i="123" s="1"/>
  <c r="F32" i="123"/>
  <c r="F63" i="123" s="1"/>
  <c r="AX74" i="123"/>
  <c r="AW74" i="123"/>
  <c r="AU74" i="123"/>
  <c r="AT74" i="123"/>
  <c r="AS74" i="123"/>
  <c r="AR74" i="123"/>
  <c r="AQ74" i="123"/>
  <c r="AP74" i="123"/>
  <c r="AO74" i="123"/>
  <c r="AX73" i="123"/>
  <c r="AW73" i="123"/>
  <c r="AU73" i="123"/>
  <c r="AT73" i="123"/>
  <c r="AS73" i="123"/>
  <c r="AR73" i="123"/>
  <c r="AQ73" i="123"/>
  <c r="AP73" i="123"/>
  <c r="AO73" i="123"/>
  <c r="AX72" i="123"/>
  <c r="AW72" i="123"/>
  <c r="AU72" i="123"/>
  <c r="AT72" i="123"/>
  <c r="AS72" i="123"/>
  <c r="AR72" i="123"/>
  <c r="AQ72" i="123"/>
  <c r="AP72" i="123"/>
  <c r="AO72" i="123"/>
  <c r="AX71" i="123"/>
  <c r="AW71" i="123"/>
  <c r="AU71" i="123"/>
  <c r="AT71" i="123"/>
  <c r="AS71" i="123"/>
  <c r="AR71" i="123"/>
  <c r="AQ71" i="123"/>
  <c r="AP71" i="123"/>
  <c r="AO71" i="123"/>
  <c r="AX70" i="123"/>
  <c r="AW70" i="123"/>
  <c r="AU70" i="123"/>
  <c r="AT70" i="123"/>
  <c r="AS70" i="123"/>
  <c r="AR70" i="123"/>
  <c r="AQ70" i="123"/>
  <c r="AP70" i="123"/>
  <c r="AO70" i="123"/>
  <c r="AX69" i="123"/>
  <c r="AW69" i="123"/>
  <c r="AU69" i="123"/>
  <c r="AT69" i="123"/>
  <c r="AS69" i="123"/>
  <c r="AR69" i="123"/>
  <c r="AQ69" i="123"/>
  <c r="AP69" i="123"/>
  <c r="AO69" i="123"/>
  <c r="AX68" i="123"/>
  <c r="AW68" i="123"/>
  <c r="AU68" i="123"/>
  <c r="AT68" i="123"/>
  <c r="AS68" i="123"/>
  <c r="AR68" i="123"/>
  <c r="AQ68" i="123"/>
  <c r="AP68" i="123"/>
  <c r="AO68" i="123"/>
  <c r="AX67" i="123"/>
  <c r="AW67" i="123"/>
  <c r="AU67" i="123"/>
  <c r="AT67" i="123"/>
  <c r="AS67" i="123"/>
  <c r="AR67" i="123"/>
  <c r="AQ67" i="123"/>
  <c r="AP67" i="123"/>
  <c r="AO67" i="123"/>
  <c r="AX66" i="123"/>
  <c r="AW66" i="123"/>
  <c r="AU66" i="123"/>
  <c r="AT66" i="123"/>
  <c r="AS66" i="123"/>
  <c r="AR66" i="123"/>
  <c r="AQ66" i="123"/>
  <c r="AP66" i="123"/>
  <c r="AO66" i="123"/>
  <c r="L80" i="136" l="1"/>
  <c r="L94" i="136" s="1"/>
  <c r="L107" i="136" s="1"/>
  <c r="T80" i="136"/>
  <c r="T94" i="136" s="1"/>
  <c r="T107" i="136" s="1"/>
  <c r="N80" i="136"/>
  <c r="N94" i="136" s="1"/>
  <c r="N107" i="136" s="1"/>
  <c r="V80" i="136"/>
  <c r="V94" i="136" s="1"/>
  <c r="V107" i="136" s="1"/>
  <c r="AD80" i="136"/>
  <c r="AD94" i="136" s="1"/>
  <c r="AD107" i="136" s="1"/>
  <c r="P80" i="136"/>
  <c r="P94" i="136" s="1"/>
  <c r="P107" i="136" s="1"/>
  <c r="X80" i="136"/>
  <c r="X94" i="136" s="1"/>
  <c r="X107" i="136" s="1"/>
  <c r="AB80" i="136"/>
  <c r="AB94" i="136" s="1"/>
  <c r="AB107" i="136" s="1"/>
  <c r="Z80" i="136"/>
  <c r="Z94" i="136" s="1"/>
  <c r="Z107" i="136" s="1"/>
  <c r="AB82" i="125"/>
  <c r="AB96" i="125" s="1"/>
  <c r="AB109" i="125" s="1"/>
  <c r="T82" i="125"/>
  <c r="T96" i="125" s="1"/>
  <c r="T109" i="125" s="1"/>
  <c r="AD82" i="125"/>
  <c r="AD96" i="125" s="1"/>
  <c r="AD109" i="125" s="1"/>
  <c r="V82" i="125"/>
  <c r="V96" i="125" s="1"/>
  <c r="V109" i="125" s="1"/>
  <c r="N82" i="125"/>
  <c r="N96" i="125" s="1"/>
  <c r="N109" i="125" s="1"/>
  <c r="Z82" i="125"/>
  <c r="Z96" i="125" s="1"/>
  <c r="Z109" i="125" s="1"/>
  <c r="P63" i="123"/>
  <c r="P77" i="123" s="1"/>
  <c r="P90" i="123" s="1"/>
  <c r="X63" i="123"/>
  <c r="X77" i="123" s="1"/>
  <c r="X90" i="123" s="1"/>
  <c r="N63" i="123"/>
  <c r="N77" i="123" s="1"/>
  <c r="N90" i="123" s="1"/>
  <c r="T95" i="127"/>
  <c r="T108" i="127" s="1"/>
  <c r="N95" i="127"/>
  <c r="N108" i="127" s="1"/>
  <c r="V95" i="127"/>
  <c r="V108" i="127" s="1"/>
  <c r="AD95" i="127"/>
  <c r="AD108" i="127" s="1"/>
  <c r="L95" i="127"/>
  <c r="L108" i="127" s="1"/>
  <c r="P95" i="127"/>
  <c r="P108" i="127" s="1"/>
  <c r="X95" i="127"/>
  <c r="X108" i="127" s="1"/>
  <c r="Z95" i="127"/>
  <c r="Z108" i="127" s="1"/>
  <c r="AB95" i="127"/>
  <c r="AB108" i="127" s="1"/>
  <c r="AH96" i="125"/>
  <c r="AH109" i="125" s="1"/>
  <c r="F77" i="123"/>
  <c r="F90" i="123" s="1"/>
  <c r="R94" i="136"/>
  <c r="R107" i="136" s="1"/>
  <c r="R96" i="125"/>
  <c r="R109" i="125" s="1"/>
  <c r="R77" i="123"/>
  <c r="R90" i="123" s="1"/>
  <c r="R95" i="127"/>
  <c r="R108" i="127" s="1"/>
  <c r="G95" i="127"/>
  <c r="G108" i="127" s="1"/>
  <c r="G94" i="136"/>
  <c r="G107" i="136" s="1"/>
  <c r="G77" i="123"/>
  <c r="G90" i="123" s="1"/>
  <c r="C128" i="136"/>
  <c r="C118" i="124"/>
  <c r="B117" i="124"/>
  <c r="I95" i="127" l="1"/>
  <c r="I108" i="127" s="1"/>
  <c r="I94" i="136"/>
  <c r="I107" i="136" s="1"/>
  <c r="I96" i="125"/>
  <c r="I109" i="125" s="1"/>
  <c r="I77" i="123"/>
  <c r="I90" i="123" s="1"/>
  <c r="B128" i="136"/>
  <c r="B118" i="124"/>
  <c r="B148" i="127" l="1"/>
  <c r="I37" i="130" l="1"/>
  <c r="I61" i="130" s="1"/>
  <c r="I73" i="130" s="1"/>
  <c r="W11" i="110"/>
  <c r="W1" i="110"/>
  <c r="G39" i="110"/>
  <c r="S2" i="110"/>
  <c r="C43" i="110" l="1"/>
  <c r="C39" i="110" l="1"/>
  <c r="AV24" i="134" l="1"/>
  <c r="AV23" i="134"/>
  <c r="AV24" i="135"/>
  <c r="AV23" i="135"/>
  <c r="AV24" i="131"/>
  <c r="AV23" i="131"/>
  <c r="AV21" i="129"/>
  <c r="H10" i="133" l="1"/>
  <c r="H10" i="130"/>
  <c r="H10" i="128"/>
  <c r="H44" i="127"/>
  <c r="H81" i="127" s="1"/>
  <c r="H11" i="136"/>
  <c r="H44" i="136" s="1"/>
  <c r="H80" i="136" s="1"/>
  <c r="H11" i="124"/>
  <c r="H11" i="123"/>
  <c r="H32" i="123" s="1"/>
  <c r="H63" i="123" s="1"/>
  <c r="H95" i="127" l="1"/>
  <c r="H108" i="127" s="1"/>
  <c r="H94" i="136"/>
  <c r="H107" i="136" s="1"/>
  <c r="H77" i="123"/>
  <c r="H90" i="123" s="1"/>
  <c r="AS84" i="133"/>
  <c r="AS83" i="133"/>
  <c r="AT84" i="133"/>
  <c r="AT83" i="133"/>
  <c r="AU84" i="132"/>
  <c r="AU83" i="132"/>
  <c r="AV84" i="132"/>
  <c r="AV83" i="132"/>
  <c r="AV72" i="130"/>
  <c r="AV71" i="130"/>
  <c r="AU72" i="130"/>
  <c r="AU71" i="130"/>
  <c r="AP106" i="127"/>
  <c r="AQ106" i="127"/>
  <c r="AR106" i="127"/>
  <c r="AS106" i="127"/>
  <c r="AU105" i="127"/>
  <c r="AU104" i="127"/>
  <c r="AV106" i="127"/>
  <c r="AV105" i="127"/>
  <c r="AV104" i="127"/>
  <c r="AV107" i="127"/>
  <c r="AU107" i="127"/>
  <c r="AS107" i="127"/>
  <c r="AR107" i="127"/>
  <c r="AQ107" i="127"/>
  <c r="AP107" i="127"/>
  <c r="AO107" i="127"/>
  <c r="AN107" i="127"/>
  <c r="AM107" i="127"/>
  <c r="J107" i="127"/>
  <c r="AP105" i="136"/>
  <c r="AQ106" i="136"/>
  <c r="AQ105" i="136"/>
  <c r="AR105" i="136"/>
  <c r="AS105" i="136"/>
  <c r="AU106" i="136"/>
  <c r="AU105" i="136"/>
  <c r="AU104" i="136"/>
  <c r="AU103" i="136"/>
  <c r="AV104" i="136"/>
  <c r="AV103" i="136"/>
  <c r="AV105" i="136"/>
  <c r="AV106" i="136"/>
  <c r="AS106" i="136"/>
  <c r="AR106" i="136"/>
  <c r="AP106" i="136"/>
  <c r="AO106" i="136"/>
  <c r="AN106" i="136"/>
  <c r="AM106" i="136"/>
  <c r="J106" i="136"/>
  <c r="AS107" i="125"/>
  <c r="AR107" i="125"/>
  <c r="AT107" i="125"/>
  <c r="AU107" i="125"/>
  <c r="AW107" i="125"/>
  <c r="AW106" i="125"/>
  <c r="AW105" i="125"/>
  <c r="AX106" i="125"/>
  <c r="AX105" i="125"/>
  <c r="AX108" i="125"/>
  <c r="AW108" i="125"/>
  <c r="AU108" i="125"/>
  <c r="AT108" i="125"/>
  <c r="AS108" i="125"/>
  <c r="AR108" i="125"/>
  <c r="AQ108" i="125"/>
  <c r="AP108" i="125"/>
  <c r="AO108" i="125"/>
  <c r="J108" i="125"/>
  <c r="AX93" i="124"/>
  <c r="AW96" i="124"/>
  <c r="AW95" i="124"/>
  <c r="AW93" i="124"/>
  <c r="AX95" i="124"/>
  <c r="AX94" i="124"/>
  <c r="AX96" i="124"/>
  <c r="AU96" i="124"/>
  <c r="AT96" i="124"/>
  <c r="AS96" i="124"/>
  <c r="AR96" i="124"/>
  <c r="AQ96" i="124"/>
  <c r="AP96" i="124"/>
  <c r="AO96" i="124"/>
  <c r="J96" i="124"/>
  <c r="AX89" i="123"/>
  <c r="AW89" i="123"/>
  <c r="AU89" i="123"/>
  <c r="AT89" i="123"/>
  <c r="AS89" i="123"/>
  <c r="AR89" i="123"/>
  <c r="AQ89" i="123"/>
  <c r="AP89" i="123"/>
  <c r="AO89" i="123"/>
  <c r="J89" i="123"/>
  <c r="C132" i="127" l="1"/>
  <c r="C131" i="127"/>
  <c r="C130" i="127"/>
  <c r="C129" i="127"/>
  <c r="C128" i="127"/>
  <c r="C127" i="127"/>
  <c r="C126" i="127"/>
  <c r="C125" i="127"/>
  <c r="C124" i="127"/>
  <c r="C123" i="127"/>
  <c r="G48" i="136" l="1"/>
  <c r="G47" i="127"/>
  <c r="G48" i="127"/>
  <c r="AO105" i="136" l="1"/>
  <c r="AN105" i="136"/>
  <c r="AM105" i="136"/>
  <c r="J105" i="136"/>
  <c r="AS104" i="136"/>
  <c r="AR104" i="136"/>
  <c r="AQ104" i="136"/>
  <c r="AP104" i="136"/>
  <c r="AO104" i="136"/>
  <c r="AN104" i="136"/>
  <c r="AM104" i="136"/>
  <c r="J104" i="136"/>
  <c r="AS103" i="136"/>
  <c r="AR103" i="136"/>
  <c r="AQ103" i="136"/>
  <c r="AP103" i="136"/>
  <c r="AO103" i="136"/>
  <c r="AN103" i="136"/>
  <c r="AM103" i="136"/>
  <c r="J103" i="136"/>
  <c r="AV102" i="136"/>
  <c r="AU102" i="136"/>
  <c r="AS102" i="136"/>
  <c r="AR102" i="136"/>
  <c r="AQ102" i="136"/>
  <c r="AP102" i="136"/>
  <c r="AO102" i="136"/>
  <c r="AN102" i="136"/>
  <c r="AM102" i="136"/>
  <c r="J102" i="136"/>
  <c r="AV101" i="136"/>
  <c r="AU101" i="136"/>
  <c r="AS101" i="136"/>
  <c r="AR101" i="136"/>
  <c r="AQ101" i="136"/>
  <c r="AP101" i="136"/>
  <c r="AO101" i="136"/>
  <c r="AN101" i="136"/>
  <c r="AM101" i="136"/>
  <c r="J101" i="136"/>
  <c r="AV100" i="136"/>
  <c r="AU100" i="136"/>
  <c r="AS100" i="136"/>
  <c r="AR100" i="136"/>
  <c r="AQ100" i="136"/>
  <c r="AP100" i="136"/>
  <c r="AO100" i="136"/>
  <c r="AN100" i="136"/>
  <c r="AM100" i="136"/>
  <c r="J100" i="136"/>
  <c r="AV99" i="136"/>
  <c r="AU99" i="136"/>
  <c r="AS99" i="136"/>
  <c r="AR99" i="136"/>
  <c r="AQ99" i="136"/>
  <c r="AP99" i="136"/>
  <c r="AO99" i="136"/>
  <c r="AN99" i="136"/>
  <c r="AM99" i="136"/>
  <c r="J99" i="136"/>
  <c r="AV98" i="136"/>
  <c r="AU98" i="136"/>
  <c r="AS98" i="136"/>
  <c r="AR98" i="136"/>
  <c r="AQ98" i="136"/>
  <c r="AP98" i="136"/>
  <c r="AO98" i="136"/>
  <c r="AN98" i="136"/>
  <c r="AM98" i="136"/>
  <c r="J98" i="136"/>
  <c r="AV97" i="136"/>
  <c r="AU97" i="136"/>
  <c r="AS97" i="136"/>
  <c r="AR97" i="136"/>
  <c r="AQ97" i="136"/>
  <c r="AP97" i="136"/>
  <c r="AO97" i="136"/>
  <c r="AN97" i="136"/>
  <c r="AM97" i="136"/>
  <c r="J97" i="136"/>
  <c r="AJ80" i="136"/>
  <c r="AN78" i="136"/>
  <c r="AM78" i="136"/>
  <c r="J78" i="136"/>
  <c r="AN77" i="136"/>
  <c r="AM77" i="136"/>
  <c r="J77" i="136"/>
  <c r="AN76" i="136"/>
  <c r="AM76" i="136"/>
  <c r="J76" i="136"/>
  <c r="AV75" i="136"/>
  <c r="AU75" i="136"/>
  <c r="AS75" i="136"/>
  <c r="AR75" i="136"/>
  <c r="AQ75" i="136"/>
  <c r="AP75" i="136"/>
  <c r="AO75" i="136"/>
  <c r="AN75" i="136"/>
  <c r="AM75" i="136"/>
  <c r="J75" i="136"/>
  <c r="AV74" i="136"/>
  <c r="AU74" i="136"/>
  <c r="AS74" i="136"/>
  <c r="AR74" i="136"/>
  <c r="AQ74" i="136"/>
  <c r="AP74" i="136"/>
  <c r="AO74" i="136"/>
  <c r="AN74" i="136"/>
  <c r="AM74" i="136"/>
  <c r="J74" i="136"/>
  <c r="AV73" i="136"/>
  <c r="AU73" i="136"/>
  <c r="AS73" i="136"/>
  <c r="AR73" i="136"/>
  <c r="AQ73" i="136"/>
  <c r="AP73" i="136"/>
  <c r="AO73" i="136"/>
  <c r="AN73" i="136"/>
  <c r="AM73" i="136"/>
  <c r="J73" i="136"/>
  <c r="AV72" i="136"/>
  <c r="AU72" i="136"/>
  <c r="AS72" i="136"/>
  <c r="AR72" i="136"/>
  <c r="AQ72" i="136"/>
  <c r="AP72" i="136"/>
  <c r="AO72" i="136"/>
  <c r="AN72" i="136"/>
  <c r="AM72" i="136"/>
  <c r="J72" i="136"/>
  <c r="AV71" i="136"/>
  <c r="AU71" i="136"/>
  <c r="AS71" i="136"/>
  <c r="AR71" i="136"/>
  <c r="AQ71" i="136"/>
  <c r="AP71" i="136"/>
  <c r="AO71" i="136"/>
  <c r="AN71" i="136"/>
  <c r="AM71" i="136"/>
  <c r="J71" i="136"/>
  <c r="AV70" i="136"/>
  <c r="AU70" i="136"/>
  <c r="AS70" i="136"/>
  <c r="AR70" i="136"/>
  <c r="AQ70" i="136"/>
  <c r="AP70" i="136"/>
  <c r="AO70" i="136"/>
  <c r="AN70" i="136"/>
  <c r="AM70" i="136"/>
  <c r="J70" i="136"/>
  <c r="AV69" i="136"/>
  <c r="AU69" i="136"/>
  <c r="AS69" i="136"/>
  <c r="AR69" i="136"/>
  <c r="AQ69" i="136"/>
  <c r="AP69" i="136"/>
  <c r="AO69" i="136"/>
  <c r="AN69" i="136"/>
  <c r="AM69" i="136"/>
  <c r="J69" i="136"/>
  <c r="AV68" i="136"/>
  <c r="AU68" i="136"/>
  <c r="AS68" i="136"/>
  <c r="AR68" i="136"/>
  <c r="AQ68" i="136"/>
  <c r="AP68" i="136"/>
  <c r="AO68" i="136"/>
  <c r="AN68" i="136"/>
  <c r="AM68" i="136"/>
  <c r="J68" i="136"/>
  <c r="AV67" i="136"/>
  <c r="AU67" i="136"/>
  <c r="AS67" i="136"/>
  <c r="AR67" i="136"/>
  <c r="AQ67" i="136"/>
  <c r="AP67" i="136"/>
  <c r="AO67" i="136"/>
  <c r="AN67" i="136"/>
  <c r="AM67" i="136"/>
  <c r="J67" i="136"/>
  <c r="AV66" i="136"/>
  <c r="AU66" i="136"/>
  <c r="AS66" i="136"/>
  <c r="AR66" i="136"/>
  <c r="AQ66" i="136"/>
  <c r="AP66" i="136"/>
  <c r="AO66" i="136"/>
  <c r="AN66" i="136"/>
  <c r="AM66" i="136"/>
  <c r="J66" i="136"/>
  <c r="AV65" i="136"/>
  <c r="AU65" i="136"/>
  <c r="AS65" i="136"/>
  <c r="AR65" i="136"/>
  <c r="AQ65" i="136"/>
  <c r="AP65" i="136"/>
  <c r="AO65" i="136"/>
  <c r="AN65" i="136"/>
  <c r="AM65" i="136"/>
  <c r="J65" i="136"/>
  <c r="AV64" i="136"/>
  <c r="AU64" i="136"/>
  <c r="AS64" i="136"/>
  <c r="AR64" i="136"/>
  <c r="AQ64" i="136"/>
  <c r="AP64" i="136"/>
  <c r="AO64" i="136"/>
  <c r="AN64" i="136"/>
  <c r="AM64" i="136"/>
  <c r="J64" i="136"/>
  <c r="AN63" i="136"/>
  <c r="AM63" i="136"/>
  <c r="J63" i="136"/>
  <c r="AN62" i="136"/>
  <c r="AM62" i="136"/>
  <c r="J62" i="136"/>
  <c r="AV61" i="136"/>
  <c r="AU61" i="136"/>
  <c r="AS61" i="136"/>
  <c r="AR61" i="136"/>
  <c r="AQ61" i="136"/>
  <c r="AP61" i="136"/>
  <c r="AO61" i="136"/>
  <c r="AN61" i="136"/>
  <c r="AM61" i="136"/>
  <c r="J61" i="136"/>
  <c r="AV60" i="136"/>
  <c r="AU60" i="136"/>
  <c r="AS60" i="136"/>
  <c r="AR60" i="136"/>
  <c r="AQ60" i="136"/>
  <c r="AP60" i="136"/>
  <c r="AO60" i="136"/>
  <c r="AN60" i="136"/>
  <c r="AM60" i="136"/>
  <c r="J60" i="136"/>
  <c r="AV59" i="136"/>
  <c r="AU59" i="136"/>
  <c r="AS59" i="136"/>
  <c r="AR59" i="136"/>
  <c r="AQ59" i="136"/>
  <c r="AP59" i="136"/>
  <c r="AO59" i="136"/>
  <c r="AN59" i="136"/>
  <c r="AM59" i="136"/>
  <c r="J59" i="136"/>
  <c r="AV58" i="136"/>
  <c r="AU58" i="136"/>
  <c r="AS58" i="136"/>
  <c r="AR58" i="136"/>
  <c r="AQ58" i="136"/>
  <c r="AP58" i="136"/>
  <c r="AO58" i="136"/>
  <c r="AN58" i="136"/>
  <c r="AM58" i="136"/>
  <c r="J58" i="136"/>
  <c r="AV57" i="136"/>
  <c r="AU57" i="136"/>
  <c r="AS57" i="136"/>
  <c r="AR57" i="136"/>
  <c r="AQ57" i="136"/>
  <c r="AP57" i="136"/>
  <c r="AO57" i="136"/>
  <c r="AN57" i="136"/>
  <c r="AM57" i="136"/>
  <c r="J57" i="136"/>
  <c r="AV56" i="136"/>
  <c r="AU56" i="136"/>
  <c r="AS56" i="136"/>
  <c r="AR56" i="136"/>
  <c r="AQ56" i="136"/>
  <c r="AP56" i="136"/>
  <c r="AO56" i="136"/>
  <c r="AN56" i="136"/>
  <c r="AM56" i="136"/>
  <c r="J56" i="136"/>
  <c r="AV55" i="136"/>
  <c r="AU55" i="136"/>
  <c r="AS55" i="136"/>
  <c r="AR55" i="136"/>
  <c r="AQ55" i="136"/>
  <c r="AP55" i="136"/>
  <c r="AO55" i="136"/>
  <c r="AN55" i="136"/>
  <c r="AM55" i="136"/>
  <c r="J55" i="136"/>
  <c r="AV54" i="136"/>
  <c r="AU54" i="136"/>
  <c r="AS54" i="136"/>
  <c r="AR54" i="136"/>
  <c r="AQ54" i="136"/>
  <c r="AP54" i="136"/>
  <c r="AO54" i="136"/>
  <c r="AN54" i="136"/>
  <c r="AM54" i="136"/>
  <c r="J54" i="136"/>
  <c r="AV53" i="136"/>
  <c r="AU53" i="136"/>
  <c r="AS53" i="136"/>
  <c r="AR53" i="136"/>
  <c r="AQ53" i="136"/>
  <c r="AP53" i="136"/>
  <c r="AO53" i="136"/>
  <c r="AN53" i="136"/>
  <c r="AM53" i="136"/>
  <c r="J53" i="136"/>
  <c r="G47" i="136"/>
  <c r="F44" i="136"/>
  <c r="AV43" i="136"/>
  <c r="AU43" i="136"/>
  <c r="AS43" i="136"/>
  <c r="AR43" i="136"/>
  <c r="AQ43" i="136"/>
  <c r="AP43" i="136"/>
  <c r="AO43" i="136"/>
  <c r="AN43" i="136"/>
  <c r="AM43" i="136"/>
  <c r="J43" i="136"/>
  <c r="AV42" i="136"/>
  <c r="AU42" i="136"/>
  <c r="AS42" i="136"/>
  <c r="AR42" i="136"/>
  <c r="AQ42" i="136"/>
  <c r="AP42" i="136"/>
  <c r="AO42" i="136"/>
  <c r="AN42" i="136"/>
  <c r="AM42" i="136"/>
  <c r="J42" i="136"/>
  <c r="AV41" i="136"/>
  <c r="AU41" i="136"/>
  <c r="AS41" i="136"/>
  <c r="AR41" i="136"/>
  <c r="AQ41" i="136"/>
  <c r="AP41" i="136"/>
  <c r="AO41" i="136"/>
  <c r="AN41" i="136"/>
  <c r="AM41" i="136"/>
  <c r="J41" i="136"/>
  <c r="AV40" i="136"/>
  <c r="AU40" i="136"/>
  <c r="AS40" i="136"/>
  <c r="AR40" i="136"/>
  <c r="AQ40" i="136"/>
  <c r="AP40" i="136"/>
  <c r="AO40" i="136"/>
  <c r="AN40" i="136"/>
  <c r="AM40" i="136"/>
  <c r="J40" i="136"/>
  <c r="AV39" i="136"/>
  <c r="AU39" i="136"/>
  <c r="AS39" i="136"/>
  <c r="AR39" i="136"/>
  <c r="AQ39" i="136"/>
  <c r="AP39" i="136"/>
  <c r="AO39" i="136"/>
  <c r="AN39" i="136"/>
  <c r="AM39" i="136"/>
  <c r="J39" i="136"/>
  <c r="AV38" i="136"/>
  <c r="AU38" i="136"/>
  <c r="AS38" i="136"/>
  <c r="AR38" i="136"/>
  <c r="AQ38" i="136"/>
  <c r="AP38" i="136"/>
  <c r="AO38" i="136"/>
  <c r="AN38" i="136"/>
  <c r="AM38" i="136"/>
  <c r="J38" i="136"/>
  <c r="AV37" i="136"/>
  <c r="AU37" i="136"/>
  <c r="AS37" i="136"/>
  <c r="AR37" i="136"/>
  <c r="AQ37" i="136"/>
  <c r="AP37" i="136"/>
  <c r="AO37" i="136"/>
  <c r="AN37" i="136"/>
  <c r="AM37" i="136"/>
  <c r="J37" i="136"/>
  <c r="AV36" i="136"/>
  <c r="AU36" i="136"/>
  <c r="AS36" i="136"/>
  <c r="AR36" i="136"/>
  <c r="AQ36" i="136"/>
  <c r="AP36" i="136"/>
  <c r="AO36" i="136"/>
  <c r="AN36" i="136"/>
  <c r="AM36" i="136"/>
  <c r="J36" i="136"/>
  <c r="AV35" i="136"/>
  <c r="AU35" i="136"/>
  <c r="AS35" i="136"/>
  <c r="AR35" i="136"/>
  <c r="AQ35" i="136"/>
  <c r="AP35" i="136"/>
  <c r="AO35" i="136"/>
  <c r="AN35" i="136"/>
  <c r="AM35" i="136"/>
  <c r="J35" i="136"/>
  <c r="AV34" i="136"/>
  <c r="AU34" i="136"/>
  <c r="AS34" i="136"/>
  <c r="AR34" i="136"/>
  <c r="AQ34" i="136"/>
  <c r="AP34" i="136"/>
  <c r="AO34" i="136"/>
  <c r="AN34" i="136"/>
  <c r="AM34" i="136"/>
  <c r="J34" i="136"/>
  <c r="AV33" i="136"/>
  <c r="AU33" i="136"/>
  <c r="AS33" i="136"/>
  <c r="AR33" i="136"/>
  <c r="AQ33" i="136"/>
  <c r="AP33" i="136"/>
  <c r="AO33" i="136"/>
  <c r="AN33" i="136"/>
  <c r="AM33" i="136"/>
  <c r="J33" i="136"/>
  <c r="AV32" i="136"/>
  <c r="AU32" i="136"/>
  <c r="AS32" i="136"/>
  <c r="AR32" i="136"/>
  <c r="AQ32" i="136"/>
  <c r="AP32" i="136"/>
  <c r="AO32" i="136"/>
  <c r="AN32" i="136"/>
  <c r="AM32" i="136"/>
  <c r="J32" i="136"/>
  <c r="AV31" i="136"/>
  <c r="AU31" i="136"/>
  <c r="AS31" i="136"/>
  <c r="AR31" i="136"/>
  <c r="AQ31" i="136"/>
  <c r="AP31" i="136"/>
  <c r="AO31" i="136"/>
  <c r="AN31" i="136"/>
  <c r="AM31" i="136"/>
  <c r="J31" i="136"/>
  <c r="AV30" i="136"/>
  <c r="AU30" i="136"/>
  <c r="AS30" i="136"/>
  <c r="AR30" i="136"/>
  <c r="AQ30" i="136"/>
  <c r="AP30" i="136"/>
  <c r="AO30" i="136"/>
  <c r="AN30" i="136"/>
  <c r="AM30" i="136"/>
  <c r="J30" i="136"/>
  <c r="AV29" i="136"/>
  <c r="AU29" i="136"/>
  <c r="AS29" i="136"/>
  <c r="AR29" i="136"/>
  <c r="AQ29" i="136"/>
  <c r="AP29" i="136"/>
  <c r="AO29" i="136"/>
  <c r="AN29" i="136"/>
  <c r="AM29" i="136"/>
  <c r="J29" i="136"/>
  <c r="AV28" i="136"/>
  <c r="AU28" i="136"/>
  <c r="AS28" i="136"/>
  <c r="AR28" i="136"/>
  <c r="AQ28" i="136"/>
  <c r="AP28" i="136"/>
  <c r="AO28" i="136"/>
  <c r="AN28" i="136"/>
  <c r="AM28" i="136"/>
  <c r="J28" i="136"/>
  <c r="AV27" i="136"/>
  <c r="AU27" i="136"/>
  <c r="AS27" i="136"/>
  <c r="AR27" i="136"/>
  <c r="AQ27" i="136"/>
  <c r="AP27" i="136"/>
  <c r="AO27" i="136"/>
  <c r="AN27" i="136"/>
  <c r="AM27" i="136"/>
  <c r="J27" i="136"/>
  <c r="AV26" i="136"/>
  <c r="AU26" i="136"/>
  <c r="AS26" i="136"/>
  <c r="AR26" i="136"/>
  <c r="AQ26" i="136"/>
  <c r="AP26" i="136"/>
  <c r="AO26" i="136"/>
  <c r="AN26" i="136"/>
  <c r="AM26" i="136"/>
  <c r="J26" i="136"/>
  <c r="AV25" i="136"/>
  <c r="AU25" i="136"/>
  <c r="AS25" i="136"/>
  <c r="AR25" i="136"/>
  <c r="AQ25" i="136"/>
  <c r="AP25" i="136"/>
  <c r="AO25" i="136"/>
  <c r="AN25" i="136"/>
  <c r="AM25" i="136"/>
  <c r="J25" i="136"/>
  <c r="AV24" i="136"/>
  <c r="AU24" i="136"/>
  <c r="AS24" i="136"/>
  <c r="AR24" i="136"/>
  <c r="AQ24" i="136"/>
  <c r="AP24" i="136"/>
  <c r="AO24" i="136"/>
  <c r="AN24" i="136"/>
  <c r="AM24" i="136"/>
  <c r="J24" i="136"/>
  <c r="AV23" i="136"/>
  <c r="AU23" i="136"/>
  <c r="AS23" i="136"/>
  <c r="AR23" i="136"/>
  <c r="AQ23" i="136"/>
  <c r="AP23" i="136"/>
  <c r="AO23" i="136"/>
  <c r="AN23" i="136"/>
  <c r="AM23" i="136"/>
  <c r="J23" i="136"/>
  <c r="AV22" i="136"/>
  <c r="AU22" i="136"/>
  <c r="AS22" i="136"/>
  <c r="AR22" i="136"/>
  <c r="AQ22" i="136"/>
  <c r="AP22" i="136"/>
  <c r="AO22" i="136"/>
  <c r="AN22" i="136"/>
  <c r="AM22" i="136"/>
  <c r="J22" i="136"/>
  <c r="AV21" i="136"/>
  <c r="AU21" i="136"/>
  <c r="AS21" i="136"/>
  <c r="AR21" i="136"/>
  <c r="AQ21" i="136"/>
  <c r="AP21" i="136"/>
  <c r="AO21" i="136"/>
  <c r="AN21" i="136"/>
  <c r="AM21" i="136"/>
  <c r="J21" i="136"/>
  <c r="AV20" i="136"/>
  <c r="AU20" i="136"/>
  <c r="AS20" i="136"/>
  <c r="AR20" i="136"/>
  <c r="AQ20" i="136"/>
  <c r="AP20" i="136"/>
  <c r="AO20" i="136"/>
  <c r="AN20" i="136"/>
  <c r="AM20" i="136"/>
  <c r="J20" i="136"/>
  <c r="AV19" i="136"/>
  <c r="AU19" i="136"/>
  <c r="AS19" i="136"/>
  <c r="AR19" i="136"/>
  <c r="AQ19" i="136"/>
  <c r="AP19" i="136"/>
  <c r="AO19" i="136"/>
  <c r="AN19" i="136"/>
  <c r="AM19" i="136"/>
  <c r="J19" i="136"/>
  <c r="AV18" i="136"/>
  <c r="AU18" i="136"/>
  <c r="AS18" i="136"/>
  <c r="AR18" i="136"/>
  <c r="AQ18" i="136"/>
  <c r="AP18" i="136"/>
  <c r="AO18" i="136"/>
  <c r="AN18" i="136"/>
  <c r="AM18" i="136"/>
  <c r="J18" i="136"/>
  <c r="AV17" i="136"/>
  <c r="AU17" i="136"/>
  <c r="AS17" i="136"/>
  <c r="AR17" i="136"/>
  <c r="AQ17" i="136"/>
  <c r="AP17" i="136"/>
  <c r="AO17" i="136"/>
  <c r="AN17" i="136"/>
  <c r="AM17" i="136"/>
  <c r="J17" i="136"/>
  <c r="AV16" i="136"/>
  <c r="AU16" i="136"/>
  <c r="AS16" i="136"/>
  <c r="AR16" i="136"/>
  <c r="AQ16" i="136"/>
  <c r="AP16" i="136"/>
  <c r="AO16" i="136"/>
  <c r="AN16" i="136"/>
  <c r="AM16" i="136"/>
  <c r="J16" i="136"/>
  <c r="AV15" i="136"/>
  <c r="AU15" i="136"/>
  <c r="AS15" i="136"/>
  <c r="AR15" i="136"/>
  <c r="AQ15" i="136"/>
  <c r="AP15" i="136"/>
  <c r="AO15" i="136"/>
  <c r="AN15" i="136"/>
  <c r="AM15" i="136"/>
  <c r="J15" i="136"/>
  <c r="AV14" i="136"/>
  <c r="AU14" i="136"/>
  <c r="AS14" i="136"/>
  <c r="AR14" i="136"/>
  <c r="AQ14" i="136"/>
  <c r="AP14" i="136"/>
  <c r="AO14" i="136"/>
  <c r="AN14" i="136"/>
  <c r="AM14" i="136"/>
  <c r="J14" i="136"/>
  <c r="AV13" i="136"/>
  <c r="AU13" i="136"/>
  <c r="AS13" i="136"/>
  <c r="AR13" i="136"/>
  <c r="AQ13" i="136"/>
  <c r="AP13" i="136"/>
  <c r="AO13" i="136"/>
  <c r="AN13" i="136"/>
  <c r="AM13" i="136"/>
  <c r="J13" i="136"/>
  <c r="AV12" i="136"/>
  <c r="AU12" i="136"/>
  <c r="AS12" i="136"/>
  <c r="AR12" i="136"/>
  <c r="AQ12" i="136"/>
  <c r="AP12" i="136"/>
  <c r="AO12" i="136"/>
  <c r="AN12" i="136"/>
  <c r="AM12" i="136"/>
  <c r="J12" i="136"/>
  <c r="AV11" i="136"/>
  <c r="AU11" i="136"/>
  <c r="AS11" i="136"/>
  <c r="AR11" i="136"/>
  <c r="AQ11" i="136"/>
  <c r="AP11" i="136"/>
  <c r="AO11" i="136"/>
  <c r="AN11" i="136"/>
  <c r="AM11" i="136"/>
  <c r="J11" i="136"/>
  <c r="AV10" i="136"/>
  <c r="AU10" i="136"/>
  <c r="AS10" i="136"/>
  <c r="AR10" i="136"/>
  <c r="AQ10" i="136"/>
  <c r="AP10" i="136"/>
  <c r="AO10" i="136"/>
  <c r="AN10" i="136"/>
  <c r="AM10" i="136"/>
  <c r="J10" i="136"/>
  <c r="AV9" i="136"/>
  <c r="AU9" i="136"/>
  <c r="AS9" i="136"/>
  <c r="AR9" i="136"/>
  <c r="AQ9" i="136"/>
  <c r="AP9" i="136"/>
  <c r="AO9" i="136"/>
  <c r="AN9" i="136"/>
  <c r="AM9" i="136"/>
  <c r="AV8" i="136"/>
  <c r="AU8" i="136"/>
  <c r="AS8" i="136"/>
  <c r="AR8" i="136"/>
  <c r="AQ8" i="136"/>
  <c r="AP8" i="136"/>
  <c r="AO8" i="136"/>
  <c r="AN8" i="136"/>
  <c r="AM8" i="136"/>
  <c r="J8" i="136"/>
  <c r="B129" i="136" l="1" a="1"/>
  <c r="B129" i="136" s="1"/>
  <c r="F80" i="136"/>
  <c r="F94" i="136" s="1"/>
  <c r="F107" i="136" s="1"/>
  <c r="B113" i="136" a="1"/>
  <c r="B113" i="136" s="1"/>
  <c r="AO106" i="127"/>
  <c r="AQ107" i="125"/>
  <c r="AQ95" i="124"/>
  <c r="AQ88" i="123"/>
  <c r="B114" i="136" l="1" a="1"/>
  <c r="B114" i="136" s="1"/>
  <c r="B112" i="136" a="1"/>
  <c r="B112" i="136" s="1"/>
  <c r="AN106" i="127"/>
  <c r="AM106" i="127"/>
  <c r="J106" i="127"/>
  <c r="AP107" i="125"/>
  <c r="AO107" i="125"/>
  <c r="J107" i="125"/>
  <c r="AP95" i="124"/>
  <c r="AO95" i="124"/>
  <c r="J95" i="124"/>
  <c r="AX88" i="123"/>
  <c r="AW88" i="123"/>
  <c r="AU88" i="123"/>
  <c r="AT88" i="123"/>
  <c r="AS88" i="123"/>
  <c r="AR88" i="123"/>
  <c r="AP88" i="123"/>
  <c r="AO88" i="123"/>
  <c r="J88" i="123"/>
  <c r="G47" i="125" l="1"/>
  <c r="G35" i="123"/>
  <c r="G50" i="125" l="1"/>
  <c r="G40" i="123"/>
  <c r="AW44" i="135" l="1"/>
  <c r="AW38" i="131"/>
  <c r="AF43" i="132"/>
  <c r="AF37" i="130"/>
  <c r="AW32" i="129"/>
  <c r="AZ11" i="135" l="1"/>
  <c r="AZ11" i="131"/>
  <c r="AZ11" i="129"/>
  <c r="G48" i="125"/>
  <c r="G43" i="124" l="1"/>
  <c r="G42" i="124"/>
  <c r="G41" i="124"/>
  <c r="G39" i="123"/>
  <c r="G38" i="123"/>
  <c r="G36" i="123"/>
  <c r="AG39" i="134" l="1"/>
  <c r="AG40" i="134"/>
  <c r="AG41" i="134"/>
  <c r="AG38" i="134"/>
  <c r="AG39" i="135"/>
  <c r="AG40" i="135"/>
  <c r="AG41" i="135"/>
  <c r="AG38" i="135"/>
  <c r="AG35" i="131"/>
  <c r="AG34" i="131"/>
  <c r="AG84" i="135" l="1"/>
  <c r="AG83" i="135"/>
  <c r="AG82" i="135"/>
  <c r="AG81" i="135"/>
  <c r="AG80" i="135"/>
  <c r="AG79" i="135"/>
  <c r="AG78" i="135"/>
  <c r="AG77" i="135"/>
  <c r="BG44" i="135"/>
  <c r="BG73" i="135" s="1"/>
  <c r="BG85" i="135" s="1"/>
  <c r="BC73" i="135"/>
  <c r="AF44" i="135"/>
  <c r="AF73" i="135" s="1"/>
  <c r="AF85" i="135" s="1"/>
  <c r="Y44" i="135"/>
  <c r="Y73" i="135" s="1"/>
  <c r="Y85" i="135" s="1"/>
  <c r="H44" i="135"/>
  <c r="H73" i="135" s="1"/>
  <c r="H85" i="135" s="1"/>
  <c r="F44" i="135"/>
  <c r="F73" i="135" s="1"/>
  <c r="F85" i="135" s="1"/>
  <c r="AG72" i="135"/>
  <c r="AG71" i="135"/>
  <c r="AG70" i="135"/>
  <c r="AG69" i="135"/>
  <c r="AG68" i="135"/>
  <c r="AG67" i="135"/>
  <c r="AG66" i="135"/>
  <c r="AG65" i="135"/>
  <c r="AG64" i="135"/>
  <c r="AG63" i="135"/>
  <c r="AG62" i="135"/>
  <c r="AG61" i="135"/>
  <c r="AG60" i="135"/>
  <c r="AG59" i="135"/>
  <c r="AG58" i="135"/>
  <c r="AG57" i="135"/>
  <c r="AG56" i="135"/>
  <c r="AG55" i="135"/>
  <c r="AG54" i="135"/>
  <c r="AG53" i="135"/>
  <c r="AG52" i="135"/>
  <c r="AG51" i="135"/>
  <c r="AG50" i="135"/>
  <c r="AG49" i="135"/>
  <c r="BH44" i="135"/>
  <c r="BH73" i="135" s="1"/>
  <c r="BH85" i="135" s="1"/>
  <c r="BE44" i="135"/>
  <c r="BE73" i="135" s="1"/>
  <c r="BE85" i="135" s="1"/>
  <c r="BB44" i="135"/>
  <c r="BB73" i="135" s="1"/>
  <c r="BB85" i="135" s="1"/>
  <c r="BA44" i="135"/>
  <c r="BA73" i="135" s="1"/>
  <c r="BA85" i="135" s="1"/>
  <c r="AR44" i="135"/>
  <c r="AK44" i="135"/>
  <c r="AK73" i="135" s="1"/>
  <c r="AK85" i="135" s="1"/>
  <c r="AC12" i="135"/>
  <c r="AC44" i="135" s="1"/>
  <c r="AC73" i="135" s="1"/>
  <c r="AC85" i="135" s="1"/>
  <c r="AB44" i="135"/>
  <c r="AB73" i="135" s="1"/>
  <c r="AB85" i="135" s="1"/>
  <c r="X11" i="135"/>
  <c r="X44" i="135"/>
  <c r="X73" i="135" s="1"/>
  <c r="X85" i="135" s="1"/>
  <c r="Q44" i="135"/>
  <c r="Q73" i="135" s="1"/>
  <c r="Q85" i="135" s="1"/>
  <c r="L44" i="135"/>
  <c r="L73" i="135" s="1"/>
  <c r="L85" i="135" s="1"/>
  <c r="AG43" i="135"/>
  <c r="AG42" i="135"/>
  <c r="AN41" i="135"/>
  <c r="AN40" i="135"/>
  <c r="AN39" i="135"/>
  <c r="AN38" i="135"/>
  <c r="AG37" i="135"/>
  <c r="AG36" i="135"/>
  <c r="AG35" i="135"/>
  <c r="AG34" i="135"/>
  <c r="AG33" i="135"/>
  <c r="AG32" i="135"/>
  <c r="AG31" i="135"/>
  <c r="AG30" i="135"/>
  <c r="AG29" i="135"/>
  <c r="AG28" i="135"/>
  <c r="AG27" i="135"/>
  <c r="AG26" i="135"/>
  <c r="AG25" i="135"/>
  <c r="AG24" i="135"/>
  <c r="AG23" i="135"/>
  <c r="AG22" i="135"/>
  <c r="AG21" i="135"/>
  <c r="AG20" i="135"/>
  <c r="AR19" i="135"/>
  <c r="AG19" i="135"/>
  <c r="AG18" i="135"/>
  <c r="AG17" i="135"/>
  <c r="AG16" i="135"/>
  <c r="AG15" i="135"/>
  <c r="AG14" i="135"/>
  <c r="AG13" i="135"/>
  <c r="AG9" i="135"/>
  <c r="AG10" i="135"/>
  <c r="U44" i="135"/>
  <c r="U73" i="135" s="1"/>
  <c r="U85" i="135" s="1"/>
  <c r="T11" i="135"/>
  <c r="T44" i="135" s="1"/>
  <c r="T73" i="135" s="1"/>
  <c r="T85" i="135" s="1"/>
  <c r="P11" i="135"/>
  <c r="P44" i="135" s="1"/>
  <c r="P73" i="135" s="1"/>
  <c r="P85" i="135" s="1"/>
  <c r="M44" i="135"/>
  <c r="M73" i="135" s="1"/>
  <c r="M85" i="135" s="1"/>
  <c r="G44" i="135"/>
  <c r="G73" i="135" s="1"/>
  <c r="G85" i="135" s="1"/>
  <c r="AB44" i="134"/>
  <c r="AB73" i="134" s="1"/>
  <c r="AB83" i="134" s="1"/>
  <c r="Q44" i="134"/>
  <c r="Q73" i="134" s="1"/>
  <c r="Q83" i="134" s="1"/>
  <c r="L44" i="134"/>
  <c r="L73" i="134" s="1"/>
  <c r="L83" i="134" s="1"/>
  <c r="AG82" i="134"/>
  <c r="AG81" i="134"/>
  <c r="AG80" i="134"/>
  <c r="AG79" i="134"/>
  <c r="AG78" i="134"/>
  <c r="AG77" i="134"/>
  <c r="BD44" i="134"/>
  <c r="BD73" i="134" s="1"/>
  <c r="BD83" i="134" s="1"/>
  <c r="AY73" i="134"/>
  <c r="U44" i="134"/>
  <c r="U73" i="134" s="1"/>
  <c r="U83" i="134" s="1"/>
  <c r="F44" i="134"/>
  <c r="F73" i="134" s="1"/>
  <c r="F83" i="134" s="1"/>
  <c r="AG72" i="134"/>
  <c r="AG71" i="134"/>
  <c r="AG70" i="134"/>
  <c r="AG69" i="134"/>
  <c r="AG68" i="134"/>
  <c r="AG67" i="134"/>
  <c r="AG66" i="134"/>
  <c r="AG65" i="134"/>
  <c r="AG64" i="134"/>
  <c r="AG63" i="134"/>
  <c r="AG62" i="134"/>
  <c r="AG61" i="134"/>
  <c r="AG60" i="134"/>
  <c r="AG59" i="134"/>
  <c r="AG58" i="134"/>
  <c r="AG57" i="134"/>
  <c r="AG56" i="134"/>
  <c r="AG55" i="134"/>
  <c r="AG54" i="134"/>
  <c r="AG53" i="134"/>
  <c r="AG52" i="134"/>
  <c r="AG51" i="134"/>
  <c r="AG50" i="134"/>
  <c r="AG49" i="134"/>
  <c r="BC44" i="134"/>
  <c r="BC73" i="134" s="1"/>
  <c r="BC83" i="134" s="1"/>
  <c r="BA44" i="134"/>
  <c r="BA73" i="134" s="1"/>
  <c r="BA83" i="134" s="1"/>
  <c r="AX44" i="134"/>
  <c r="AX73" i="134" s="1"/>
  <c r="AX83" i="134" s="1"/>
  <c r="AW44" i="134"/>
  <c r="AW73" i="134" s="1"/>
  <c r="AW83" i="134" s="1"/>
  <c r="AR44" i="134"/>
  <c r="AK44" i="134"/>
  <c r="AK73" i="134" s="1"/>
  <c r="AK83" i="134" s="1"/>
  <c r="AF44" i="134"/>
  <c r="AF73" i="134" s="1"/>
  <c r="AF83" i="134" s="1"/>
  <c r="Y44" i="134"/>
  <c r="Y73" i="134" s="1"/>
  <c r="Y83" i="134" s="1"/>
  <c r="T11" i="134"/>
  <c r="T44" i="134" s="1"/>
  <c r="T73" i="134" s="1"/>
  <c r="T83" i="134" s="1"/>
  <c r="M44" i="134"/>
  <c r="M73" i="134" s="1"/>
  <c r="M83" i="134" s="1"/>
  <c r="H44" i="134"/>
  <c r="H73" i="134" s="1"/>
  <c r="H83" i="134" s="1"/>
  <c r="G44" i="134"/>
  <c r="G73" i="134" s="1"/>
  <c r="G83" i="134" s="1"/>
  <c r="AG43" i="134"/>
  <c r="AG42" i="134"/>
  <c r="AN41" i="134"/>
  <c r="AN40" i="134"/>
  <c r="AN39" i="134"/>
  <c r="AN38" i="134"/>
  <c r="AG37" i="134"/>
  <c r="AG36" i="134"/>
  <c r="AG35" i="134"/>
  <c r="AG34" i="134"/>
  <c r="AG33" i="134"/>
  <c r="AG32" i="134"/>
  <c r="AG31" i="134"/>
  <c r="AG30" i="134"/>
  <c r="AG29" i="134"/>
  <c r="AG28" i="134"/>
  <c r="AG27" i="134"/>
  <c r="AG26" i="134"/>
  <c r="AG25" i="134"/>
  <c r="AG24" i="134"/>
  <c r="AG23" i="134"/>
  <c r="AG22" i="134"/>
  <c r="AG21" i="134"/>
  <c r="AG20" i="134"/>
  <c r="AR19" i="134"/>
  <c r="AG19" i="134"/>
  <c r="AG18" i="134"/>
  <c r="AG17" i="134"/>
  <c r="AG16" i="134"/>
  <c r="AG15" i="134"/>
  <c r="AG14" i="134"/>
  <c r="AG13" i="134"/>
  <c r="AC12" i="134"/>
  <c r="AC44" i="134" s="1"/>
  <c r="AC73" i="134" s="1"/>
  <c r="AC83" i="134" s="1"/>
  <c r="X11" i="134"/>
  <c r="X44" i="134" s="1"/>
  <c r="X73" i="134" s="1"/>
  <c r="X83" i="134" s="1"/>
  <c r="P11" i="134"/>
  <c r="P44" i="134" s="1"/>
  <c r="P73" i="134" s="1"/>
  <c r="P83" i="134" s="1"/>
  <c r="AG10" i="134"/>
  <c r="AG9" i="134"/>
  <c r="AQ84" i="133"/>
  <c r="AP84" i="133"/>
  <c r="AO84" i="133"/>
  <c r="AN84" i="133"/>
  <c r="AM84" i="133"/>
  <c r="AL84" i="133"/>
  <c r="AK84" i="133"/>
  <c r="J84" i="133"/>
  <c r="AQ83" i="133"/>
  <c r="AP83" i="133"/>
  <c r="AO83" i="133"/>
  <c r="AN83" i="133"/>
  <c r="AM83" i="133"/>
  <c r="AL83" i="133"/>
  <c r="AK83" i="133"/>
  <c r="J83" i="133"/>
  <c r="AT82" i="133"/>
  <c r="AS82" i="133"/>
  <c r="AQ82" i="133"/>
  <c r="AP82" i="133"/>
  <c r="AO82" i="133"/>
  <c r="AN82" i="133"/>
  <c r="AM82" i="133"/>
  <c r="AL82" i="133"/>
  <c r="AK82" i="133"/>
  <c r="J82" i="133"/>
  <c r="AT81" i="133"/>
  <c r="AS81" i="133"/>
  <c r="AQ81" i="133"/>
  <c r="AP81" i="133"/>
  <c r="AO81" i="133"/>
  <c r="AN81" i="133"/>
  <c r="AM81" i="133"/>
  <c r="AL81" i="133"/>
  <c r="AK81" i="133"/>
  <c r="J81" i="133"/>
  <c r="AT80" i="133"/>
  <c r="AS80" i="133"/>
  <c r="AQ80" i="133"/>
  <c r="AP80" i="133"/>
  <c r="AO80" i="133"/>
  <c r="AN80" i="133"/>
  <c r="AM80" i="133"/>
  <c r="AL80" i="133"/>
  <c r="AK80" i="133"/>
  <c r="J80" i="133"/>
  <c r="AT79" i="133"/>
  <c r="AS79" i="133"/>
  <c r="AQ79" i="133"/>
  <c r="AP79" i="133"/>
  <c r="AO79" i="133"/>
  <c r="AN79" i="133"/>
  <c r="AM79" i="133"/>
  <c r="AL79" i="133"/>
  <c r="AK79" i="133"/>
  <c r="J79" i="133"/>
  <c r="AT78" i="133"/>
  <c r="AS78" i="133"/>
  <c r="AQ78" i="133"/>
  <c r="AP78" i="133"/>
  <c r="AO78" i="133"/>
  <c r="AN78" i="133"/>
  <c r="AM78" i="133"/>
  <c r="AL78" i="133"/>
  <c r="AK78" i="133"/>
  <c r="J78" i="133"/>
  <c r="AT77" i="133"/>
  <c r="AS77" i="133"/>
  <c r="AQ77" i="133"/>
  <c r="AP77" i="133"/>
  <c r="AO77" i="133"/>
  <c r="AN77" i="133"/>
  <c r="AM77" i="133"/>
  <c r="AL77" i="133"/>
  <c r="AK77" i="133"/>
  <c r="J77" i="133"/>
  <c r="AH73" i="133"/>
  <c r="AS71" i="133"/>
  <c r="AQ71" i="133"/>
  <c r="AP71" i="133"/>
  <c r="AO71" i="133"/>
  <c r="AN71" i="133"/>
  <c r="AM71" i="133"/>
  <c r="AL71" i="133"/>
  <c r="AK71" i="133"/>
  <c r="J71" i="133"/>
  <c r="AT70" i="133"/>
  <c r="AS70" i="133"/>
  <c r="AQ70" i="133"/>
  <c r="AP70" i="133"/>
  <c r="AO70" i="133"/>
  <c r="AN70" i="133"/>
  <c r="AM70" i="133"/>
  <c r="AL70" i="133"/>
  <c r="AK70" i="133"/>
  <c r="J70" i="133"/>
  <c r="AT69" i="133"/>
  <c r="AS69" i="133"/>
  <c r="AQ69" i="133"/>
  <c r="AP69" i="133"/>
  <c r="AO69" i="133"/>
  <c r="AN69" i="133"/>
  <c r="AM69" i="133"/>
  <c r="AL69" i="133"/>
  <c r="AK69" i="133"/>
  <c r="J69" i="133"/>
  <c r="AT68" i="133"/>
  <c r="AS68" i="133"/>
  <c r="AQ68" i="133"/>
  <c r="AP68" i="133"/>
  <c r="AO68" i="133"/>
  <c r="AN68" i="133"/>
  <c r="AM68" i="133"/>
  <c r="AL68" i="133"/>
  <c r="AK68" i="133"/>
  <c r="J68" i="133"/>
  <c r="AT67" i="133"/>
  <c r="AS67" i="133"/>
  <c r="AQ67" i="133"/>
  <c r="AP67" i="133"/>
  <c r="AO67" i="133"/>
  <c r="AN67" i="133"/>
  <c r="AM67" i="133"/>
  <c r="AL67" i="133"/>
  <c r="AK67" i="133"/>
  <c r="J67" i="133"/>
  <c r="AT66" i="133"/>
  <c r="AS66" i="133"/>
  <c r="AQ66" i="133"/>
  <c r="AP66" i="133"/>
  <c r="AO66" i="133"/>
  <c r="AN66" i="133"/>
  <c r="AM66" i="133"/>
  <c r="AL66" i="133"/>
  <c r="AK66" i="133"/>
  <c r="J66" i="133"/>
  <c r="AT65" i="133"/>
  <c r="AS65" i="133"/>
  <c r="AQ65" i="133"/>
  <c r="AP65" i="133"/>
  <c r="AO65" i="133"/>
  <c r="AN65" i="133"/>
  <c r="AM65" i="133"/>
  <c r="AL65" i="133"/>
  <c r="AK65" i="133"/>
  <c r="J65" i="133"/>
  <c r="AT64" i="133"/>
  <c r="AS64" i="133"/>
  <c r="AQ64" i="133"/>
  <c r="AP64" i="133"/>
  <c r="AO64" i="133"/>
  <c r="AN64" i="133"/>
  <c r="AM64" i="133"/>
  <c r="AL64" i="133"/>
  <c r="AK64" i="133"/>
  <c r="J64" i="133"/>
  <c r="AT63" i="133"/>
  <c r="AS63" i="133"/>
  <c r="AQ63" i="133"/>
  <c r="AP63" i="133"/>
  <c r="AO63" i="133"/>
  <c r="AN63" i="133"/>
  <c r="AM63" i="133"/>
  <c r="AL63" i="133"/>
  <c r="AK63" i="133"/>
  <c r="J63" i="133"/>
  <c r="AT62" i="133"/>
  <c r="AS62" i="133"/>
  <c r="AQ62" i="133"/>
  <c r="AP62" i="133"/>
  <c r="AO62" i="133"/>
  <c r="AN62" i="133"/>
  <c r="AM62" i="133"/>
  <c r="AL62" i="133"/>
  <c r="AK62" i="133"/>
  <c r="J62" i="133"/>
  <c r="AT61" i="133"/>
  <c r="AS61" i="133"/>
  <c r="AQ61" i="133"/>
  <c r="AP61" i="133"/>
  <c r="AO61" i="133"/>
  <c r="AN61" i="133"/>
  <c r="AM61" i="133"/>
  <c r="AL61" i="133"/>
  <c r="AK61" i="133"/>
  <c r="J61" i="133"/>
  <c r="AT60" i="133"/>
  <c r="AS60" i="133"/>
  <c r="AQ60" i="133"/>
  <c r="AP60" i="133"/>
  <c r="AO60" i="133"/>
  <c r="AN60" i="133"/>
  <c r="AM60" i="133"/>
  <c r="AL60" i="133"/>
  <c r="AK60" i="133"/>
  <c r="J60" i="133"/>
  <c r="AT59" i="133"/>
  <c r="AS59" i="133"/>
  <c r="AQ59" i="133"/>
  <c r="AP59" i="133"/>
  <c r="AO59" i="133"/>
  <c r="AN59" i="133"/>
  <c r="AM59" i="133"/>
  <c r="AL59" i="133"/>
  <c r="AK59" i="133"/>
  <c r="J59" i="133"/>
  <c r="AT58" i="133"/>
  <c r="AS58" i="133"/>
  <c r="AQ58" i="133"/>
  <c r="AP58" i="133"/>
  <c r="AO58" i="133"/>
  <c r="AN58" i="133"/>
  <c r="AM58" i="133"/>
  <c r="AL58" i="133"/>
  <c r="AK58" i="133"/>
  <c r="J58" i="133"/>
  <c r="AT57" i="133"/>
  <c r="AS57" i="133"/>
  <c r="AQ57" i="133"/>
  <c r="AP57" i="133"/>
  <c r="AO57" i="133"/>
  <c r="AN57" i="133"/>
  <c r="AM57" i="133"/>
  <c r="AL57" i="133"/>
  <c r="AK57" i="133"/>
  <c r="J57" i="133"/>
  <c r="AT56" i="133"/>
  <c r="AS56" i="133"/>
  <c r="AQ56" i="133"/>
  <c r="AP56" i="133"/>
  <c r="AO56" i="133"/>
  <c r="AN56" i="133"/>
  <c r="AM56" i="133"/>
  <c r="AL56" i="133"/>
  <c r="AK56" i="133"/>
  <c r="J56" i="133"/>
  <c r="AT55" i="133"/>
  <c r="AS55" i="133"/>
  <c r="AQ55" i="133"/>
  <c r="AP55" i="133"/>
  <c r="AO55" i="133"/>
  <c r="AN55" i="133"/>
  <c r="AM55" i="133"/>
  <c r="AL55" i="133"/>
  <c r="AK55" i="133"/>
  <c r="J55" i="133"/>
  <c r="AT54" i="133"/>
  <c r="AS54" i="133"/>
  <c r="AQ54" i="133"/>
  <c r="AP54" i="133"/>
  <c r="AO54" i="133"/>
  <c r="AN54" i="133"/>
  <c r="AM54" i="133"/>
  <c r="AL54" i="133"/>
  <c r="AK54" i="133"/>
  <c r="J54" i="133"/>
  <c r="AT53" i="133"/>
  <c r="AS53" i="133"/>
  <c r="AQ53" i="133"/>
  <c r="AP53" i="133"/>
  <c r="AO53" i="133"/>
  <c r="AN53" i="133"/>
  <c r="AM53" i="133"/>
  <c r="AL53" i="133"/>
  <c r="AK53" i="133"/>
  <c r="J53" i="133"/>
  <c r="AT52" i="133"/>
  <c r="AS52" i="133"/>
  <c r="AQ52" i="133"/>
  <c r="AP52" i="133"/>
  <c r="AO52" i="133"/>
  <c r="AN52" i="133"/>
  <c r="AM52" i="133"/>
  <c r="AL52" i="133"/>
  <c r="AK52" i="133"/>
  <c r="J52" i="133"/>
  <c r="AT51" i="133"/>
  <c r="AS51" i="133"/>
  <c r="AQ51" i="133"/>
  <c r="AP51" i="133"/>
  <c r="AO51" i="133"/>
  <c r="AN51" i="133"/>
  <c r="AM51" i="133"/>
  <c r="AL51" i="133"/>
  <c r="AK51" i="133"/>
  <c r="J51" i="133"/>
  <c r="AT50" i="133"/>
  <c r="AS50" i="133"/>
  <c r="AQ50" i="133"/>
  <c r="AP50" i="133"/>
  <c r="AO50" i="133"/>
  <c r="AN50" i="133"/>
  <c r="AM50" i="133"/>
  <c r="AL50" i="133"/>
  <c r="AK50" i="133"/>
  <c r="J50" i="133"/>
  <c r="AT49" i="133"/>
  <c r="AS49" i="133"/>
  <c r="AQ49" i="133"/>
  <c r="AP49" i="133"/>
  <c r="AO49" i="133"/>
  <c r="AN49" i="133"/>
  <c r="AM49" i="133"/>
  <c r="AL49" i="133"/>
  <c r="AK49" i="133"/>
  <c r="J49" i="133"/>
  <c r="AT48" i="133"/>
  <c r="AS48" i="133"/>
  <c r="AQ48" i="133"/>
  <c r="AP48" i="133"/>
  <c r="AO48" i="133"/>
  <c r="AN48" i="133"/>
  <c r="AM48" i="133"/>
  <c r="AL48" i="133"/>
  <c r="AK48" i="133"/>
  <c r="J48" i="133"/>
  <c r="Z43" i="133"/>
  <c r="Z85" i="133" s="1"/>
  <c r="X43" i="133"/>
  <c r="X85" i="133" s="1"/>
  <c r="V43" i="133"/>
  <c r="V85" i="133" s="1"/>
  <c r="T43" i="133"/>
  <c r="T85" i="133" s="1"/>
  <c r="R43" i="133"/>
  <c r="P43" i="133"/>
  <c r="P85" i="133" s="1"/>
  <c r="N43" i="133"/>
  <c r="N85" i="133" s="1"/>
  <c r="L43" i="133"/>
  <c r="L85" i="133" s="1"/>
  <c r="I43" i="133"/>
  <c r="H43" i="133"/>
  <c r="G43" i="133"/>
  <c r="F43" i="133"/>
  <c r="AT42" i="133"/>
  <c r="AS42" i="133"/>
  <c r="AQ42" i="133"/>
  <c r="AP42" i="133"/>
  <c r="AO42" i="133"/>
  <c r="AN42" i="133"/>
  <c r="AM42" i="133"/>
  <c r="AL42" i="133"/>
  <c r="AK42" i="133"/>
  <c r="J42" i="133"/>
  <c r="AT41" i="133"/>
  <c r="AS41" i="133"/>
  <c r="AQ41" i="133"/>
  <c r="AP41" i="133"/>
  <c r="AO41" i="133"/>
  <c r="AN41" i="133"/>
  <c r="AM41" i="133"/>
  <c r="AL41" i="133"/>
  <c r="AK41" i="133"/>
  <c r="J41" i="133"/>
  <c r="AT40" i="133"/>
  <c r="AS40" i="133"/>
  <c r="AQ40" i="133"/>
  <c r="AP40" i="133"/>
  <c r="AO40" i="133"/>
  <c r="AN40" i="133"/>
  <c r="AM40" i="133"/>
  <c r="AL40" i="133"/>
  <c r="AK40" i="133"/>
  <c r="J40" i="133"/>
  <c r="AT39" i="133"/>
  <c r="AS39" i="133"/>
  <c r="AQ39" i="133"/>
  <c r="AP39" i="133"/>
  <c r="AO39" i="133"/>
  <c r="AN39" i="133"/>
  <c r="AM39" i="133"/>
  <c r="AL39" i="133"/>
  <c r="AK39" i="133"/>
  <c r="J39" i="133"/>
  <c r="AT38" i="133"/>
  <c r="AS38" i="133"/>
  <c r="AQ38" i="133"/>
  <c r="AP38" i="133"/>
  <c r="AO38" i="133"/>
  <c r="AN38" i="133"/>
  <c r="AM38" i="133"/>
  <c r="AL38" i="133"/>
  <c r="AK38" i="133"/>
  <c r="J38" i="133"/>
  <c r="AT37" i="133"/>
  <c r="AS37" i="133"/>
  <c r="AQ37" i="133"/>
  <c r="AP37" i="133"/>
  <c r="AO37" i="133"/>
  <c r="AN37" i="133"/>
  <c r="AM37" i="133"/>
  <c r="AL37" i="133"/>
  <c r="AK37" i="133"/>
  <c r="J37" i="133"/>
  <c r="AT36" i="133"/>
  <c r="AS36" i="133"/>
  <c r="AQ36" i="133"/>
  <c r="AP36" i="133"/>
  <c r="AO36" i="133"/>
  <c r="AN36" i="133"/>
  <c r="AM36" i="133"/>
  <c r="AL36" i="133"/>
  <c r="AK36" i="133"/>
  <c r="J36" i="133"/>
  <c r="AT35" i="133"/>
  <c r="AS35" i="133"/>
  <c r="AQ35" i="133"/>
  <c r="AP35" i="133"/>
  <c r="AO35" i="133"/>
  <c r="AN35" i="133"/>
  <c r="AM35" i="133"/>
  <c r="AL35" i="133"/>
  <c r="AK35" i="133"/>
  <c r="J35" i="133"/>
  <c r="AT34" i="133"/>
  <c r="AS34" i="133"/>
  <c r="AQ34" i="133"/>
  <c r="AP34" i="133"/>
  <c r="AO34" i="133"/>
  <c r="AN34" i="133"/>
  <c r="AM34" i="133"/>
  <c r="AL34" i="133"/>
  <c r="AK34" i="133"/>
  <c r="J34" i="133"/>
  <c r="AT33" i="133"/>
  <c r="AS33" i="133"/>
  <c r="AQ33" i="133"/>
  <c r="AP33" i="133"/>
  <c r="AO33" i="133"/>
  <c r="AN33" i="133"/>
  <c r="AM33" i="133"/>
  <c r="AL33" i="133"/>
  <c r="AK33" i="133"/>
  <c r="J33" i="133"/>
  <c r="AT32" i="133"/>
  <c r="AS32" i="133"/>
  <c r="AQ32" i="133"/>
  <c r="AP32" i="133"/>
  <c r="AO32" i="133"/>
  <c r="AN32" i="133"/>
  <c r="AM32" i="133"/>
  <c r="AL32" i="133"/>
  <c r="AK32" i="133"/>
  <c r="J32" i="133"/>
  <c r="AT31" i="133"/>
  <c r="AS31" i="133"/>
  <c r="AQ31" i="133"/>
  <c r="AP31" i="133"/>
  <c r="AO31" i="133"/>
  <c r="AN31" i="133"/>
  <c r="AM31" i="133"/>
  <c r="AL31" i="133"/>
  <c r="AK31" i="133"/>
  <c r="J31" i="133"/>
  <c r="AT30" i="133"/>
  <c r="AS30" i="133"/>
  <c r="AQ30" i="133"/>
  <c r="AP30" i="133"/>
  <c r="AO30" i="133"/>
  <c r="AN30" i="133"/>
  <c r="AM30" i="133"/>
  <c r="AL30" i="133"/>
  <c r="AK30" i="133"/>
  <c r="J30" i="133"/>
  <c r="AT29" i="133"/>
  <c r="AS29" i="133"/>
  <c r="AQ29" i="133"/>
  <c r="AP29" i="133"/>
  <c r="AO29" i="133"/>
  <c r="AN29" i="133"/>
  <c r="AM29" i="133"/>
  <c r="AL29" i="133"/>
  <c r="AK29" i="133"/>
  <c r="J29" i="133"/>
  <c r="AT28" i="133"/>
  <c r="AS28" i="133"/>
  <c r="AQ28" i="133"/>
  <c r="AP28" i="133"/>
  <c r="AO28" i="133"/>
  <c r="AN28" i="133"/>
  <c r="AM28" i="133"/>
  <c r="AL28" i="133"/>
  <c r="AK28" i="133"/>
  <c r="J28" i="133"/>
  <c r="AT27" i="133"/>
  <c r="AS27" i="133"/>
  <c r="AQ27" i="133"/>
  <c r="AP27" i="133"/>
  <c r="AO27" i="133"/>
  <c r="AN27" i="133"/>
  <c r="AM27" i="133"/>
  <c r="AL27" i="133"/>
  <c r="AK27" i="133"/>
  <c r="J27" i="133"/>
  <c r="AT26" i="133"/>
  <c r="AS26" i="133"/>
  <c r="AQ26" i="133"/>
  <c r="AP26" i="133"/>
  <c r="AO26" i="133"/>
  <c r="AN26" i="133"/>
  <c r="AM26" i="133"/>
  <c r="AL26" i="133"/>
  <c r="AK26" i="133"/>
  <c r="J26" i="133"/>
  <c r="AT25" i="133"/>
  <c r="AS25" i="133"/>
  <c r="AQ25" i="133"/>
  <c r="AP25" i="133"/>
  <c r="AO25" i="133"/>
  <c r="AN25" i="133"/>
  <c r="AM25" i="133"/>
  <c r="AL25" i="133"/>
  <c r="AK25" i="133"/>
  <c r="J25" i="133"/>
  <c r="AT24" i="133"/>
  <c r="AS24" i="133"/>
  <c r="AQ24" i="133"/>
  <c r="AP24" i="133"/>
  <c r="AO24" i="133"/>
  <c r="AN24" i="133"/>
  <c r="AM24" i="133"/>
  <c r="AL24" i="133"/>
  <c r="AK24" i="133"/>
  <c r="J24" i="133"/>
  <c r="AT23" i="133"/>
  <c r="AS23" i="133"/>
  <c r="AQ23" i="133"/>
  <c r="AP23" i="133"/>
  <c r="AO23" i="133"/>
  <c r="AN23" i="133"/>
  <c r="AM23" i="133"/>
  <c r="AL23" i="133"/>
  <c r="AK23" i="133"/>
  <c r="J23" i="133"/>
  <c r="AT22" i="133"/>
  <c r="AS22" i="133"/>
  <c r="AQ22" i="133"/>
  <c r="AP22" i="133"/>
  <c r="AO22" i="133"/>
  <c r="AN22" i="133"/>
  <c r="AM22" i="133"/>
  <c r="AL22" i="133"/>
  <c r="AK22" i="133"/>
  <c r="J22" i="133"/>
  <c r="AT21" i="133"/>
  <c r="AS21" i="133"/>
  <c r="AQ21" i="133"/>
  <c r="AP21" i="133"/>
  <c r="AO21" i="133"/>
  <c r="AN21" i="133"/>
  <c r="AM21" i="133"/>
  <c r="AL21" i="133"/>
  <c r="AK21" i="133"/>
  <c r="J21" i="133"/>
  <c r="AT20" i="133"/>
  <c r="AS20" i="133"/>
  <c r="AQ20" i="133"/>
  <c r="AP20" i="133"/>
  <c r="AO20" i="133"/>
  <c r="AN20" i="133"/>
  <c r="AM20" i="133"/>
  <c r="AL20" i="133"/>
  <c r="AK20" i="133"/>
  <c r="J20" i="133"/>
  <c r="AT19" i="133"/>
  <c r="AS19" i="133"/>
  <c r="AQ19" i="133"/>
  <c r="AP19" i="133"/>
  <c r="AO19" i="133"/>
  <c r="AN19" i="133"/>
  <c r="AM19" i="133"/>
  <c r="AL19" i="133"/>
  <c r="AK19" i="133"/>
  <c r="J19" i="133"/>
  <c r="AT18" i="133"/>
  <c r="AS18" i="133"/>
  <c r="AQ18" i="133"/>
  <c r="AP18" i="133"/>
  <c r="AO18" i="133"/>
  <c r="AN18" i="133"/>
  <c r="AM18" i="133"/>
  <c r="AL18" i="133"/>
  <c r="AK18" i="133"/>
  <c r="J18" i="133"/>
  <c r="AT17" i="133"/>
  <c r="AS17" i="133"/>
  <c r="AQ17" i="133"/>
  <c r="AP17" i="133"/>
  <c r="AO17" i="133"/>
  <c r="AN17" i="133"/>
  <c r="AM17" i="133"/>
  <c r="AL17" i="133"/>
  <c r="AK17" i="133"/>
  <c r="J17" i="133"/>
  <c r="AT16" i="133"/>
  <c r="AS16" i="133"/>
  <c r="AQ16" i="133"/>
  <c r="AP16" i="133"/>
  <c r="AO16" i="133"/>
  <c r="AN16" i="133"/>
  <c r="AM16" i="133"/>
  <c r="AL16" i="133"/>
  <c r="AK16" i="133"/>
  <c r="J16" i="133"/>
  <c r="AT15" i="133"/>
  <c r="AS15" i="133"/>
  <c r="AQ15" i="133"/>
  <c r="AP15" i="133"/>
  <c r="AO15" i="133"/>
  <c r="AN15" i="133"/>
  <c r="AM15" i="133"/>
  <c r="AL15" i="133"/>
  <c r="AK15" i="133"/>
  <c r="J15" i="133"/>
  <c r="AT14" i="133"/>
  <c r="AS14" i="133"/>
  <c r="AQ14" i="133"/>
  <c r="AP14" i="133"/>
  <c r="AO14" i="133"/>
  <c r="AN14" i="133"/>
  <c r="AM14" i="133"/>
  <c r="AL14" i="133"/>
  <c r="AK14" i="133"/>
  <c r="J14" i="133"/>
  <c r="AT13" i="133"/>
  <c r="AS13" i="133"/>
  <c r="AQ13" i="133"/>
  <c r="AP13" i="133"/>
  <c r="AO13" i="133"/>
  <c r="AN13" i="133"/>
  <c r="AM13" i="133"/>
  <c r="AL13" i="133"/>
  <c r="AK13" i="133"/>
  <c r="J13" i="133"/>
  <c r="AT12" i="133"/>
  <c r="AS12" i="133"/>
  <c r="AQ12" i="133"/>
  <c r="AP12" i="133"/>
  <c r="AO12" i="133"/>
  <c r="AN12" i="133"/>
  <c r="AM12" i="133"/>
  <c r="AL12" i="133"/>
  <c r="AK12" i="133"/>
  <c r="J12" i="133"/>
  <c r="AT11" i="133"/>
  <c r="AS11" i="133"/>
  <c r="AQ11" i="133"/>
  <c r="AP11" i="133"/>
  <c r="AO11" i="133"/>
  <c r="AN11" i="133"/>
  <c r="AM11" i="133"/>
  <c r="AL11" i="133"/>
  <c r="AK11" i="133"/>
  <c r="J11" i="133"/>
  <c r="AT10" i="133"/>
  <c r="AS10" i="133"/>
  <c r="AQ10" i="133"/>
  <c r="AP10" i="133"/>
  <c r="AO10" i="133"/>
  <c r="AN10" i="133"/>
  <c r="AM10" i="133"/>
  <c r="AL10" i="133"/>
  <c r="AK10" i="133"/>
  <c r="J10" i="133"/>
  <c r="AT9" i="133"/>
  <c r="AS9" i="133"/>
  <c r="AQ9" i="133"/>
  <c r="AP9" i="133"/>
  <c r="AO9" i="133"/>
  <c r="AN9" i="133"/>
  <c r="AM9" i="133"/>
  <c r="AL9" i="133"/>
  <c r="AK9" i="133"/>
  <c r="J9" i="133"/>
  <c r="AT8" i="133"/>
  <c r="AS8" i="133"/>
  <c r="AQ8" i="133"/>
  <c r="AP8" i="133"/>
  <c r="AO8" i="133"/>
  <c r="AN8" i="133"/>
  <c r="AM8" i="133"/>
  <c r="AL8" i="133"/>
  <c r="AK8" i="133"/>
  <c r="J8" i="133"/>
  <c r="AS84" i="132"/>
  <c r="AR84" i="132"/>
  <c r="AQ84" i="132"/>
  <c r="AP84" i="132"/>
  <c r="AO84" i="132"/>
  <c r="AN84" i="132"/>
  <c r="AM84" i="132"/>
  <c r="J84" i="132"/>
  <c r="AS83" i="132"/>
  <c r="AR83" i="132"/>
  <c r="AQ83" i="132"/>
  <c r="AP83" i="132"/>
  <c r="AO83" i="132"/>
  <c r="AN83" i="132"/>
  <c r="AM83" i="132"/>
  <c r="J83" i="132"/>
  <c r="AV82" i="132"/>
  <c r="AU82" i="132"/>
  <c r="AS82" i="132"/>
  <c r="AR82" i="132"/>
  <c r="AQ82" i="132"/>
  <c r="AP82" i="132"/>
  <c r="AO82" i="132"/>
  <c r="AN82" i="132"/>
  <c r="AM82" i="132"/>
  <c r="J82" i="132"/>
  <c r="AV81" i="132"/>
  <c r="AU81" i="132"/>
  <c r="AS81" i="132"/>
  <c r="AR81" i="132"/>
  <c r="AQ81" i="132"/>
  <c r="AP81" i="132"/>
  <c r="AO81" i="132"/>
  <c r="AN81" i="132"/>
  <c r="AM81" i="132"/>
  <c r="J81" i="132"/>
  <c r="AV80" i="132"/>
  <c r="AU80" i="132"/>
  <c r="AS80" i="132"/>
  <c r="AR80" i="132"/>
  <c r="AQ80" i="132"/>
  <c r="AP80" i="132"/>
  <c r="AO80" i="132"/>
  <c r="AN80" i="132"/>
  <c r="AM80" i="132"/>
  <c r="J80" i="132"/>
  <c r="AV79" i="132"/>
  <c r="AU79" i="132"/>
  <c r="AS79" i="132"/>
  <c r="AR79" i="132"/>
  <c r="AQ79" i="132"/>
  <c r="AP79" i="132"/>
  <c r="AO79" i="132"/>
  <c r="AN79" i="132"/>
  <c r="AM79" i="132"/>
  <c r="J79" i="132"/>
  <c r="AV78" i="132"/>
  <c r="AU78" i="132"/>
  <c r="AS78" i="132"/>
  <c r="AR78" i="132"/>
  <c r="AQ78" i="132"/>
  <c r="AP78" i="132"/>
  <c r="AO78" i="132"/>
  <c r="AN78" i="132"/>
  <c r="AM78" i="132"/>
  <c r="J78" i="132"/>
  <c r="AV77" i="132"/>
  <c r="AU77" i="132"/>
  <c r="AS77" i="132"/>
  <c r="AR77" i="132"/>
  <c r="AQ77" i="132"/>
  <c r="AP77" i="132"/>
  <c r="AO77" i="132"/>
  <c r="AN77" i="132"/>
  <c r="AM77" i="132"/>
  <c r="J77" i="132"/>
  <c r="AJ73" i="132"/>
  <c r="V43" i="132"/>
  <c r="AV71" i="132"/>
  <c r="AU71" i="132"/>
  <c r="AS71" i="132"/>
  <c r="AR71" i="132"/>
  <c r="AQ71" i="132"/>
  <c r="AP71" i="132"/>
  <c r="AO71" i="132"/>
  <c r="AN71" i="132"/>
  <c r="AM71" i="132"/>
  <c r="J71" i="132"/>
  <c r="AV70" i="132"/>
  <c r="AU70" i="132"/>
  <c r="AS70" i="132"/>
  <c r="AR70" i="132"/>
  <c r="AQ70" i="132"/>
  <c r="AP70" i="132"/>
  <c r="AO70" i="132"/>
  <c r="AN70" i="132"/>
  <c r="AM70" i="132"/>
  <c r="J70" i="132"/>
  <c r="AV69" i="132"/>
  <c r="AU69" i="132"/>
  <c r="AS69" i="132"/>
  <c r="AR69" i="132"/>
  <c r="AQ69" i="132"/>
  <c r="AP69" i="132"/>
  <c r="AO69" i="132"/>
  <c r="AN69" i="132"/>
  <c r="AM69" i="132"/>
  <c r="J69" i="132"/>
  <c r="AV68" i="132"/>
  <c r="AU68" i="132"/>
  <c r="AS68" i="132"/>
  <c r="AR68" i="132"/>
  <c r="AQ68" i="132"/>
  <c r="AP68" i="132"/>
  <c r="AO68" i="132"/>
  <c r="AN68" i="132"/>
  <c r="AM68" i="132"/>
  <c r="J68" i="132"/>
  <c r="AV67" i="132"/>
  <c r="AU67" i="132"/>
  <c r="AS67" i="132"/>
  <c r="AR67" i="132"/>
  <c r="AQ67" i="132"/>
  <c r="AP67" i="132"/>
  <c r="AO67" i="132"/>
  <c r="AN67" i="132"/>
  <c r="AM67" i="132"/>
  <c r="J67" i="132"/>
  <c r="AV66" i="132"/>
  <c r="AU66" i="132"/>
  <c r="AS66" i="132"/>
  <c r="AR66" i="132"/>
  <c r="AQ66" i="132"/>
  <c r="AP66" i="132"/>
  <c r="AO66" i="132"/>
  <c r="AN66" i="132"/>
  <c r="AM66" i="132"/>
  <c r="J66" i="132"/>
  <c r="AV65" i="132"/>
  <c r="AU65" i="132"/>
  <c r="AS65" i="132"/>
  <c r="AR65" i="132"/>
  <c r="AQ65" i="132"/>
  <c r="AP65" i="132"/>
  <c r="AO65" i="132"/>
  <c r="AN65" i="132"/>
  <c r="AM65" i="132"/>
  <c r="J65" i="132"/>
  <c r="AV64" i="132"/>
  <c r="AU64" i="132"/>
  <c r="AS64" i="132"/>
  <c r="AR64" i="132"/>
  <c r="AQ64" i="132"/>
  <c r="AP64" i="132"/>
  <c r="AO64" i="132"/>
  <c r="AN64" i="132"/>
  <c r="AM64" i="132"/>
  <c r="J64" i="132"/>
  <c r="AV63" i="132"/>
  <c r="AU63" i="132"/>
  <c r="AS63" i="132"/>
  <c r="AR63" i="132"/>
  <c r="AQ63" i="132"/>
  <c r="AP63" i="132"/>
  <c r="AO63" i="132"/>
  <c r="AN63" i="132"/>
  <c r="AM63" i="132"/>
  <c r="J63" i="132"/>
  <c r="AV62" i="132"/>
  <c r="AU62" i="132"/>
  <c r="AS62" i="132"/>
  <c r="AR62" i="132"/>
  <c r="AQ62" i="132"/>
  <c r="AP62" i="132"/>
  <c r="AO62" i="132"/>
  <c r="AN62" i="132"/>
  <c r="AM62" i="132"/>
  <c r="J62" i="132"/>
  <c r="AV61" i="132"/>
  <c r="AU61" i="132"/>
  <c r="AS61" i="132"/>
  <c r="AR61" i="132"/>
  <c r="AQ61" i="132"/>
  <c r="AP61" i="132"/>
  <c r="AO61" i="132"/>
  <c r="AN61" i="132"/>
  <c r="AM61" i="132"/>
  <c r="J61" i="132"/>
  <c r="AV60" i="132"/>
  <c r="AU60" i="132"/>
  <c r="AS60" i="132"/>
  <c r="AR60" i="132"/>
  <c r="AQ60" i="132"/>
  <c r="AP60" i="132"/>
  <c r="AO60" i="132"/>
  <c r="AN60" i="132"/>
  <c r="AM60" i="132"/>
  <c r="J60" i="132"/>
  <c r="AV59" i="132"/>
  <c r="AU59" i="132"/>
  <c r="AS59" i="132"/>
  <c r="AR59" i="132"/>
  <c r="AQ59" i="132"/>
  <c r="AP59" i="132"/>
  <c r="AO59" i="132"/>
  <c r="AN59" i="132"/>
  <c r="AM59" i="132"/>
  <c r="J59" i="132"/>
  <c r="AN58" i="132"/>
  <c r="AM58" i="132"/>
  <c r="J58" i="132"/>
  <c r="AV57" i="132"/>
  <c r="AU57" i="132"/>
  <c r="AS57" i="132"/>
  <c r="AR57" i="132"/>
  <c r="AQ57" i="132"/>
  <c r="AP57" i="132"/>
  <c r="AO57" i="132"/>
  <c r="AN57" i="132"/>
  <c r="AM57" i="132"/>
  <c r="J57" i="132"/>
  <c r="AV56" i="132"/>
  <c r="AU56" i="132"/>
  <c r="AS56" i="132"/>
  <c r="AR56" i="132"/>
  <c r="AQ56" i="132"/>
  <c r="AP56" i="132"/>
  <c r="AO56" i="132"/>
  <c r="AN56" i="132"/>
  <c r="AM56" i="132"/>
  <c r="J56" i="132"/>
  <c r="AV55" i="132"/>
  <c r="AU55" i="132"/>
  <c r="AS55" i="132"/>
  <c r="AR55" i="132"/>
  <c r="AQ55" i="132"/>
  <c r="AP55" i="132"/>
  <c r="AO55" i="132"/>
  <c r="AN55" i="132"/>
  <c r="AM55" i="132"/>
  <c r="J55" i="132"/>
  <c r="AV54" i="132"/>
  <c r="AU54" i="132"/>
  <c r="AS54" i="132"/>
  <c r="AR54" i="132"/>
  <c r="AQ54" i="132"/>
  <c r="AP54" i="132"/>
  <c r="AO54" i="132"/>
  <c r="AN54" i="132"/>
  <c r="AM54" i="132"/>
  <c r="J54" i="132"/>
  <c r="AV53" i="132"/>
  <c r="AU53" i="132"/>
  <c r="AS53" i="132"/>
  <c r="AR53" i="132"/>
  <c r="AQ53" i="132"/>
  <c r="AP53" i="132"/>
  <c r="AO53" i="132"/>
  <c r="AN53" i="132"/>
  <c r="AM53" i="132"/>
  <c r="J53" i="132"/>
  <c r="AV52" i="132"/>
  <c r="AU52" i="132"/>
  <c r="AS52" i="132"/>
  <c r="AR52" i="132"/>
  <c r="AQ52" i="132"/>
  <c r="AP52" i="132"/>
  <c r="AO52" i="132"/>
  <c r="AN52" i="132"/>
  <c r="AM52" i="132"/>
  <c r="J52" i="132"/>
  <c r="AV51" i="132"/>
  <c r="AU51" i="132"/>
  <c r="AS51" i="132"/>
  <c r="AR51" i="132"/>
  <c r="AQ51" i="132"/>
  <c r="AP51" i="132"/>
  <c r="AO51" i="132"/>
  <c r="AN51" i="132"/>
  <c r="AM51" i="132"/>
  <c r="J51" i="132"/>
  <c r="AV50" i="132"/>
  <c r="AU50" i="132"/>
  <c r="AS50" i="132"/>
  <c r="AR50" i="132"/>
  <c r="AQ50" i="132"/>
  <c r="AP50" i="132"/>
  <c r="AO50" i="132"/>
  <c r="AN50" i="132"/>
  <c r="AM50" i="132"/>
  <c r="J50" i="132"/>
  <c r="AV49" i="132"/>
  <c r="AU49" i="132"/>
  <c r="AS49" i="132"/>
  <c r="AR49" i="132"/>
  <c r="AQ49" i="132"/>
  <c r="AP49" i="132"/>
  <c r="AO49" i="132"/>
  <c r="AN49" i="132"/>
  <c r="AM49" i="132"/>
  <c r="J49" i="132"/>
  <c r="AV48" i="132"/>
  <c r="AU48" i="132"/>
  <c r="AS48" i="132"/>
  <c r="AR48" i="132"/>
  <c r="AQ48" i="132"/>
  <c r="AP48" i="132"/>
  <c r="AO48" i="132"/>
  <c r="AN48" i="132"/>
  <c r="AM48" i="132"/>
  <c r="J48" i="132"/>
  <c r="Z43" i="132"/>
  <c r="X43" i="132"/>
  <c r="X73" i="132" s="1"/>
  <c r="X85" i="132" s="1"/>
  <c r="T43" i="132"/>
  <c r="R43" i="132"/>
  <c r="R73" i="132" s="1"/>
  <c r="R85" i="132" s="1"/>
  <c r="N43" i="132"/>
  <c r="N73" i="132" s="1"/>
  <c r="N85" i="132" s="1"/>
  <c r="I43" i="132"/>
  <c r="I73" i="132" s="1"/>
  <c r="I85" i="132" s="1"/>
  <c r="F43" i="132"/>
  <c r="F85" i="132" s="1"/>
  <c r="AV42" i="132"/>
  <c r="AU42" i="132"/>
  <c r="AS42" i="132"/>
  <c r="AR42" i="132"/>
  <c r="AQ42" i="132"/>
  <c r="AP42" i="132"/>
  <c r="AO42" i="132"/>
  <c r="AN42" i="132"/>
  <c r="AM42" i="132"/>
  <c r="J42" i="132"/>
  <c r="AV41" i="132"/>
  <c r="AU41" i="132"/>
  <c r="AS41" i="132"/>
  <c r="AR41" i="132"/>
  <c r="AQ41" i="132"/>
  <c r="AP41" i="132"/>
  <c r="AO41" i="132"/>
  <c r="AN41" i="132"/>
  <c r="AM41" i="132"/>
  <c r="J41" i="132"/>
  <c r="AV40" i="132"/>
  <c r="AU40" i="132"/>
  <c r="AS40" i="132"/>
  <c r="AR40" i="132"/>
  <c r="AQ40" i="132"/>
  <c r="AP40" i="132"/>
  <c r="AO40" i="132"/>
  <c r="AN40" i="132"/>
  <c r="AM40" i="132"/>
  <c r="J40" i="132"/>
  <c r="AV39" i="132"/>
  <c r="AU39" i="132"/>
  <c r="AS39" i="132"/>
  <c r="AR39" i="132"/>
  <c r="AQ39" i="132"/>
  <c r="AP39" i="132"/>
  <c r="AO39" i="132"/>
  <c r="AN39" i="132"/>
  <c r="AM39" i="132"/>
  <c r="J39" i="132"/>
  <c r="AV38" i="132"/>
  <c r="AU38" i="132"/>
  <c r="AS38" i="132"/>
  <c r="AR38" i="132"/>
  <c r="AQ38" i="132"/>
  <c r="AP38" i="132"/>
  <c r="AO38" i="132"/>
  <c r="AN38" i="132"/>
  <c r="AM38" i="132"/>
  <c r="J38" i="132"/>
  <c r="AV37" i="132"/>
  <c r="AU37" i="132"/>
  <c r="AS37" i="132"/>
  <c r="AR37" i="132"/>
  <c r="AQ37" i="132"/>
  <c r="AP37" i="132"/>
  <c r="AO37" i="132"/>
  <c r="AN37" i="132"/>
  <c r="AM37" i="132"/>
  <c r="J37" i="132"/>
  <c r="AV36" i="132"/>
  <c r="AU36" i="132"/>
  <c r="AS36" i="132"/>
  <c r="AR36" i="132"/>
  <c r="AQ36" i="132"/>
  <c r="AP36" i="132"/>
  <c r="AO36" i="132"/>
  <c r="AN36" i="132"/>
  <c r="AM36" i="132"/>
  <c r="J36" i="132"/>
  <c r="AV35" i="132"/>
  <c r="AU35" i="132"/>
  <c r="AS35" i="132"/>
  <c r="AR35" i="132"/>
  <c r="AQ35" i="132"/>
  <c r="AP35" i="132"/>
  <c r="AO35" i="132"/>
  <c r="AN35" i="132"/>
  <c r="AM35" i="132"/>
  <c r="J35" i="132"/>
  <c r="AV34" i="132"/>
  <c r="AU34" i="132"/>
  <c r="AS34" i="132"/>
  <c r="AR34" i="132"/>
  <c r="AQ34" i="132"/>
  <c r="AP34" i="132"/>
  <c r="AO34" i="132"/>
  <c r="AN34" i="132"/>
  <c r="AM34" i="132"/>
  <c r="J34" i="132"/>
  <c r="AV33" i="132"/>
  <c r="AU33" i="132"/>
  <c r="AS33" i="132"/>
  <c r="AR33" i="132"/>
  <c r="AQ33" i="132"/>
  <c r="AP33" i="132"/>
  <c r="AO33" i="132"/>
  <c r="AN33" i="132"/>
  <c r="AM33" i="132"/>
  <c r="J33" i="132"/>
  <c r="AV32" i="132"/>
  <c r="AU32" i="132"/>
  <c r="AS32" i="132"/>
  <c r="AR32" i="132"/>
  <c r="AQ32" i="132"/>
  <c r="AP32" i="132"/>
  <c r="AO32" i="132"/>
  <c r="AN32" i="132"/>
  <c r="AM32" i="132"/>
  <c r="J32" i="132"/>
  <c r="AV31" i="132"/>
  <c r="AU31" i="132"/>
  <c r="AS31" i="132"/>
  <c r="AR31" i="132"/>
  <c r="AQ31" i="132"/>
  <c r="AP31" i="132"/>
  <c r="AO31" i="132"/>
  <c r="AN31" i="132"/>
  <c r="AM31" i="132"/>
  <c r="J31" i="132"/>
  <c r="AV30" i="132"/>
  <c r="AU30" i="132"/>
  <c r="AS30" i="132"/>
  <c r="AR30" i="132"/>
  <c r="AQ30" i="132"/>
  <c r="AP30" i="132"/>
  <c r="AO30" i="132"/>
  <c r="AN30" i="132"/>
  <c r="AM30" i="132"/>
  <c r="J30" i="132"/>
  <c r="AV29" i="132"/>
  <c r="AU29" i="132"/>
  <c r="AS29" i="132"/>
  <c r="AR29" i="132"/>
  <c r="AQ29" i="132"/>
  <c r="AP29" i="132"/>
  <c r="AO29" i="132"/>
  <c r="AN29" i="132"/>
  <c r="AM29" i="132"/>
  <c r="J29" i="132"/>
  <c r="AV28" i="132"/>
  <c r="AU28" i="132"/>
  <c r="AS28" i="132"/>
  <c r="AR28" i="132"/>
  <c r="AQ28" i="132"/>
  <c r="AP28" i="132"/>
  <c r="AO28" i="132"/>
  <c r="AN28" i="132"/>
  <c r="AM28" i="132"/>
  <c r="J28" i="132"/>
  <c r="AV27" i="132"/>
  <c r="AU27" i="132"/>
  <c r="AS27" i="132"/>
  <c r="AR27" i="132"/>
  <c r="AQ27" i="132"/>
  <c r="AP27" i="132"/>
  <c r="AO27" i="132"/>
  <c r="AN27" i="132"/>
  <c r="AM27" i="132"/>
  <c r="J27" i="132"/>
  <c r="AV26" i="132"/>
  <c r="AU26" i="132"/>
  <c r="AS26" i="132"/>
  <c r="AR26" i="132"/>
  <c r="AQ26" i="132"/>
  <c r="AP26" i="132"/>
  <c r="AO26" i="132"/>
  <c r="AN26" i="132"/>
  <c r="AM26" i="132"/>
  <c r="J26" i="132"/>
  <c r="AV25" i="132"/>
  <c r="AU25" i="132"/>
  <c r="AS25" i="132"/>
  <c r="AR25" i="132"/>
  <c r="AQ25" i="132"/>
  <c r="AP25" i="132"/>
  <c r="AO25" i="132"/>
  <c r="AN25" i="132"/>
  <c r="AM25" i="132"/>
  <c r="J25" i="132"/>
  <c r="AV24" i="132"/>
  <c r="AU24" i="132"/>
  <c r="AS24" i="132"/>
  <c r="AR24" i="132"/>
  <c r="AQ24" i="132"/>
  <c r="AP24" i="132"/>
  <c r="AO24" i="132"/>
  <c r="AN24" i="132"/>
  <c r="AM24" i="132"/>
  <c r="J24" i="132"/>
  <c r="AV23" i="132"/>
  <c r="AU23" i="132"/>
  <c r="AS23" i="132"/>
  <c r="AR23" i="132"/>
  <c r="AQ23" i="132"/>
  <c r="AP23" i="132"/>
  <c r="AO23" i="132"/>
  <c r="AN23" i="132"/>
  <c r="AM23" i="132"/>
  <c r="J23" i="132"/>
  <c r="AV22" i="132"/>
  <c r="AU22" i="132"/>
  <c r="AS22" i="132"/>
  <c r="AR22" i="132"/>
  <c r="AQ22" i="132"/>
  <c r="AP22" i="132"/>
  <c r="AO22" i="132"/>
  <c r="AN22" i="132"/>
  <c r="AM22" i="132"/>
  <c r="J22" i="132"/>
  <c r="AV21" i="132"/>
  <c r="AU21" i="132"/>
  <c r="AS21" i="132"/>
  <c r="AR21" i="132"/>
  <c r="AQ21" i="132"/>
  <c r="AP21" i="132"/>
  <c r="AO21" i="132"/>
  <c r="AN21" i="132"/>
  <c r="AM21" i="132"/>
  <c r="J21" i="132"/>
  <c r="AV20" i="132"/>
  <c r="AU20" i="132"/>
  <c r="AS20" i="132"/>
  <c r="AR20" i="132"/>
  <c r="AQ20" i="132"/>
  <c r="AP20" i="132"/>
  <c r="AO20" i="132"/>
  <c r="AN20" i="132"/>
  <c r="AM20" i="132"/>
  <c r="J20" i="132"/>
  <c r="AV19" i="132"/>
  <c r="AU19" i="132"/>
  <c r="AS19" i="132"/>
  <c r="AR19" i="132"/>
  <c r="AQ19" i="132"/>
  <c r="AP19" i="132"/>
  <c r="AO19" i="132"/>
  <c r="AN19" i="132"/>
  <c r="AM19" i="132"/>
  <c r="J19" i="132"/>
  <c r="AV18" i="132"/>
  <c r="AU18" i="132"/>
  <c r="AS18" i="132"/>
  <c r="AR18" i="132"/>
  <c r="AQ18" i="132"/>
  <c r="AP18" i="132"/>
  <c r="AO18" i="132"/>
  <c r="AN18" i="132"/>
  <c r="AM18" i="132"/>
  <c r="J18" i="132"/>
  <c r="AV17" i="132"/>
  <c r="AU17" i="132"/>
  <c r="AS17" i="132"/>
  <c r="AR17" i="132"/>
  <c r="AQ17" i="132"/>
  <c r="AP17" i="132"/>
  <c r="AO17" i="132"/>
  <c r="AN17" i="132"/>
  <c r="AM17" i="132"/>
  <c r="J17" i="132"/>
  <c r="AV16" i="132"/>
  <c r="AU16" i="132"/>
  <c r="AS16" i="132"/>
  <c r="AR16" i="132"/>
  <c r="AQ16" i="132"/>
  <c r="AP16" i="132"/>
  <c r="AO16" i="132"/>
  <c r="AN16" i="132"/>
  <c r="AM16" i="132"/>
  <c r="J16" i="132"/>
  <c r="AV15" i="132"/>
  <c r="AU15" i="132"/>
  <c r="AS15" i="132"/>
  <c r="AR15" i="132"/>
  <c r="AQ15" i="132"/>
  <c r="AP15" i="132"/>
  <c r="AO15" i="132"/>
  <c r="AN15" i="132"/>
  <c r="AM15" i="132"/>
  <c r="J15" i="132"/>
  <c r="AV14" i="132"/>
  <c r="AU14" i="132"/>
  <c r="AS14" i="132"/>
  <c r="AR14" i="132"/>
  <c r="AQ14" i="132"/>
  <c r="AP14" i="132"/>
  <c r="AO14" i="132"/>
  <c r="AN14" i="132"/>
  <c r="AM14" i="132"/>
  <c r="J14" i="132"/>
  <c r="AV13" i="132"/>
  <c r="AU13" i="132"/>
  <c r="AS13" i="132"/>
  <c r="AR13" i="132"/>
  <c r="AQ13" i="132"/>
  <c r="AP13" i="132"/>
  <c r="AO13" i="132"/>
  <c r="AN13" i="132"/>
  <c r="AM13" i="132"/>
  <c r="J13" i="132"/>
  <c r="AV12" i="132"/>
  <c r="AU12" i="132"/>
  <c r="AS12" i="132"/>
  <c r="AR12" i="132"/>
  <c r="AQ12" i="132"/>
  <c r="AP12" i="132"/>
  <c r="AO12" i="132"/>
  <c r="AN12" i="132"/>
  <c r="AM12" i="132"/>
  <c r="J12" i="132"/>
  <c r="AV11" i="132"/>
  <c r="AU11" i="132"/>
  <c r="AS11" i="132"/>
  <c r="AR11" i="132"/>
  <c r="AQ11" i="132"/>
  <c r="AP11" i="132"/>
  <c r="AO11" i="132"/>
  <c r="AN11" i="132"/>
  <c r="AM11" i="132"/>
  <c r="J11" i="132"/>
  <c r="AU10" i="132"/>
  <c r="AS10" i="132"/>
  <c r="AQ10" i="132"/>
  <c r="AP10" i="132"/>
  <c r="AO10" i="132"/>
  <c r="AM10" i="132"/>
  <c r="P43" i="132"/>
  <c r="P73" i="132" s="1"/>
  <c r="P85" i="132" s="1"/>
  <c r="AN10" i="132"/>
  <c r="AV9" i="132"/>
  <c r="AU9" i="132"/>
  <c r="AS9" i="132"/>
  <c r="AR9" i="132"/>
  <c r="AQ9" i="132"/>
  <c r="AP9" i="132"/>
  <c r="AO9" i="132"/>
  <c r="AN9" i="132"/>
  <c r="AM9" i="132"/>
  <c r="J9" i="132"/>
  <c r="AV8" i="132"/>
  <c r="AU8" i="132"/>
  <c r="AS8" i="132"/>
  <c r="AR8" i="132"/>
  <c r="AQ8" i="132"/>
  <c r="AP8" i="132"/>
  <c r="AO8" i="132"/>
  <c r="AN8" i="132"/>
  <c r="AM8" i="132"/>
  <c r="J8" i="132"/>
  <c r="AG70" i="131"/>
  <c r="AG69" i="131"/>
  <c r="AG68" i="131"/>
  <c r="AG67" i="131"/>
  <c r="AG66" i="131"/>
  <c r="AG65" i="131"/>
  <c r="BE38" i="131"/>
  <c r="BE61" i="131" s="1"/>
  <c r="BE71" i="131" s="1"/>
  <c r="BC61" i="131"/>
  <c r="BB38" i="131"/>
  <c r="BB61" i="131" s="1"/>
  <c r="BB71" i="131" s="1"/>
  <c r="AC38" i="131"/>
  <c r="AC61" i="131" s="1"/>
  <c r="AC71" i="131" s="1"/>
  <c r="AB38" i="131"/>
  <c r="AB61" i="131" s="1"/>
  <c r="AB71" i="131" s="1"/>
  <c r="Y38" i="131"/>
  <c r="Y61" i="131" s="1"/>
  <c r="Y71" i="131" s="1"/>
  <c r="M38" i="131"/>
  <c r="M61" i="131" s="1"/>
  <c r="M71" i="131" s="1"/>
  <c r="L38" i="131"/>
  <c r="L61" i="131" s="1"/>
  <c r="L71" i="131" s="1"/>
  <c r="H38" i="131"/>
  <c r="H61" i="131" s="1"/>
  <c r="H71" i="131" s="1"/>
  <c r="AG60" i="131"/>
  <c r="AG59" i="131"/>
  <c r="AG58" i="131"/>
  <c r="AG57" i="131"/>
  <c r="AG56" i="131"/>
  <c r="AG55" i="131"/>
  <c r="AG54" i="131"/>
  <c r="AG53" i="131"/>
  <c r="AG52" i="131"/>
  <c r="AG51" i="131"/>
  <c r="AG50" i="131"/>
  <c r="AG49" i="131"/>
  <c r="AG48" i="131"/>
  <c r="AG47" i="131"/>
  <c r="AG46" i="131"/>
  <c r="AG45" i="131"/>
  <c r="AG44" i="131"/>
  <c r="AG43" i="131"/>
  <c r="AG42" i="131"/>
  <c r="BH38" i="131"/>
  <c r="BH61" i="131" s="1"/>
  <c r="BH71" i="131" s="1"/>
  <c r="BG38" i="131"/>
  <c r="BG61" i="131" s="1"/>
  <c r="BG71" i="131" s="1"/>
  <c r="BA38" i="131"/>
  <c r="BA61" i="131" s="1"/>
  <c r="BA71" i="131" s="1"/>
  <c r="AR38" i="131"/>
  <c r="AN34" i="131"/>
  <c r="AN35" i="131"/>
  <c r="AK38" i="131"/>
  <c r="AK61" i="131" s="1"/>
  <c r="AK71" i="131" s="1"/>
  <c r="AF38" i="131"/>
  <c r="AF61" i="131" s="1"/>
  <c r="AF71" i="131" s="1"/>
  <c r="U38" i="131"/>
  <c r="U61" i="131" s="1"/>
  <c r="U71" i="131" s="1"/>
  <c r="T11" i="131"/>
  <c r="T38" i="131" s="1"/>
  <c r="T61" i="131" s="1"/>
  <c r="T71" i="131" s="1"/>
  <c r="Q38" i="131"/>
  <c r="Q61" i="131" s="1"/>
  <c r="Q71" i="131" s="1"/>
  <c r="G38" i="131"/>
  <c r="G61" i="131" s="1"/>
  <c r="G71" i="131" s="1"/>
  <c r="F38" i="131"/>
  <c r="F61" i="131" s="1"/>
  <c r="F71" i="131" s="1"/>
  <c r="AG37" i="131"/>
  <c r="AG36" i="131"/>
  <c r="AG33" i="131"/>
  <c r="AG32" i="131"/>
  <c r="AG31" i="131"/>
  <c r="AG30" i="131"/>
  <c r="AG29" i="131"/>
  <c r="AG28" i="131"/>
  <c r="AG27" i="131"/>
  <c r="AG26" i="131"/>
  <c r="AG25" i="131"/>
  <c r="AG24" i="131"/>
  <c r="AG23" i="131"/>
  <c r="AG22" i="131"/>
  <c r="AG21" i="131"/>
  <c r="AG20" i="131"/>
  <c r="AR19" i="131"/>
  <c r="AG19" i="131"/>
  <c r="AG18" i="131"/>
  <c r="AG17" i="131"/>
  <c r="AG16" i="131"/>
  <c r="AG15" i="131"/>
  <c r="AG14" i="131"/>
  <c r="AG13" i="131"/>
  <c r="AG11" i="131"/>
  <c r="X11" i="131"/>
  <c r="X38" i="131" s="1"/>
  <c r="X61" i="131" s="1"/>
  <c r="X71" i="131" s="1"/>
  <c r="P11" i="131"/>
  <c r="P38" i="131" s="1"/>
  <c r="P61" i="131" s="1"/>
  <c r="P71" i="131" s="1"/>
  <c r="AG10" i="131"/>
  <c r="AG9" i="131"/>
  <c r="AS72" i="130"/>
  <c r="AR72" i="130"/>
  <c r="AQ72" i="130"/>
  <c r="AP72" i="130"/>
  <c r="AO72" i="130"/>
  <c r="AN72" i="130"/>
  <c r="AM72" i="130"/>
  <c r="J72" i="130"/>
  <c r="AS71" i="130"/>
  <c r="AR71" i="130"/>
  <c r="AQ71" i="130"/>
  <c r="AP71" i="130"/>
  <c r="AO71" i="130"/>
  <c r="AN71" i="130"/>
  <c r="AM71" i="130"/>
  <c r="J71" i="130"/>
  <c r="AV70" i="130"/>
  <c r="AU70" i="130"/>
  <c r="AS70" i="130"/>
  <c r="AR70" i="130"/>
  <c r="AQ70" i="130"/>
  <c r="AP70" i="130"/>
  <c r="AO70" i="130"/>
  <c r="AN70" i="130"/>
  <c r="AM70" i="130"/>
  <c r="J70" i="130"/>
  <c r="AV69" i="130"/>
  <c r="AU69" i="130"/>
  <c r="AS69" i="130"/>
  <c r="AR69" i="130"/>
  <c r="AQ69" i="130"/>
  <c r="AP69" i="130"/>
  <c r="AO69" i="130"/>
  <c r="AN69" i="130"/>
  <c r="AM69" i="130"/>
  <c r="J69" i="130"/>
  <c r="AV68" i="130"/>
  <c r="AU68" i="130"/>
  <c r="AS68" i="130"/>
  <c r="AR68" i="130"/>
  <c r="AQ68" i="130"/>
  <c r="AP68" i="130"/>
  <c r="AO68" i="130"/>
  <c r="AN68" i="130"/>
  <c r="AM68" i="130"/>
  <c r="J68" i="130"/>
  <c r="AV67" i="130"/>
  <c r="AU67" i="130"/>
  <c r="AS67" i="130"/>
  <c r="AR67" i="130"/>
  <c r="AQ67" i="130"/>
  <c r="AP67" i="130"/>
  <c r="AO67" i="130"/>
  <c r="AN67" i="130"/>
  <c r="AM67" i="130"/>
  <c r="J67" i="130"/>
  <c r="AV66" i="130"/>
  <c r="AU66" i="130"/>
  <c r="AS66" i="130"/>
  <c r="AR66" i="130"/>
  <c r="AQ66" i="130"/>
  <c r="AP66" i="130"/>
  <c r="AO66" i="130"/>
  <c r="AN66" i="130"/>
  <c r="AM66" i="130"/>
  <c r="J66" i="130"/>
  <c r="AV65" i="130"/>
  <c r="AU65" i="130"/>
  <c r="AS65" i="130"/>
  <c r="AR65" i="130"/>
  <c r="AQ65" i="130"/>
  <c r="AP65" i="130"/>
  <c r="AO65" i="130"/>
  <c r="AN65" i="130"/>
  <c r="AM65" i="130"/>
  <c r="J65" i="130"/>
  <c r="AJ61" i="130"/>
  <c r="V37" i="130"/>
  <c r="T37" i="130"/>
  <c r="G37" i="130"/>
  <c r="G61" i="130" s="1"/>
  <c r="G73" i="130" s="1"/>
  <c r="F37" i="130"/>
  <c r="F73" i="130" s="1"/>
  <c r="AU59" i="130"/>
  <c r="AS59" i="130"/>
  <c r="AR59" i="130"/>
  <c r="AQ59" i="130"/>
  <c r="AP59" i="130"/>
  <c r="AO59" i="130"/>
  <c r="AN59" i="130"/>
  <c r="AM59" i="130"/>
  <c r="J59" i="130"/>
  <c r="AV58" i="130"/>
  <c r="AU58" i="130"/>
  <c r="AS58" i="130"/>
  <c r="AR58" i="130"/>
  <c r="AQ58" i="130"/>
  <c r="AP58" i="130"/>
  <c r="AO58" i="130"/>
  <c r="AN58" i="130"/>
  <c r="AM58" i="130"/>
  <c r="J58" i="130"/>
  <c r="AV57" i="130"/>
  <c r="AU57" i="130"/>
  <c r="AS57" i="130"/>
  <c r="AR57" i="130"/>
  <c r="AQ57" i="130"/>
  <c r="AP57" i="130"/>
  <c r="AO57" i="130"/>
  <c r="AN57" i="130"/>
  <c r="AM57" i="130"/>
  <c r="J57" i="130"/>
  <c r="AV56" i="130"/>
  <c r="AU56" i="130"/>
  <c r="AS56" i="130"/>
  <c r="AR56" i="130"/>
  <c r="AQ56" i="130"/>
  <c r="AP56" i="130"/>
  <c r="AO56" i="130"/>
  <c r="AN56" i="130"/>
  <c r="AM56" i="130"/>
  <c r="J56" i="130"/>
  <c r="AV55" i="130"/>
  <c r="AU55" i="130"/>
  <c r="AS55" i="130"/>
  <c r="AR55" i="130"/>
  <c r="AQ55" i="130"/>
  <c r="AP55" i="130"/>
  <c r="AO55" i="130"/>
  <c r="AN55" i="130"/>
  <c r="AM55" i="130"/>
  <c r="J55" i="130"/>
  <c r="AV54" i="130"/>
  <c r="AU54" i="130"/>
  <c r="AS54" i="130"/>
  <c r="AR54" i="130"/>
  <c r="AQ54" i="130"/>
  <c r="AP54" i="130"/>
  <c r="AO54" i="130"/>
  <c r="AN54" i="130"/>
  <c r="AM54" i="130"/>
  <c r="J54" i="130"/>
  <c r="AV53" i="130"/>
  <c r="AU53" i="130"/>
  <c r="AS53" i="130"/>
  <c r="AR53" i="130"/>
  <c r="AQ53" i="130"/>
  <c r="AP53" i="130"/>
  <c r="AO53" i="130"/>
  <c r="AN53" i="130"/>
  <c r="AM53" i="130"/>
  <c r="J53" i="130"/>
  <c r="AV52" i="130"/>
  <c r="AU52" i="130"/>
  <c r="AS52" i="130"/>
  <c r="AR52" i="130"/>
  <c r="AQ52" i="130"/>
  <c r="AP52" i="130"/>
  <c r="AO52" i="130"/>
  <c r="AN52" i="130"/>
  <c r="AM52" i="130"/>
  <c r="J52" i="130"/>
  <c r="AV51" i="130"/>
  <c r="AU51" i="130"/>
  <c r="AS51" i="130"/>
  <c r="AR51" i="130"/>
  <c r="AQ51" i="130"/>
  <c r="AP51" i="130"/>
  <c r="AO51" i="130"/>
  <c r="AN51" i="130"/>
  <c r="AM51" i="130"/>
  <c r="J51" i="130"/>
  <c r="AV50" i="130"/>
  <c r="AU50" i="130"/>
  <c r="AS50" i="130"/>
  <c r="AR50" i="130"/>
  <c r="AQ50" i="130"/>
  <c r="AP50" i="130"/>
  <c r="AO50" i="130"/>
  <c r="AN50" i="130"/>
  <c r="AM50" i="130"/>
  <c r="J50" i="130"/>
  <c r="AV49" i="130"/>
  <c r="AU49" i="130"/>
  <c r="AS49" i="130"/>
  <c r="AR49" i="130"/>
  <c r="AQ49" i="130"/>
  <c r="AP49" i="130"/>
  <c r="AO49" i="130"/>
  <c r="AN49" i="130"/>
  <c r="AM49" i="130"/>
  <c r="J49" i="130"/>
  <c r="AV48" i="130"/>
  <c r="AU48" i="130"/>
  <c r="AS48" i="130"/>
  <c r="AR48" i="130"/>
  <c r="AQ48" i="130"/>
  <c r="AP48" i="130"/>
  <c r="AO48" i="130"/>
  <c r="AN48" i="130"/>
  <c r="AM48" i="130"/>
  <c r="J48" i="130"/>
  <c r="AV47" i="130"/>
  <c r="AU47" i="130"/>
  <c r="AS47" i="130"/>
  <c r="AR47" i="130"/>
  <c r="AQ47" i="130"/>
  <c r="AP47" i="130"/>
  <c r="AO47" i="130"/>
  <c r="AN47" i="130"/>
  <c r="AM47" i="130"/>
  <c r="J47" i="130"/>
  <c r="AV46" i="130"/>
  <c r="AU46" i="130"/>
  <c r="AS46" i="130"/>
  <c r="AR46" i="130"/>
  <c r="AQ46" i="130"/>
  <c r="AP46" i="130"/>
  <c r="AO46" i="130"/>
  <c r="AN46" i="130"/>
  <c r="AM46" i="130"/>
  <c r="J46" i="130"/>
  <c r="AV45" i="130"/>
  <c r="AU45" i="130"/>
  <c r="AS45" i="130"/>
  <c r="AR45" i="130"/>
  <c r="AQ45" i="130"/>
  <c r="AP45" i="130"/>
  <c r="AO45" i="130"/>
  <c r="AN45" i="130"/>
  <c r="AM45" i="130"/>
  <c r="J45" i="130"/>
  <c r="AV44" i="130"/>
  <c r="AU44" i="130"/>
  <c r="AS44" i="130"/>
  <c r="AR44" i="130"/>
  <c r="AQ44" i="130"/>
  <c r="AP44" i="130"/>
  <c r="AO44" i="130"/>
  <c r="AN44" i="130"/>
  <c r="AM44" i="130"/>
  <c r="J44" i="130"/>
  <c r="AV43" i="130"/>
  <c r="AU43" i="130"/>
  <c r="AS43" i="130"/>
  <c r="AR43" i="130"/>
  <c r="AQ43" i="130"/>
  <c r="AP43" i="130"/>
  <c r="AO43" i="130"/>
  <c r="AN43" i="130"/>
  <c r="AM43" i="130"/>
  <c r="J43" i="130"/>
  <c r="AV42" i="130"/>
  <c r="AU42" i="130"/>
  <c r="AS42" i="130"/>
  <c r="AR42" i="130"/>
  <c r="AQ42" i="130"/>
  <c r="AP42" i="130"/>
  <c r="AO42" i="130"/>
  <c r="AN42" i="130"/>
  <c r="AM42" i="130"/>
  <c r="J42" i="130"/>
  <c r="AV41" i="130"/>
  <c r="AU41" i="130"/>
  <c r="AS41" i="130"/>
  <c r="AR41" i="130"/>
  <c r="AQ41" i="130"/>
  <c r="AP41" i="130"/>
  <c r="AO41" i="130"/>
  <c r="AN41" i="130"/>
  <c r="AM41" i="130"/>
  <c r="J41" i="130"/>
  <c r="Z37" i="130"/>
  <c r="X37" i="130"/>
  <c r="R37" i="130"/>
  <c r="R61" i="130" s="1"/>
  <c r="R73" i="130" s="1"/>
  <c r="P37" i="130"/>
  <c r="N37" i="130"/>
  <c r="N61" i="130" s="1"/>
  <c r="N73" i="130" s="1"/>
  <c r="L37" i="130"/>
  <c r="H37" i="130"/>
  <c r="H61" i="130" s="1"/>
  <c r="H73" i="130" s="1"/>
  <c r="AV36" i="130"/>
  <c r="AU36" i="130"/>
  <c r="AS36" i="130"/>
  <c r="AR36" i="130"/>
  <c r="AQ36" i="130"/>
  <c r="AP36" i="130"/>
  <c r="AO36" i="130"/>
  <c r="AN36" i="130"/>
  <c r="AM36" i="130"/>
  <c r="J36" i="130"/>
  <c r="AV35" i="130"/>
  <c r="AU35" i="130"/>
  <c r="AS35" i="130"/>
  <c r="AR35" i="130"/>
  <c r="AQ35" i="130"/>
  <c r="AP35" i="130"/>
  <c r="AO35" i="130"/>
  <c r="AN35" i="130"/>
  <c r="AM35" i="130"/>
  <c r="J35" i="130"/>
  <c r="AV34" i="130"/>
  <c r="AU34" i="130"/>
  <c r="AS34" i="130"/>
  <c r="AR34" i="130"/>
  <c r="AQ34" i="130"/>
  <c r="AP34" i="130"/>
  <c r="AO34" i="130"/>
  <c r="AN34" i="130"/>
  <c r="AM34" i="130"/>
  <c r="J34" i="130"/>
  <c r="AV33" i="130"/>
  <c r="AU33" i="130"/>
  <c r="AS33" i="130"/>
  <c r="AR33" i="130"/>
  <c r="AQ33" i="130"/>
  <c r="AP33" i="130"/>
  <c r="AO33" i="130"/>
  <c r="AN33" i="130"/>
  <c r="AM33" i="130"/>
  <c r="J33" i="130"/>
  <c r="AV32" i="130"/>
  <c r="AU32" i="130"/>
  <c r="AS32" i="130"/>
  <c r="AR32" i="130"/>
  <c r="AQ32" i="130"/>
  <c r="AP32" i="130"/>
  <c r="AO32" i="130"/>
  <c r="AN32" i="130"/>
  <c r="AM32" i="130"/>
  <c r="J32" i="130"/>
  <c r="AV31" i="130"/>
  <c r="AU31" i="130"/>
  <c r="AS31" i="130"/>
  <c r="AR31" i="130"/>
  <c r="AQ31" i="130"/>
  <c r="AP31" i="130"/>
  <c r="AO31" i="130"/>
  <c r="AN31" i="130"/>
  <c r="AM31" i="130"/>
  <c r="J31" i="130"/>
  <c r="AV30" i="130"/>
  <c r="AU30" i="130"/>
  <c r="AS30" i="130"/>
  <c r="AR30" i="130"/>
  <c r="AQ30" i="130"/>
  <c r="AP30" i="130"/>
  <c r="AO30" i="130"/>
  <c r="AN30" i="130"/>
  <c r="AM30" i="130"/>
  <c r="J30" i="130"/>
  <c r="AV29" i="130"/>
  <c r="AU29" i="130"/>
  <c r="AS29" i="130"/>
  <c r="AR29" i="130"/>
  <c r="AQ29" i="130"/>
  <c r="AP29" i="130"/>
  <c r="AO29" i="130"/>
  <c r="AN29" i="130"/>
  <c r="AM29" i="130"/>
  <c r="J29" i="130"/>
  <c r="AV28" i="130"/>
  <c r="AU28" i="130"/>
  <c r="AS28" i="130"/>
  <c r="AR28" i="130"/>
  <c r="AQ28" i="130"/>
  <c r="AP28" i="130"/>
  <c r="AO28" i="130"/>
  <c r="AN28" i="130"/>
  <c r="AM28" i="130"/>
  <c r="J28" i="130"/>
  <c r="AV27" i="130"/>
  <c r="AU27" i="130"/>
  <c r="AS27" i="130"/>
  <c r="AR27" i="130"/>
  <c r="AQ27" i="130"/>
  <c r="AP27" i="130"/>
  <c r="AO27" i="130"/>
  <c r="AN27" i="130"/>
  <c r="AM27" i="130"/>
  <c r="J27" i="130"/>
  <c r="AV26" i="130"/>
  <c r="AU26" i="130"/>
  <c r="AS26" i="130"/>
  <c r="AR26" i="130"/>
  <c r="AQ26" i="130"/>
  <c r="AP26" i="130"/>
  <c r="AO26" i="130"/>
  <c r="AN26" i="130"/>
  <c r="AM26" i="130"/>
  <c r="J26" i="130"/>
  <c r="AV25" i="130"/>
  <c r="AU25" i="130"/>
  <c r="AS25" i="130"/>
  <c r="AR25" i="130"/>
  <c r="AQ25" i="130"/>
  <c r="AP25" i="130"/>
  <c r="AO25" i="130"/>
  <c r="AN25" i="130"/>
  <c r="AM25" i="130"/>
  <c r="J25" i="130"/>
  <c r="AV24" i="130"/>
  <c r="AU24" i="130"/>
  <c r="AS24" i="130"/>
  <c r="AR24" i="130"/>
  <c r="AQ24" i="130"/>
  <c r="AP24" i="130"/>
  <c r="AO24" i="130"/>
  <c r="AN24" i="130"/>
  <c r="AM24" i="130"/>
  <c r="J24" i="130"/>
  <c r="AV23" i="130"/>
  <c r="AU23" i="130"/>
  <c r="AS23" i="130"/>
  <c r="AR23" i="130"/>
  <c r="AQ23" i="130"/>
  <c r="AP23" i="130"/>
  <c r="AO23" i="130"/>
  <c r="AN23" i="130"/>
  <c r="AM23" i="130"/>
  <c r="J23" i="130"/>
  <c r="AV22" i="130"/>
  <c r="AU22" i="130"/>
  <c r="AS22" i="130"/>
  <c r="AR22" i="130"/>
  <c r="AQ22" i="130"/>
  <c r="AP22" i="130"/>
  <c r="AO22" i="130"/>
  <c r="AN22" i="130"/>
  <c r="AM22" i="130"/>
  <c r="J22" i="130"/>
  <c r="AV21" i="130"/>
  <c r="AU21" i="130"/>
  <c r="AS21" i="130"/>
  <c r="AR21" i="130"/>
  <c r="AQ21" i="130"/>
  <c r="AP21" i="130"/>
  <c r="AO21" i="130"/>
  <c r="AN21" i="130"/>
  <c r="AM21" i="130"/>
  <c r="J21" i="130"/>
  <c r="AV20" i="130"/>
  <c r="AU20" i="130"/>
  <c r="AS20" i="130"/>
  <c r="AR20" i="130"/>
  <c r="AQ20" i="130"/>
  <c r="AP20" i="130"/>
  <c r="AO20" i="130"/>
  <c r="AN20" i="130"/>
  <c r="AM20" i="130"/>
  <c r="J20" i="130"/>
  <c r="AV19" i="130"/>
  <c r="AU19" i="130"/>
  <c r="AS19" i="130"/>
  <c r="AR19" i="130"/>
  <c r="AQ19" i="130"/>
  <c r="AP19" i="130"/>
  <c r="AO19" i="130"/>
  <c r="AN19" i="130"/>
  <c r="AM19" i="130"/>
  <c r="J19" i="130"/>
  <c r="AV18" i="130"/>
  <c r="AU18" i="130"/>
  <c r="AS18" i="130"/>
  <c r="AR18" i="130"/>
  <c r="AQ18" i="130"/>
  <c r="AP18" i="130"/>
  <c r="AO18" i="130"/>
  <c r="AN18" i="130"/>
  <c r="AM18" i="130"/>
  <c r="J18" i="130"/>
  <c r="AV17" i="130"/>
  <c r="AU17" i="130"/>
  <c r="AS17" i="130"/>
  <c r="AR17" i="130"/>
  <c r="AQ17" i="130"/>
  <c r="AP17" i="130"/>
  <c r="AO17" i="130"/>
  <c r="AN17" i="130"/>
  <c r="AM17" i="130"/>
  <c r="J17" i="130"/>
  <c r="AV16" i="130"/>
  <c r="AU16" i="130"/>
  <c r="AS16" i="130"/>
  <c r="AR16" i="130"/>
  <c r="AQ16" i="130"/>
  <c r="AP16" i="130"/>
  <c r="AO16" i="130"/>
  <c r="AN16" i="130"/>
  <c r="AM16" i="130"/>
  <c r="J16" i="130"/>
  <c r="AV15" i="130"/>
  <c r="AU15" i="130"/>
  <c r="AS15" i="130"/>
  <c r="AR15" i="130"/>
  <c r="AQ15" i="130"/>
  <c r="AP15" i="130"/>
  <c r="AO15" i="130"/>
  <c r="AN15" i="130"/>
  <c r="AM15" i="130"/>
  <c r="J15" i="130"/>
  <c r="AV14" i="130"/>
  <c r="AU14" i="130"/>
  <c r="AS14" i="130"/>
  <c r="AR14" i="130"/>
  <c r="AQ14" i="130"/>
  <c r="AP14" i="130"/>
  <c r="AO14" i="130"/>
  <c r="AN14" i="130"/>
  <c r="AM14" i="130"/>
  <c r="J14" i="130"/>
  <c r="AV13" i="130"/>
  <c r="AU13" i="130"/>
  <c r="AS13" i="130"/>
  <c r="AR13" i="130"/>
  <c r="AQ13" i="130"/>
  <c r="AP13" i="130"/>
  <c r="AO13" i="130"/>
  <c r="AN13" i="130"/>
  <c r="AM13" i="130"/>
  <c r="J13" i="130"/>
  <c r="AV12" i="130"/>
  <c r="AU12" i="130"/>
  <c r="AS12" i="130"/>
  <c r="AR12" i="130"/>
  <c r="AQ12" i="130"/>
  <c r="AP12" i="130"/>
  <c r="AO12" i="130"/>
  <c r="AN12" i="130"/>
  <c r="AM12" i="130"/>
  <c r="J12" i="130"/>
  <c r="AV11" i="130"/>
  <c r="AU11" i="130"/>
  <c r="AS11" i="130"/>
  <c r="AR11" i="130"/>
  <c r="AQ11" i="130"/>
  <c r="AP11" i="130"/>
  <c r="AO11" i="130"/>
  <c r="AN11" i="130"/>
  <c r="AM11" i="130"/>
  <c r="J11" i="130"/>
  <c r="AV10" i="130"/>
  <c r="AU10" i="130"/>
  <c r="AS10" i="130"/>
  <c r="AR10" i="130"/>
  <c r="AQ10" i="130"/>
  <c r="AP10" i="130"/>
  <c r="AO10" i="130"/>
  <c r="AN10" i="130"/>
  <c r="AM10" i="130"/>
  <c r="J10" i="130"/>
  <c r="AV9" i="130"/>
  <c r="AU9" i="130"/>
  <c r="AS9" i="130"/>
  <c r="AR9" i="130"/>
  <c r="AQ9" i="130"/>
  <c r="AP9" i="130"/>
  <c r="AO9" i="130"/>
  <c r="AN9" i="130"/>
  <c r="AM9" i="130"/>
  <c r="J9" i="130"/>
  <c r="AV8" i="130"/>
  <c r="AU8" i="130"/>
  <c r="AS8" i="130"/>
  <c r="AR8" i="130"/>
  <c r="AQ8" i="130"/>
  <c r="AP8" i="130"/>
  <c r="AO8" i="130"/>
  <c r="AN8" i="130"/>
  <c r="AM8" i="130"/>
  <c r="J8" i="130"/>
  <c r="AG9" i="129"/>
  <c r="AG10" i="129"/>
  <c r="AG13" i="129"/>
  <c r="AG14" i="129"/>
  <c r="AG15" i="129"/>
  <c r="AG16" i="129"/>
  <c r="AG17" i="129"/>
  <c r="AG18" i="129"/>
  <c r="AG19" i="129"/>
  <c r="AG20" i="129"/>
  <c r="AG21" i="129"/>
  <c r="AG22" i="129"/>
  <c r="AG23" i="129"/>
  <c r="AG24" i="129"/>
  <c r="AG25" i="129"/>
  <c r="AG26" i="129"/>
  <c r="AG27" i="129"/>
  <c r="AG28" i="129"/>
  <c r="AG29" i="129"/>
  <c r="AG30" i="129"/>
  <c r="AG31" i="129"/>
  <c r="AG36" i="129"/>
  <c r="AG37" i="129"/>
  <c r="AG38" i="129"/>
  <c r="AG39" i="129"/>
  <c r="AG40" i="129"/>
  <c r="AG41" i="129"/>
  <c r="AG42" i="129"/>
  <c r="AG43" i="129"/>
  <c r="AG44" i="129"/>
  <c r="AG45" i="129"/>
  <c r="AG46" i="129"/>
  <c r="AG47" i="129"/>
  <c r="AG48" i="129"/>
  <c r="AG49" i="129"/>
  <c r="AG50" i="129"/>
  <c r="AG55" i="129"/>
  <c r="AG56" i="129"/>
  <c r="AG57" i="129"/>
  <c r="AG58" i="129"/>
  <c r="AG59" i="129"/>
  <c r="AG60" i="129"/>
  <c r="P11" i="129"/>
  <c r="P32" i="129" s="1"/>
  <c r="P51" i="129" s="1"/>
  <c r="P61" i="129" s="1"/>
  <c r="T11" i="129"/>
  <c r="T32" i="129" s="1"/>
  <c r="T51" i="129" s="1"/>
  <c r="T61" i="129" s="1"/>
  <c r="X11" i="129"/>
  <c r="AR19" i="129"/>
  <c r="AR32" i="129" s="1"/>
  <c r="AR51" i="129" s="1"/>
  <c r="AR61" i="129" s="1"/>
  <c r="AN28" i="129"/>
  <c r="AN29" i="129"/>
  <c r="F32" i="129"/>
  <c r="F51" i="129" s="1"/>
  <c r="F61" i="129" s="1"/>
  <c r="G32" i="129"/>
  <c r="G51" i="129" s="1"/>
  <c r="G61" i="129" s="1"/>
  <c r="H32" i="129"/>
  <c r="H51" i="129" s="1"/>
  <c r="H61" i="129" s="1"/>
  <c r="L32" i="129"/>
  <c r="L51" i="129" s="1"/>
  <c r="L61" i="129" s="1"/>
  <c r="M32" i="129"/>
  <c r="M51" i="129" s="1"/>
  <c r="M61" i="129" s="1"/>
  <c r="Q32" i="129"/>
  <c r="Q51" i="129" s="1"/>
  <c r="Q61" i="129" s="1"/>
  <c r="U32" i="129"/>
  <c r="U51" i="129" s="1"/>
  <c r="U61" i="129" s="1"/>
  <c r="X32" i="129"/>
  <c r="X51" i="129" s="1"/>
  <c r="X61" i="129" s="1"/>
  <c r="Y32" i="129"/>
  <c r="Y51" i="129" s="1"/>
  <c r="Y61" i="129" s="1"/>
  <c r="AB32" i="129"/>
  <c r="AB51" i="129" s="1"/>
  <c r="AB61" i="129" s="1"/>
  <c r="AC32" i="129"/>
  <c r="AF32" i="129"/>
  <c r="AF51" i="129" s="1"/>
  <c r="AF61" i="129" s="1"/>
  <c r="AK32" i="129"/>
  <c r="AO32" i="129"/>
  <c r="AO51" i="129" s="1"/>
  <c r="AO61" i="129" s="1"/>
  <c r="BA32" i="129"/>
  <c r="BA51" i="129" s="1"/>
  <c r="BA61" i="129" s="1"/>
  <c r="BB32" i="129"/>
  <c r="BB51" i="129" s="1"/>
  <c r="BB61" i="129" s="1"/>
  <c r="BE32" i="129"/>
  <c r="BE51" i="129" s="1"/>
  <c r="BE61" i="129" s="1"/>
  <c r="BG32" i="129"/>
  <c r="BG51" i="129" s="1"/>
  <c r="BG61" i="129" s="1"/>
  <c r="BH32" i="129"/>
  <c r="BH51" i="129" s="1"/>
  <c r="BH61" i="129" s="1"/>
  <c r="AC51" i="129"/>
  <c r="AC61" i="129" s="1"/>
  <c r="AK51" i="129"/>
  <c r="AK61" i="129" s="1"/>
  <c r="BC51" i="129"/>
  <c r="AV62" i="128"/>
  <c r="AU62" i="128"/>
  <c r="AS62" i="128"/>
  <c r="AR62" i="128"/>
  <c r="AQ62" i="128"/>
  <c r="AP62" i="128"/>
  <c r="AO62" i="128"/>
  <c r="AN62" i="128"/>
  <c r="AM62" i="128"/>
  <c r="J62" i="128"/>
  <c r="AV61" i="128"/>
  <c r="AU61" i="128"/>
  <c r="AS61" i="128"/>
  <c r="AR61" i="128"/>
  <c r="AQ61" i="128"/>
  <c r="AP61" i="128"/>
  <c r="AO61" i="128"/>
  <c r="AN61" i="128"/>
  <c r="AM61" i="128"/>
  <c r="J61" i="128"/>
  <c r="AV60" i="128"/>
  <c r="AU60" i="128"/>
  <c r="AS60" i="128"/>
  <c r="AR60" i="128"/>
  <c r="AQ60" i="128"/>
  <c r="AP60" i="128"/>
  <c r="AO60" i="128"/>
  <c r="AN60" i="128"/>
  <c r="AM60" i="128"/>
  <c r="J60" i="128"/>
  <c r="AV59" i="128"/>
  <c r="AU59" i="128"/>
  <c r="AS59" i="128"/>
  <c r="AR59" i="128"/>
  <c r="AQ59" i="128"/>
  <c r="AP59" i="128"/>
  <c r="AO59" i="128"/>
  <c r="AN59" i="128"/>
  <c r="AM59" i="128"/>
  <c r="J59" i="128"/>
  <c r="AV58" i="128"/>
  <c r="AU58" i="128"/>
  <c r="AS58" i="128"/>
  <c r="AR58" i="128"/>
  <c r="AQ58" i="128"/>
  <c r="AP58" i="128"/>
  <c r="AO58" i="128"/>
  <c r="AN58" i="128"/>
  <c r="AM58" i="128"/>
  <c r="J58" i="128"/>
  <c r="AV57" i="128"/>
  <c r="AU57" i="128"/>
  <c r="AS57" i="128"/>
  <c r="AR57" i="128"/>
  <c r="AQ57" i="128"/>
  <c r="AP57" i="128"/>
  <c r="AO57" i="128"/>
  <c r="AN57" i="128"/>
  <c r="AM57" i="128"/>
  <c r="J57" i="128"/>
  <c r="AV56" i="128"/>
  <c r="AU56" i="128"/>
  <c r="AS56" i="128"/>
  <c r="AR56" i="128"/>
  <c r="AQ56" i="128"/>
  <c r="AP56" i="128"/>
  <c r="AO56" i="128"/>
  <c r="AN56" i="128"/>
  <c r="AM56" i="128"/>
  <c r="J56" i="128"/>
  <c r="AV55" i="128"/>
  <c r="AU55" i="128"/>
  <c r="AS55" i="128"/>
  <c r="AR55" i="128"/>
  <c r="AQ55" i="128"/>
  <c r="AP55" i="128"/>
  <c r="AO55" i="128"/>
  <c r="AN55" i="128"/>
  <c r="AM55" i="128"/>
  <c r="J55" i="128"/>
  <c r="AJ51" i="128"/>
  <c r="F31" i="128"/>
  <c r="AN49" i="128"/>
  <c r="AM49" i="128"/>
  <c r="J49" i="128"/>
  <c r="AV48" i="128"/>
  <c r="AU48" i="128"/>
  <c r="AS48" i="128"/>
  <c r="AR48" i="128"/>
  <c r="AQ48" i="128"/>
  <c r="AP48" i="128"/>
  <c r="AO48" i="128"/>
  <c r="AN48" i="128"/>
  <c r="AM48" i="128"/>
  <c r="J48" i="128"/>
  <c r="AV47" i="128"/>
  <c r="AU47" i="128"/>
  <c r="AS47" i="128"/>
  <c r="AR47" i="128"/>
  <c r="AQ47" i="128"/>
  <c r="AP47" i="128"/>
  <c r="AO47" i="128"/>
  <c r="AN47" i="128"/>
  <c r="AM47" i="128"/>
  <c r="J47" i="128"/>
  <c r="AV46" i="128"/>
  <c r="AU46" i="128"/>
  <c r="AS46" i="128"/>
  <c r="AR46" i="128"/>
  <c r="AQ46" i="128"/>
  <c r="AP46" i="128"/>
  <c r="AO46" i="128"/>
  <c r="AN46" i="128"/>
  <c r="AM46" i="128"/>
  <c r="J46" i="128"/>
  <c r="AV45" i="128"/>
  <c r="AU45" i="128"/>
  <c r="AS45" i="128"/>
  <c r="AR45" i="128"/>
  <c r="AQ45" i="128"/>
  <c r="AP45" i="128"/>
  <c r="AO45" i="128"/>
  <c r="AN45" i="128"/>
  <c r="AM45" i="128"/>
  <c r="J45" i="128"/>
  <c r="AV44" i="128"/>
  <c r="AU44" i="128"/>
  <c r="AS44" i="128"/>
  <c r="AR44" i="128"/>
  <c r="AQ44" i="128"/>
  <c r="AP44" i="128"/>
  <c r="AO44" i="128"/>
  <c r="AN44" i="128"/>
  <c r="AM44" i="128"/>
  <c r="J44" i="128"/>
  <c r="AV43" i="128"/>
  <c r="AU43" i="128"/>
  <c r="AS43" i="128"/>
  <c r="AR43" i="128"/>
  <c r="AQ43" i="128"/>
  <c r="AP43" i="128"/>
  <c r="AO43" i="128"/>
  <c r="AN43" i="128"/>
  <c r="AM43" i="128"/>
  <c r="J43" i="128"/>
  <c r="AV42" i="128"/>
  <c r="AU42" i="128"/>
  <c r="AS42" i="128"/>
  <c r="AR42" i="128"/>
  <c r="AQ42" i="128"/>
  <c r="AP42" i="128"/>
  <c r="AO42" i="128"/>
  <c r="AN42" i="128"/>
  <c r="AM42" i="128"/>
  <c r="J42" i="128"/>
  <c r="AV41" i="128"/>
  <c r="AU41" i="128"/>
  <c r="AS41" i="128"/>
  <c r="AR41" i="128"/>
  <c r="AQ41" i="128"/>
  <c r="AP41" i="128"/>
  <c r="AO41" i="128"/>
  <c r="AN41" i="128"/>
  <c r="AM41" i="128"/>
  <c r="J41" i="128"/>
  <c r="AV40" i="128"/>
  <c r="AU40" i="128"/>
  <c r="AS40" i="128"/>
  <c r="AR40" i="128"/>
  <c r="AQ40" i="128"/>
  <c r="AP40" i="128"/>
  <c r="AO40" i="128"/>
  <c r="AN40" i="128"/>
  <c r="AM40" i="128"/>
  <c r="J40" i="128"/>
  <c r="AV39" i="128"/>
  <c r="AU39" i="128"/>
  <c r="AS39" i="128"/>
  <c r="AR39" i="128"/>
  <c r="AQ39" i="128"/>
  <c r="AP39" i="128"/>
  <c r="AO39" i="128"/>
  <c r="AN39" i="128"/>
  <c r="AM39" i="128"/>
  <c r="J39" i="128"/>
  <c r="AV38" i="128"/>
  <c r="AU38" i="128"/>
  <c r="AS38" i="128"/>
  <c r="AR38" i="128"/>
  <c r="AQ38" i="128"/>
  <c r="AP38" i="128"/>
  <c r="AO38" i="128"/>
  <c r="AN38" i="128"/>
  <c r="AM38" i="128"/>
  <c r="J38" i="128"/>
  <c r="AV37" i="128"/>
  <c r="AU37" i="128"/>
  <c r="AS37" i="128"/>
  <c r="AR37" i="128"/>
  <c r="AQ37" i="128"/>
  <c r="AP37" i="128"/>
  <c r="AO37" i="128"/>
  <c r="AN37" i="128"/>
  <c r="AM37" i="128"/>
  <c r="J37" i="128"/>
  <c r="AV36" i="128"/>
  <c r="AU36" i="128"/>
  <c r="AS36" i="128"/>
  <c r="AR36" i="128"/>
  <c r="AQ36" i="128"/>
  <c r="AP36" i="128"/>
  <c r="AO36" i="128"/>
  <c r="AN36" i="128"/>
  <c r="AM36" i="128"/>
  <c r="J36" i="128"/>
  <c r="AV35" i="128"/>
  <c r="AU35" i="128"/>
  <c r="AS35" i="128"/>
  <c r="AR35" i="128"/>
  <c r="AQ35" i="128"/>
  <c r="AP35" i="128"/>
  <c r="AO35" i="128"/>
  <c r="AN35" i="128"/>
  <c r="AM35" i="128"/>
  <c r="J35" i="128"/>
  <c r="N31" i="128"/>
  <c r="N51" i="128" s="1"/>
  <c r="N64" i="128" s="1"/>
  <c r="L31" i="128"/>
  <c r="I31" i="128"/>
  <c r="I51" i="128" s="1"/>
  <c r="I64" i="128" s="1"/>
  <c r="H31" i="128"/>
  <c r="H51" i="128" s="1"/>
  <c r="H64" i="128" s="1"/>
  <c r="G31" i="128"/>
  <c r="G51" i="128" s="1"/>
  <c r="G64" i="128" s="1"/>
  <c r="AV30" i="128"/>
  <c r="AU30" i="128"/>
  <c r="AS30" i="128"/>
  <c r="AR30" i="128"/>
  <c r="AQ30" i="128"/>
  <c r="AP30" i="128"/>
  <c r="AO30" i="128"/>
  <c r="AN30" i="128"/>
  <c r="AM30" i="128"/>
  <c r="J30" i="128"/>
  <c r="AV29" i="128"/>
  <c r="AU29" i="128"/>
  <c r="AS29" i="128"/>
  <c r="AR29" i="128"/>
  <c r="AQ29" i="128"/>
  <c r="AP29" i="128"/>
  <c r="AO29" i="128"/>
  <c r="AN29" i="128"/>
  <c r="AM29" i="128"/>
  <c r="J29" i="128"/>
  <c r="AV28" i="128"/>
  <c r="AU28" i="128"/>
  <c r="AS28" i="128"/>
  <c r="AR28" i="128"/>
  <c r="AQ28" i="128"/>
  <c r="AP28" i="128"/>
  <c r="AO28" i="128"/>
  <c r="AN28" i="128"/>
  <c r="AM28" i="128"/>
  <c r="J28" i="128"/>
  <c r="AV27" i="128"/>
  <c r="AU27" i="128"/>
  <c r="AS27" i="128"/>
  <c r="AR27" i="128"/>
  <c r="AQ27" i="128"/>
  <c r="AP27" i="128"/>
  <c r="AO27" i="128"/>
  <c r="AN27" i="128"/>
  <c r="AM27" i="128"/>
  <c r="J27" i="128"/>
  <c r="AV26" i="128"/>
  <c r="AU26" i="128"/>
  <c r="AS26" i="128"/>
  <c r="AR26" i="128"/>
  <c r="AQ26" i="128"/>
  <c r="AP26" i="128"/>
  <c r="AO26" i="128"/>
  <c r="AN26" i="128"/>
  <c r="AM26" i="128"/>
  <c r="J26" i="128"/>
  <c r="AV25" i="128"/>
  <c r="AU25" i="128"/>
  <c r="AS25" i="128"/>
  <c r="AR25" i="128"/>
  <c r="AQ25" i="128"/>
  <c r="AP25" i="128"/>
  <c r="AO25" i="128"/>
  <c r="AN25" i="128"/>
  <c r="AM25" i="128"/>
  <c r="J25" i="128"/>
  <c r="AV24" i="128"/>
  <c r="AU24" i="128"/>
  <c r="AS24" i="128"/>
  <c r="AR24" i="128"/>
  <c r="AQ24" i="128"/>
  <c r="AP24" i="128"/>
  <c r="AO24" i="128"/>
  <c r="AN24" i="128"/>
  <c r="AM24" i="128"/>
  <c r="J24" i="128"/>
  <c r="AV23" i="128"/>
  <c r="AU23" i="128"/>
  <c r="AS23" i="128"/>
  <c r="AR23" i="128"/>
  <c r="AQ23" i="128"/>
  <c r="AP23" i="128"/>
  <c r="AO23" i="128"/>
  <c r="AN23" i="128"/>
  <c r="AM23" i="128"/>
  <c r="J23" i="128"/>
  <c r="AV22" i="128"/>
  <c r="AU22" i="128"/>
  <c r="AS22" i="128"/>
  <c r="AR22" i="128"/>
  <c r="AQ22" i="128"/>
  <c r="AP22" i="128"/>
  <c r="AO22" i="128"/>
  <c r="AN22" i="128"/>
  <c r="AM22" i="128"/>
  <c r="J22" i="128"/>
  <c r="AV21" i="128"/>
  <c r="AU21" i="128"/>
  <c r="AS21" i="128"/>
  <c r="AR21" i="128"/>
  <c r="AQ21" i="128"/>
  <c r="AP21" i="128"/>
  <c r="AO21" i="128"/>
  <c r="AN21" i="128"/>
  <c r="AM21" i="128"/>
  <c r="J21" i="128"/>
  <c r="AV20" i="128"/>
  <c r="AU20" i="128"/>
  <c r="AS20" i="128"/>
  <c r="AR20" i="128"/>
  <c r="AQ20" i="128"/>
  <c r="AP20" i="128"/>
  <c r="AO20" i="128"/>
  <c r="AN20" i="128"/>
  <c r="AM20" i="128"/>
  <c r="J20" i="128"/>
  <c r="AV19" i="128"/>
  <c r="AU19" i="128"/>
  <c r="AS19" i="128"/>
  <c r="AR19" i="128"/>
  <c r="AQ19" i="128"/>
  <c r="AP19" i="128"/>
  <c r="AO19" i="128"/>
  <c r="AN19" i="128"/>
  <c r="AM19" i="128"/>
  <c r="J19" i="128"/>
  <c r="AV18" i="128"/>
  <c r="AU18" i="128"/>
  <c r="AS18" i="128"/>
  <c r="AR18" i="128"/>
  <c r="AQ18" i="128"/>
  <c r="AP18" i="128"/>
  <c r="AO18" i="128"/>
  <c r="AN18" i="128"/>
  <c r="AM18" i="128"/>
  <c r="J18" i="128"/>
  <c r="AV17" i="128"/>
  <c r="AU17" i="128"/>
  <c r="AS17" i="128"/>
  <c r="AR17" i="128"/>
  <c r="AQ17" i="128"/>
  <c r="AP17" i="128"/>
  <c r="AO17" i="128"/>
  <c r="AN17" i="128"/>
  <c r="AM17" i="128"/>
  <c r="J17" i="128"/>
  <c r="AV16" i="128"/>
  <c r="AU16" i="128"/>
  <c r="AS16" i="128"/>
  <c r="AR16" i="128"/>
  <c r="AQ16" i="128"/>
  <c r="AP16" i="128"/>
  <c r="AO16" i="128"/>
  <c r="AN16" i="128"/>
  <c r="AM16" i="128"/>
  <c r="J16" i="128"/>
  <c r="AV15" i="128"/>
  <c r="AU15" i="128"/>
  <c r="AS15" i="128"/>
  <c r="AR15" i="128"/>
  <c r="AQ15" i="128"/>
  <c r="AP15" i="128"/>
  <c r="AO15" i="128"/>
  <c r="AN15" i="128"/>
  <c r="AM15" i="128"/>
  <c r="J15" i="128"/>
  <c r="AV14" i="128"/>
  <c r="AU14" i="128"/>
  <c r="AS14" i="128"/>
  <c r="AR14" i="128"/>
  <c r="AQ14" i="128"/>
  <c r="AP14" i="128"/>
  <c r="AO14" i="128"/>
  <c r="AN14" i="128"/>
  <c r="AM14" i="128"/>
  <c r="J14" i="128"/>
  <c r="AV13" i="128"/>
  <c r="AU13" i="128"/>
  <c r="AS13" i="128"/>
  <c r="AR13" i="128"/>
  <c r="AQ13" i="128"/>
  <c r="AP13" i="128"/>
  <c r="AO13" i="128"/>
  <c r="AN13" i="128"/>
  <c r="AM13" i="128"/>
  <c r="J13" i="128"/>
  <c r="AV12" i="128"/>
  <c r="AU12" i="128"/>
  <c r="AS12" i="128"/>
  <c r="AR12" i="128"/>
  <c r="AQ12" i="128"/>
  <c r="AP12" i="128"/>
  <c r="AO12" i="128"/>
  <c r="AN12" i="128"/>
  <c r="AM12" i="128"/>
  <c r="J12" i="128"/>
  <c r="AV11" i="128"/>
  <c r="AU11" i="128"/>
  <c r="AS11" i="128"/>
  <c r="AR11" i="128"/>
  <c r="AQ11" i="128"/>
  <c r="AP11" i="128"/>
  <c r="AO11" i="128"/>
  <c r="AN11" i="128"/>
  <c r="AM11" i="128"/>
  <c r="J11" i="128"/>
  <c r="AV10" i="128"/>
  <c r="AU10" i="128"/>
  <c r="AS10" i="128"/>
  <c r="AR10" i="128"/>
  <c r="AQ10" i="128"/>
  <c r="AP10" i="128"/>
  <c r="AO10" i="128"/>
  <c r="AN10" i="128"/>
  <c r="AM10" i="128"/>
  <c r="J10" i="128"/>
  <c r="AV9" i="128"/>
  <c r="AU9" i="128"/>
  <c r="AS9" i="128"/>
  <c r="AR9" i="128"/>
  <c r="AQ9" i="128"/>
  <c r="AP9" i="128"/>
  <c r="AO9" i="128"/>
  <c r="AN9" i="128"/>
  <c r="AM9" i="128"/>
  <c r="J9" i="128"/>
  <c r="AV8" i="128"/>
  <c r="AU8" i="128"/>
  <c r="AS8" i="128"/>
  <c r="AR8" i="128"/>
  <c r="AQ8" i="128"/>
  <c r="AP8" i="128"/>
  <c r="AO8" i="128"/>
  <c r="AN8" i="128"/>
  <c r="AM8" i="128"/>
  <c r="J8" i="128"/>
  <c r="AS105" i="127"/>
  <c r="AR105" i="127"/>
  <c r="AQ105" i="127"/>
  <c r="AP105" i="127"/>
  <c r="AO105" i="127"/>
  <c r="AN105" i="127"/>
  <c r="AM105" i="127"/>
  <c r="J105" i="127"/>
  <c r="AS104" i="127"/>
  <c r="AR104" i="127"/>
  <c r="AQ104" i="127"/>
  <c r="AP104" i="127"/>
  <c r="AO104" i="127"/>
  <c r="AN104" i="127"/>
  <c r="AM104" i="127"/>
  <c r="J104" i="127"/>
  <c r="AV103" i="127"/>
  <c r="AU103" i="127"/>
  <c r="AS103" i="127"/>
  <c r="AR103" i="127"/>
  <c r="AQ103" i="127"/>
  <c r="AP103" i="127"/>
  <c r="AO103" i="127"/>
  <c r="AN103" i="127"/>
  <c r="AM103" i="127"/>
  <c r="J103" i="127"/>
  <c r="AV102" i="127"/>
  <c r="AU102" i="127"/>
  <c r="AS102" i="127"/>
  <c r="AR102" i="127"/>
  <c r="AQ102" i="127"/>
  <c r="AP102" i="127"/>
  <c r="AO102" i="127"/>
  <c r="AN102" i="127"/>
  <c r="AM102" i="127"/>
  <c r="J102" i="127"/>
  <c r="AV101" i="127"/>
  <c r="AU101" i="127"/>
  <c r="AS101" i="127"/>
  <c r="AR101" i="127"/>
  <c r="AQ101" i="127"/>
  <c r="AP101" i="127"/>
  <c r="AO101" i="127"/>
  <c r="AN101" i="127"/>
  <c r="AM101" i="127"/>
  <c r="J101" i="127"/>
  <c r="AV100" i="127"/>
  <c r="AU100" i="127"/>
  <c r="AS100" i="127"/>
  <c r="AR100" i="127"/>
  <c r="AQ100" i="127"/>
  <c r="AP100" i="127"/>
  <c r="AO100" i="127"/>
  <c r="AN100" i="127"/>
  <c r="AM100" i="127"/>
  <c r="J100" i="127"/>
  <c r="AV99" i="127"/>
  <c r="AU99" i="127"/>
  <c r="AS99" i="127"/>
  <c r="AR99" i="127"/>
  <c r="AQ99" i="127"/>
  <c r="AP99" i="127"/>
  <c r="AO99" i="127"/>
  <c r="AN99" i="127"/>
  <c r="AM99" i="127"/>
  <c r="J99" i="127"/>
  <c r="AV98" i="127"/>
  <c r="AU98" i="127"/>
  <c r="AS98" i="127"/>
  <c r="AR98" i="127"/>
  <c r="AQ98" i="127"/>
  <c r="AP98" i="127"/>
  <c r="AO98" i="127"/>
  <c r="AN98" i="127"/>
  <c r="AM98" i="127"/>
  <c r="J98" i="127"/>
  <c r="AJ81" i="127"/>
  <c r="AN79" i="127"/>
  <c r="AM79" i="127"/>
  <c r="J79" i="127"/>
  <c r="AN78" i="127"/>
  <c r="AM78" i="127"/>
  <c r="J78" i="127"/>
  <c r="AN77" i="127"/>
  <c r="AM77" i="127"/>
  <c r="J77" i="127"/>
  <c r="AV76" i="127"/>
  <c r="AU76" i="127"/>
  <c r="AS76" i="127"/>
  <c r="AR76" i="127"/>
  <c r="AQ76" i="127"/>
  <c r="AP76" i="127"/>
  <c r="AO76" i="127"/>
  <c r="AN76" i="127"/>
  <c r="AM76" i="127"/>
  <c r="J76" i="127"/>
  <c r="AV75" i="127"/>
  <c r="AU75" i="127"/>
  <c r="AS75" i="127"/>
  <c r="AR75" i="127"/>
  <c r="AQ75" i="127"/>
  <c r="AP75" i="127"/>
  <c r="AO75" i="127"/>
  <c r="AN75" i="127"/>
  <c r="AM75" i="127"/>
  <c r="J75" i="127"/>
  <c r="AV74" i="127"/>
  <c r="AU74" i="127"/>
  <c r="AS74" i="127"/>
  <c r="AR74" i="127"/>
  <c r="AQ74" i="127"/>
  <c r="AP74" i="127"/>
  <c r="AO74" i="127"/>
  <c r="AN74" i="127"/>
  <c r="AM74" i="127"/>
  <c r="J74" i="127"/>
  <c r="AV73" i="127"/>
  <c r="AU73" i="127"/>
  <c r="AS73" i="127"/>
  <c r="AR73" i="127"/>
  <c r="AQ73" i="127"/>
  <c r="AP73" i="127"/>
  <c r="AO73" i="127"/>
  <c r="AN73" i="127"/>
  <c r="AM73" i="127"/>
  <c r="J73" i="127"/>
  <c r="AV72" i="127"/>
  <c r="AU72" i="127"/>
  <c r="AS72" i="127"/>
  <c r="AR72" i="127"/>
  <c r="AQ72" i="127"/>
  <c r="AP72" i="127"/>
  <c r="AO72" i="127"/>
  <c r="AN72" i="127"/>
  <c r="AM72" i="127"/>
  <c r="J72" i="127"/>
  <c r="AV71" i="127"/>
  <c r="AU71" i="127"/>
  <c r="AS71" i="127"/>
  <c r="AR71" i="127"/>
  <c r="AQ71" i="127"/>
  <c r="AP71" i="127"/>
  <c r="AO71" i="127"/>
  <c r="AN71" i="127"/>
  <c r="AM71" i="127"/>
  <c r="J71" i="127"/>
  <c r="AV70" i="127"/>
  <c r="AU70" i="127"/>
  <c r="AS70" i="127"/>
  <c r="AR70" i="127"/>
  <c r="AQ70" i="127"/>
  <c r="AP70" i="127"/>
  <c r="AO70" i="127"/>
  <c r="AN70" i="127"/>
  <c r="AM70" i="127"/>
  <c r="J70" i="127"/>
  <c r="AV69" i="127"/>
  <c r="AU69" i="127"/>
  <c r="AS69" i="127"/>
  <c r="AR69" i="127"/>
  <c r="AQ69" i="127"/>
  <c r="AP69" i="127"/>
  <c r="AO69" i="127"/>
  <c r="AN69" i="127"/>
  <c r="AM69" i="127"/>
  <c r="J69" i="127"/>
  <c r="AV68" i="127"/>
  <c r="AU68" i="127"/>
  <c r="AS68" i="127"/>
  <c r="AR68" i="127"/>
  <c r="AQ68" i="127"/>
  <c r="AP68" i="127"/>
  <c r="AO68" i="127"/>
  <c r="AN68" i="127"/>
  <c r="AM68" i="127"/>
  <c r="J68" i="127"/>
  <c r="AV67" i="127"/>
  <c r="AU67" i="127"/>
  <c r="AS67" i="127"/>
  <c r="AR67" i="127"/>
  <c r="AQ67" i="127"/>
  <c r="AP67" i="127"/>
  <c r="AO67" i="127"/>
  <c r="AN67" i="127"/>
  <c r="AM67" i="127"/>
  <c r="J67" i="127"/>
  <c r="AV66" i="127"/>
  <c r="AU66" i="127"/>
  <c r="AS66" i="127"/>
  <c r="AR66" i="127"/>
  <c r="AQ66" i="127"/>
  <c r="AP66" i="127"/>
  <c r="AO66" i="127"/>
  <c r="AN66" i="127"/>
  <c r="AM66" i="127"/>
  <c r="J66" i="127"/>
  <c r="AV65" i="127"/>
  <c r="AU65" i="127"/>
  <c r="AS65" i="127"/>
  <c r="AR65" i="127"/>
  <c r="AQ65" i="127"/>
  <c r="AP65" i="127"/>
  <c r="AO65" i="127"/>
  <c r="AN65" i="127"/>
  <c r="AM65" i="127"/>
  <c r="J65" i="127"/>
  <c r="AN64" i="127"/>
  <c r="AM64" i="127"/>
  <c r="J64" i="127"/>
  <c r="AV63" i="127"/>
  <c r="AU63" i="127"/>
  <c r="AS63" i="127"/>
  <c r="AR63" i="127"/>
  <c r="AQ63" i="127"/>
  <c r="AP63" i="127"/>
  <c r="AO63" i="127"/>
  <c r="AN63" i="127"/>
  <c r="AM63" i="127"/>
  <c r="J63" i="127"/>
  <c r="AV62" i="127"/>
  <c r="AU62" i="127"/>
  <c r="AS62" i="127"/>
  <c r="AR62" i="127"/>
  <c r="AQ62" i="127"/>
  <c r="AP62" i="127"/>
  <c r="AO62" i="127"/>
  <c r="AN62" i="127"/>
  <c r="AM62" i="127"/>
  <c r="J62" i="127"/>
  <c r="AV61" i="127"/>
  <c r="AU61" i="127"/>
  <c r="AS61" i="127"/>
  <c r="AR61" i="127"/>
  <c r="AQ61" i="127"/>
  <c r="AP61" i="127"/>
  <c r="AO61" i="127"/>
  <c r="AN61" i="127"/>
  <c r="AM61" i="127"/>
  <c r="J61" i="127"/>
  <c r="AV60" i="127"/>
  <c r="AU60" i="127"/>
  <c r="AS60" i="127"/>
  <c r="AR60" i="127"/>
  <c r="AQ60" i="127"/>
  <c r="AP60" i="127"/>
  <c r="AO60" i="127"/>
  <c r="AN60" i="127"/>
  <c r="AM60" i="127"/>
  <c r="J60" i="127"/>
  <c r="AV59" i="127"/>
  <c r="AU59" i="127"/>
  <c r="AS59" i="127"/>
  <c r="AR59" i="127"/>
  <c r="AQ59" i="127"/>
  <c r="AP59" i="127"/>
  <c r="AO59" i="127"/>
  <c r="AN59" i="127"/>
  <c r="AM59" i="127"/>
  <c r="J59" i="127"/>
  <c r="AV58" i="127"/>
  <c r="AU58" i="127"/>
  <c r="AS58" i="127"/>
  <c r="AR58" i="127"/>
  <c r="AQ58" i="127"/>
  <c r="AP58" i="127"/>
  <c r="AO58" i="127"/>
  <c r="AN58" i="127"/>
  <c r="AM58" i="127"/>
  <c r="J58" i="127"/>
  <c r="AV57" i="127"/>
  <c r="AU57" i="127"/>
  <c r="AS57" i="127"/>
  <c r="AR57" i="127"/>
  <c r="AQ57" i="127"/>
  <c r="AP57" i="127"/>
  <c r="AO57" i="127"/>
  <c r="AN57" i="127"/>
  <c r="AM57" i="127"/>
  <c r="J57" i="127"/>
  <c r="AV56" i="127"/>
  <c r="AU56" i="127"/>
  <c r="AS56" i="127"/>
  <c r="AR56" i="127"/>
  <c r="AQ56" i="127"/>
  <c r="AP56" i="127"/>
  <c r="AO56" i="127"/>
  <c r="AN56" i="127"/>
  <c r="AM56" i="127"/>
  <c r="J56" i="127"/>
  <c r="AV55" i="127"/>
  <c r="AU55" i="127"/>
  <c r="AS55" i="127"/>
  <c r="AR55" i="127"/>
  <c r="AQ55" i="127"/>
  <c r="AP55" i="127"/>
  <c r="AO55" i="127"/>
  <c r="AN55" i="127"/>
  <c r="AM55" i="127"/>
  <c r="J55" i="127"/>
  <c r="AV54" i="127"/>
  <c r="AU54" i="127"/>
  <c r="AS54" i="127"/>
  <c r="AR54" i="127"/>
  <c r="AQ54" i="127"/>
  <c r="AP54" i="127"/>
  <c r="AO54" i="127"/>
  <c r="AN54" i="127"/>
  <c r="AM54" i="127"/>
  <c r="J54" i="127"/>
  <c r="F44" i="127"/>
  <c r="F81" i="127" s="1"/>
  <c r="AV43" i="127"/>
  <c r="AU43" i="127"/>
  <c r="AS43" i="127"/>
  <c r="AR43" i="127"/>
  <c r="AQ43" i="127"/>
  <c r="AP43" i="127"/>
  <c r="AO43" i="127"/>
  <c r="AN43" i="127"/>
  <c r="AM43" i="127"/>
  <c r="J43" i="127"/>
  <c r="AV42" i="127"/>
  <c r="AU42" i="127"/>
  <c r="AS42" i="127"/>
  <c r="AR42" i="127"/>
  <c r="AQ42" i="127"/>
  <c r="AP42" i="127"/>
  <c r="AO42" i="127"/>
  <c r="AN42" i="127"/>
  <c r="AM42" i="127"/>
  <c r="J42" i="127"/>
  <c r="AV41" i="127"/>
  <c r="AU41" i="127"/>
  <c r="AS41" i="127"/>
  <c r="AR41" i="127"/>
  <c r="AQ41" i="127"/>
  <c r="AP41" i="127"/>
  <c r="AO41" i="127"/>
  <c r="AN41" i="127"/>
  <c r="AM41" i="127"/>
  <c r="J41" i="127"/>
  <c r="AV40" i="127"/>
  <c r="AU40" i="127"/>
  <c r="AS40" i="127"/>
  <c r="AR40" i="127"/>
  <c r="AQ40" i="127"/>
  <c r="AP40" i="127"/>
  <c r="AO40" i="127"/>
  <c r="AN40" i="127"/>
  <c r="AM40" i="127"/>
  <c r="J40" i="127"/>
  <c r="AV39" i="127"/>
  <c r="AU39" i="127"/>
  <c r="AS39" i="127"/>
  <c r="AR39" i="127"/>
  <c r="AQ39" i="127"/>
  <c r="AP39" i="127"/>
  <c r="AO39" i="127"/>
  <c r="AN39" i="127"/>
  <c r="AM39" i="127"/>
  <c r="J39" i="127"/>
  <c r="AV38" i="127"/>
  <c r="AU38" i="127"/>
  <c r="AS38" i="127"/>
  <c r="AR38" i="127"/>
  <c r="AQ38" i="127"/>
  <c r="AP38" i="127"/>
  <c r="AO38" i="127"/>
  <c r="AN38" i="127"/>
  <c r="AM38" i="127"/>
  <c r="J38" i="127"/>
  <c r="AV37" i="127"/>
  <c r="AU37" i="127"/>
  <c r="AS37" i="127"/>
  <c r="AR37" i="127"/>
  <c r="AQ37" i="127"/>
  <c r="AP37" i="127"/>
  <c r="AO37" i="127"/>
  <c r="AN37" i="127"/>
  <c r="AM37" i="127"/>
  <c r="J37" i="127"/>
  <c r="AV36" i="127"/>
  <c r="AU36" i="127"/>
  <c r="AS36" i="127"/>
  <c r="AR36" i="127"/>
  <c r="AQ36" i="127"/>
  <c r="AP36" i="127"/>
  <c r="AO36" i="127"/>
  <c r="AN36" i="127"/>
  <c r="AM36" i="127"/>
  <c r="J36" i="127"/>
  <c r="AV35" i="127"/>
  <c r="AU35" i="127"/>
  <c r="AS35" i="127"/>
  <c r="AR35" i="127"/>
  <c r="AQ35" i="127"/>
  <c r="AP35" i="127"/>
  <c r="AO35" i="127"/>
  <c r="AN35" i="127"/>
  <c r="AM35" i="127"/>
  <c r="J35" i="127"/>
  <c r="AV34" i="127"/>
  <c r="AU34" i="127"/>
  <c r="AS34" i="127"/>
  <c r="AR34" i="127"/>
  <c r="AQ34" i="127"/>
  <c r="AP34" i="127"/>
  <c r="AO34" i="127"/>
  <c r="AN34" i="127"/>
  <c r="AM34" i="127"/>
  <c r="J34" i="127"/>
  <c r="AV33" i="127"/>
  <c r="AU33" i="127"/>
  <c r="AS33" i="127"/>
  <c r="AR33" i="127"/>
  <c r="AQ33" i="127"/>
  <c r="AP33" i="127"/>
  <c r="AO33" i="127"/>
  <c r="AN33" i="127"/>
  <c r="AM33" i="127"/>
  <c r="J33" i="127"/>
  <c r="AV32" i="127"/>
  <c r="AU32" i="127"/>
  <c r="AS32" i="127"/>
  <c r="AR32" i="127"/>
  <c r="AQ32" i="127"/>
  <c r="AP32" i="127"/>
  <c r="AO32" i="127"/>
  <c r="AN32" i="127"/>
  <c r="AM32" i="127"/>
  <c r="J32" i="127"/>
  <c r="AV31" i="127"/>
  <c r="AU31" i="127"/>
  <c r="AS31" i="127"/>
  <c r="AR31" i="127"/>
  <c r="AQ31" i="127"/>
  <c r="AP31" i="127"/>
  <c r="AO31" i="127"/>
  <c r="AN31" i="127"/>
  <c r="AM31" i="127"/>
  <c r="J31" i="127"/>
  <c r="AV30" i="127"/>
  <c r="AU30" i="127"/>
  <c r="AS30" i="127"/>
  <c r="AR30" i="127"/>
  <c r="AQ30" i="127"/>
  <c r="AP30" i="127"/>
  <c r="AO30" i="127"/>
  <c r="AN30" i="127"/>
  <c r="AM30" i="127"/>
  <c r="J30" i="127"/>
  <c r="AV29" i="127"/>
  <c r="AU29" i="127"/>
  <c r="AS29" i="127"/>
  <c r="AR29" i="127"/>
  <c r="AQ29" i="127"/>
  <c r="AP29" i="127"/>
  <c r="AO29" i="127"/>
  <c r="AN29" i="127"/>
  <c r="AM29" i="127"/>
  <c r="J29" i="127"/>
  <c r="AV28" i="127"/>
  <c r="AU28" i="127"/>
  <c r="AS28" i="127"/>
  <c r="AR28" i="127"/>
  <c r="AQ28" i="127"/>
  <c r="AP28" i="127"/>
  <c r="AO28" i="127"/>
  <c r="AN28" i="127"/>
  <c r="AM28" i="127"/>
  <c r="J28" i="127"/>
  <c r="AV27" i="127"/>
  <c r="AU27" i="127"/>
  <c r="AS27" i="127"/>
  <c r="AR27" i="127"/>
  <c r="AQ27" i="127"/>
  <c r="AP27" i="127"/>
  <c r="AO27" i="127"/>
  <c r="AN27" i="127"/>
  <c r="AM27" i="127"/>
  <c r="J27" i="127"/>
  <c r="AV26" i="127"/>
  <c r="AU26" i="127"/>
  <c r="AS26" i="127"/>
  <c r="AR26" i="127"/>
  <c r="AQ26" i="127"/>
  <c r="AP26" i="127"/>
  <c r="AO26" i="127"/>
  <c r="AN26" i="127"/>
  <c r="AM26" i="127"/>
  <c r="J26" i="127"/>
  <c r="AV25" i="127"/>
  <c r="AU25" i="127"/>
  <c r="AS25" i="127"/>
  <c r="AR25" i="127"/>
  <c r="AQ25" i="127"/>
  <c r="AP25" i="127"/>
  <c r="AO25" i="127"/>
  <c r="AN25" i="127"/>
  <c r="AM25" i="127"/>
  <c r="J25" i="127"/>
  <c r="AV24" i="127"/>
  <c r="AU24" i="127"/>
  <c r="AS24" i="127"/>
  <c r="AR24" i="127"/>
  <c r="AQ24" i="127"/>
  <c r="AU106" i="127" s="1"/>
  <c r="AP24" i="127"/>
  <c r="AO24" i="127"/>
  <c r="AN24" i="127"/>
  <c r="AM24" i="127"/>
  <c r="J24" i="127"/>
  <c r="AV23" i="127"/>
  <c r="AU23" i="127"/>
  <c r="AS23" i="127"/>
  <c r="AR23" i="127"/>
  <c r="AQ23" i="127"/>
  <c r="AP23" i="127"/>
  <c r="AO23" i="127"/>
  <c r="AN23" i="127"/>
  <c r="AM23" i="127"/>
  <c r="J23" i="127"/>
  <c r="AV22" i="127"/>
  <c r="AU22" i="127"/>
  <c r="AS22" i="127"/>
  <c r="AR22" i="127"/>
  <c r="AQ22" i="127"/>
  <c r="AP22" i="127"/>
  <c r="AO22" i="127"/>
  <c r="AN22" i="127"/>
  <c r="AM22" i="127"/>
  <c r="J22" i="127"/>
  <c r="AV21" i="127"/>
  <c r="AU21" i="127"/>
  <c r="AS21" i="127"/>
  <c r="AR21" i="127"/>
  <c r="AQ21" i="127"/>
  <c r="AP21" i="127"/>
  <c r="AO21" i="127"/>
  <c r="AN21" i="127"/>
  <c r="AM21" i="127"/>
  <c r="J21" i="127"/>
  <c r="AV20" i="127"/>
  <c r="AU20" i="127"/>
  <c r="AS20" i="127"/>
  <c r="AR20" i="127"/>
  <c r="AQ20" i="127"/>
  <c r="AP20" i="127"/>
  <c r="AO20" i="127"/>
  <c r="AN20" i="127"/>
  <c r="AM20" i="127"/>
  <c r="J20" i="127"/>
  <c r="AV19" i="127"/>
  <c r="AU19" i="127"/>
  <c r="AS19" i="127"/>
  <c r="AR19" i="127"/>
  <c r="AQ19" i="127"/>
  <c r="AP19" i="127"/>
  <c r="AO19" i="127"/>
  <c r="AN19" i="127"/>
  <c r="AM19" i="127"/>
  <c r="J19" i="127"/>
  <c r="AV18" i="127"/>
  <c r="AU18" i="127"/>
  <c r="AS18" i="127"/>
  <c r="AR18" i="127"/>
  <c r="AQ18" i="127"/>
  <c r="AP18" i="127"/>
  <c r="AO18" i="127"/>
  <c r="AN18" i="127"/>
  <c r="AM18" i="127"/>
  <c r="J18" i="127"/>
  <c r="AV17" i="127"/>
  <c r="AU17" i="127"/>
  <c r="AS17" i="127"/>
  <c r="AR17" i="127"/>
  <c r="AQ17" i="127"/>
  <c r="AP17" i="127"/>
  <c r="AO17" i="127"/>
  <c r="AN17" i="127"/>
  <c r="AM17" i="127"/>
  <c r="J17" i="127"/>
  <c r="AV16" i="127"/>
  <c r="AU16" i="127"/>
  <c r="AS16" i="127"/>
  <c r="AR16" i="127"/>
  <c r="AQ16" i="127"/>
  <c r="AP16" i="127"/>
  <c r="AO16" i="127"/>
  <c r="AN16" i="127"/>
  <c r="AM16" i="127"/>
  <c r="J16" i="127"/>
  <c r="AV15" i="127"/>
  <c r="AU15" i="127"/>
  <c r="AS15" i="127"/>
  <c r="AR15" i="127"/>
  <c r="AQ15" i="127"/>
  <c r="AP15" i="127"/>
  <c r="AO15" i="127"/>
  <c r="AN15" i="127"/>
  <c r="AM15" i="127"/>
  <c r="J15" i="127"/>
  <c r="AV14" i="127"/>
  <c r="AU14" i="127"/>
  <c r="AS14" i="127"/>
  <c r="AR14" i="127"/>
  <c r="AQ14" i="127"/>
  <c r="AP14" i="127"/>
  <c r="AO14" i="127"/>
  <c r="AN14" i="127"/>
  <c r="AM14" i="127"/>
  <c r="J14" i="127"/>
  <c r="AV13" i="127"/>
  <c r="AU13" i="127"/>
  <c r="AS13" i="127"/>
  <c r="AR13" i="127"/>
  <c r="AQ13" i="127"/>
  <c r="AP13" i="127"/>
  <c r="AO13" i="127"/>
  <c r="AN13" i="127"/>
  <c r="AM13" i="127"/>
  <c r="J13" i="127"/>
  <c r="AV12" i="127"/>
  <c r="AU12" i="127"/>
  <c r="AS12" i="127"/>
  <c r="AR12" i="127"/>
  <c r="AQ12" i="127"/>
  <c r="AP12" i="127"/>
  <c r="AO12" i="127"/>
  <c r="AN12" i="127"/>
  <c r="AM12" i="127"/>
  <c r="J12" i="127"/>
  <c r="AV11" i="127"/>
  <c r="AU11" i="127"/>
  <c r="AS11" i="127"/>
  <c r="AR11" i="127"/>
  <c r="AQ11" i="127"/>
  <c r="AP11" i="127"/>
  <c r="AO11" i="127"/>
  <c r="AN11" i="127"/>
  <c r="AM11" i="127"/>
  <c r="J11" i="127"/>
  <c r="AV10" i="127"/>
  <c r="AU10" i="127"/>
  <c r="AS10" i="127"/>
  <c r="AR10" i="127"/>
  <c r="AQ10" i="127"/>
  <c r="AP10" i="127"/>
  <c r="AO10" i="127"/>
  <c r="AN10" i="127"/>
  <c r="AM10" i="127"/>
  <c r="J10" i="127"/>
  <c r="AV9" i="127"/>
  <c r="AU9" i="127"/>
  <c r="AS9" i="127"/>
  <c r="AR9" i="127"/>
  <c r="AQ9" i="127"/>
  <c r="AP9" i="127"/>
  <c r="AO9" i="127"/>
  <c r="AN9" i="127"/>
  <c r="AM9" i="127"/>
  <c r="AV8" i="127"/>
  <c r="AU8" i="127"/>
  <c r="AS8" i="127"/>
  <c r="AR8" i="127"/>
  <c r="AQ8" i="127"/>
  <c r="AP8" i="127"/>
  <c r="AO8" i="127"/>
  <c r="AN8" i="127"/>
  <c r="AM8" i="127"/>
  <c r="J8" i="127"/>
  <c r="AU106" i="125"/>
  <c r="AT106" i="125"/>
  <c r="AS106" i="125"/>
  <c r="AR106" i="125"/>
  <c r="AQ106" i="125"/>
  <c r="AP106" i="125"/>
  <c r="AO106" i="125"/>
  <c r="J106" i="125"/>
  <c r="AU105" i="125"/>
  <c r="AT105" i="125"/>
  <c r="AS105" i="125"/>
  <c r="AR105" i="125"/>
  <c r="AQ105" i="125"/>
  <c r="AP105" i="125"/>
  <c r="AO105" i="125"/>
  <c r="J105" i="125"/>
  <c r="AX104" i="125"/>
  <c r="AW104" i="125"/>
  <c r="AU104" i="125"/>
  <c r="AT104" i="125"/>
  <c r="AS104" i="125"/>
  <c r="AR104" i="125"/>
  <c r="AQ104" i="125"/>
  <c r="AP104" i="125"/>
  <c r="AO104" i="125"/>
  <c r="J104" i="125"/>
  <c r="AX103" i="125"/>
  <c r="AW103" i="125"/>
  <c r="AU103" i="125"/>
  <c r="AT103" i="125"/>
  <c r="AS103" i="125"/>
  <c r="AR103" i="125"/>
  <c r="AQ103" i="125"/>
  <c r="AP103" i="125"/>
  <c r="AO103" i="125"/>
  <c r="J103" i="125"/>
  <c r="AX102" i="125"/>
  <c r="AW102" i="125"/>
  <c r="AU102" i="125"/>
  <c r="AT102" i="125"/>
  <c r="AS102" i="125"/>
  <c r="AR102" i="125"/>
  <c r="AQ102" i="125"/>
  <c r="AP102" i="125"/>
  <c r="AO102" i="125"/>
  <c r="J102" i="125"/>
  <c r="AX101" i="125"/>
  <c r="AW101" i="125"/>
  <c r="AU101" i="125"/>
  <c r="AT101" i="125"/>
  <c r="AS101" i="125"/>
  <c r="AR101" i="125"/>
  <c r="AQ101" i="125"/>
  <c r="AP101" i="125"/>
  <c r="AO101" i="125"/>
  <c r="J101" i="125"/>
  <c r="AX100" i="125"/>
  <c r="AW100" i="125"/>
  <c r="AU100" i="125"/>
  <c r="AT100" i="125"/>
  <c r="AS100" i="125"/>
  <c r="AR100" i="125"/>
  <c r="AQ100" i="125"/>
  <c r="AP100" i="125"/>
  <c r="AO100" i="125"/>
  <c r="J100" i="125"/>
  <c r="AX99" i="125"/>
  <c r="AW99" i="125"/>
  <c r="AU99" i="125"/>
  <c r="AT99" i="125"/>
  <c r="AS99" i="125"/>
  <c r="AR99" i="125"/>
  <c r="AQ99" i="125"/>
  <c r="AP99" i="125"/>
  <c r="AO99" i="125"/>
  <c r="J99" i="125"/>
  <c r="AL82" i="125"/>
  <c r="AP80" i="125"/>
  <c r="AO80" i="125"/>
  <c r="J80" i="125"/>
  <c r="AP79" i="125"/>
  <c r="AO79" i="125"/>
  <c r="J79" i="125"/>
  <c r="AP78" i="125"/>
  <c r="AO78" i="125"/>
  <c r="J78" i="125"/>
  <c r="AX77" i="125"/>
  <c r="AW77" i="125"/>
  <c r="AU77" i="125"/>
  <c r="AT77" i="125"/>
  <c r="AS77" i="125"/>
  <c r="AR77" i="125"/>
  <c r="AQ77" i="125"/>
  <c r="AP77" i="125"/>
  <c r="AO77" i="125"/>
  <c r="J77" i="125"/>
  <c r="AX76" i="125"/>
  <c r="AW76" i="125"/>
  <c r="AU76" i="125"/>
  <c r="AT76" i="125"/>
  <c r="AS76" i="125"/>
  <c r="AR76" i="125"/>
  <c r="AQ76" i="125"/>
  <c r="AP76" i="125"/>
  <c r="AO76" i="125"/>
  <c r="J76" i="125"/>
  <c r="AX75" i="125"/>
  <c r="AW75" i="125"/>
  <c r="AU75" i="125"/>
  <c r="AT75" i="125"/>
  <c r="AS75" i="125"/>
  <c r="AR75" i="125"/>
  <c r="AQ75" i="125"/>
  <c r="AP75" i="125"/>
  <c r="AO75" i="125"/>
  <c r="J75" i="125"/>
  <c r="AX74" i="125"/>
  <c r="AW74" i="125"/>
  <c r="AU74" i="125"/>
  <c r="AT74" i="125"/>
  <c r="AS74" i="125"/>
  <c r="AR74" i="125"/>
  <c r="AQ74" i="125"/>
  <c r="AP74" i="125"/>
  <c r="AO74" i="125"/>
  <c r="J74" i="125"/>
  <c r="AX73" i="125"/>
  <c r="AW73" i="125"/>
  <c r="AU73" i="125"/>
  <c r="AT73" i="125"/>
  <c r="AS73" i="125"/>
  <c r="AR73" i="125"/>
  <c r="AQ73" i="125"/>
  <c r="AP73" i="125"/>
  <c r="AO73" i="125"/>
  <c r="J73" i="125"/>
  <c r="AX72" i="125"/>
  <c r="AW72" i="125"/>
  <c r="AU72" i="125"/>
  <c r="AT72" i="125"/>
  <c r="AS72" i="125"/>
  <c r="AR72" i="125"/>
  <c r="AQ72" i="125"/>
  <c r="AP72" i="125"/>
  <c r="AO72" i="125"/>
  <c r="J72" i="125"/>
  <c r="AX71" i="125"/>
  <c r="AW71" i="125"/>
  <c r="AU71" i="125"/>
  <c r="AT71" i="125"/>
  <c r="AS71" i="125"/>
  <c r="AR71" i="125"/>
  <c r="AQ71" i="125"/>
  <c r="AP71" i="125"/>
  <c r="AO71" i="125"/>
  <c r="J71" i="125"/>
  <c r="AX70" i="125"/>
  <c r="AW70" i="125"/>
  <c r="AU70" i="125"/>
  <c r="AT70" i="125"/>
  <c r="AS70" i="125"/>
  <c r="AR70" i="125"/>
  <c r="AQ70" i="125"/>
  <c r="AP70" i="125"/>
  <c r="AO70" i="125"/>
  <c r="J70" i="125"/>
  <c r="AX69" i="125"/>
  <c r="AW69" i="125"/>
  <c r="AU69" i="125"/>
  <c r="AT69" i="125"/>
  <c r="AS69" i="125"/>
  <c r="AR69" i="125"/>
  <c r="AQ69" i="125"/>
  <c r="AP69" i="125"/>
  <c r="AO69" i="125"/>
  <c r="J69" i="125"/>
  <c r="AX68" i="125"/>
  <c r="AW68" i="125"/>
  <c r="AU68" i="125"/>
  <c r="AT68" i="125"/>
  <c r="AS68" i="125"/>
  <c r="AR68" i="125"/>
  <c r="AQ68" i="125"/>
  <c r="AP68" i="125"/>
  <c r="AO68" i="125"/>
  <c r="J68" i="125"/>
  <c r="AX67" i="125"/>
  <c r="AW67" i="125"/>
  <c r="AU67" i="125"/>
  <c r="AT67" i="125"/>
  <c r="AS67" i="125"/>
  <c r="AR67" i="125"/>
  <c r="AQ67" i="125"/>
  <c r="AP67" i="125"/>
  <c r="AO67" i="125"/>
  <c r="J67" i="125"/>
  <c r="AX66" i="125"/>
  <c r="AW66" i="125"/>
  <c r="AU66" i="125"/>
  <c r="AT66" i="125"/>
  <c r="AS66" i="125"/>
  <c r="AR66" i="125"/>
  <c r="AQ66" i="125"/>
  <c r="AP66" i="125"/>
  <c r="AO66" i="125"/>
  <c r="J66" i="125"/>
  <c r="AP65" i="125"/>
  <c r="AO65" i="125"/>
  <c r="J65" i="125"/>
  <c r="AX64" i="125"/>
  <c r="AW64" i="125"/>
  <c r="AU64" i="125"/>
  <c r="AT64" i="125"/>
  <c r="AS64" i="125"/>
  <c r="AR64" i="125"/>
  <c r="AQ64" i="125"/>
  <c r="AP64" i="125"/>
  <c r="AO64" i="125"/>
  <c r="J64" i="125"/>
  <c r="AX63" i="125"/>
  <c r="AW63" i="125"/>
  <c r="AU63" i="125"/>
  <c r="AT63" i="125"/>
  <c r="AS63" i="125"/>
  <c r="AR63" i="125"/>
  <c r="AQ63" i="125"/>
  <c r="AP63" i="125"/>
  <c r="AO63" i="125"/>
  <c r="J63" i="125"/>
  <c r="AX62" i="125"/>
  <c r="AW62" i="125"/>
  <c r="AU62" i="125"/>
  <c r="AT62" i="125"/>
  <c r="AS62" i="125"/>
  <c r="AR62" i="125"/>
  <c r="AQ62" i="125"/>
  <c r="AP62" i="125"/>
  <c r="AO62" i="125"/>
  <c r="J62" i="125"/>
  <c r="AX61" i="125"/>
  <c r="AW61" i="125"/>
  <c r="AU61" i="125"/>
  <c r="AT61" i="125"/>
  <c r="AS61" i="125"/>
  <c r="AR61" i="125"/>
  <c r="AQ61" i="125"/>
  <c r="AP61" i="125"/>
  <c r="AO61" i="125"/>
  <c r="J61" i="125"/>
  <c r="AX60" i="125"/>
  <c r="AW60" i="125"/>
  <c r="AU60" i="125"/>
  <c r="AT60" i="125"/>
  <c r="AS60" i="125"/>
  <c r="AR60" i="125"/>
  <c r="AQ60" i="125"/>
  <c r="AP60" i="125"/>
  <c r="AO60" i="125"/>
  <c r="J60" i="125"/>
  <c r="AX59" i="125"/>
  <c r="AW59" i="125"/>
  <c r="AU59" i="125"/>
  <c r="AT59" i="125"/>
  <c r="AS59" i="125"/>
  <c r="AR59" i="125"/>
  <c r="AQ59" i="125"/>
  <c r="AP59" i="125"/>
  <c r="AO59" i="125"/>
  <c r="J59" i="125"/>
  <c r="AX58" i="125"/>
  <c r="AW58" i="125"/>
  <c r="AU58" i="125"/>
  <c r="AT58" i="125"/>
  <c r="AS58" i="125"/>
  <c r="AR58" i="125"/>
  <c r="AQ58" i="125"/>
  <c r="AP58" i="125"/>
  <c r="AO58" i="125"/>
  <c r="J58" i="125"/>
  <c r="AX57" i="125"/>
  <c r="AW57" i="125"/>
  <c r="AU57" i="125"/>
  <c r="AT57" i="125"/>
  <c r="AS57" i="125"/>
  <c r="AR57" i="125"/>
  <c r="AQ57" i="125"/>
  <c r="AP57" i="125"/>
  <c r="AO57" i="125"/>
  <c r="J57" i="125"/>
  <c r="AX56" i="125"/>
  <c r="AW56" i="125"/>
  <c r="AU56" i="125"/>
  <c r="AT56" i="125"/>
  <c r="AS56" i="125"/>
  <c r="AR56" i="125"/>
  <c r="AQ56" i="125"/>
  <c r="AP56" i="125"/>
  <c r="AO56" i="125"/>
  <c r="J56" i="125"/>
  <c r="AX55" i="125"/>
  <c r="AW55" i="125"/>
  <c r="AU55" i="125"/>
  <c r="AT55" i="125"/>
  <c r="AS55" i="125"/>
  <c r="AR55" i="125"/>
  <c r="AQ55" i="125"/>
  <c r="AP55" i="125"/>
  <c r="AO55" i="125"/>
  <c r="J55" i="125"/>
  <c r="X44" i="125"/>
  <c r="F44" i="125"/>
  <c r="F82" i="125" s="1"/>
  <c r="AX43" i="125"/>
  <c r="AW43" i="125"/>
  <c r="AU43" i="125"/>
  <c r="AT43" i="125"/>
  <c r="AS43" i="125"/>
  <c r="AR43" i="125"/>
  <c r="AQ43" i="125"/>
  <c r="AP43" i="125"/>
  <c r="AO43" i="125"/>
  <c r="J43" i="125"/>
  <c r="AX42" i="125"/>
  <c r="AW42" i="125"/>
  <c r="AU42" i="125"/>
  <c r="AT42" i="125"/>
  <c r="AS42" i="125"/>
  <c r="AR42" i="125"/>
  <c r="AQ42" i="125"/>
  <c r="AP42" i="125"/>
  <c r="AO42" i="125"/>
  <c r="J42" i="125"/>
  <c r="AX41" i="125"/>
  <c r="AW41" i="125"/>
  <c r="AU41" i="125"/>
  <c r="AT41" i="125"/>
  <c r="AS41" i="125"/>
  <c r="AR41" i="125"/>
  <c r="AQ41" i="125"/>
  <c r="AP41" i="125"/>
  <c r="AO41" i="125"/>
  <c r="J41" i="125"/>
  <c r="AX40" i="125"/>
  <c r="AW40" i="125"/>
  <c r="AU40" i="125"/>
  <c r="AT40" i="125"/>
  <c r="AS40" i="125"/>
  <c r="AR40" i="125"/>
  <c r="AQ40" i="125"/>
  <c r="AP40" i="125"/>
  <c r="AO40" i="125"/>
  <c r="J40" i="125"/>
  <c r="AX39" i="125"/>
  <c r="AW39" i="125"/>
  <c r="AU39" i="125"/>
  <c r="AT39" i="125"/>
  <c r="AS39" i="125"/>
  <c r="AR39" i="125"/>
  <c r="AQ39" i="125"/>
  <c r="AP39" i="125"/>
  <c r="AO39" i="125"/>
  <c r="J39" i="125"/>
  <c r="AX38" i="125"/>
  <c r="AW38" i="125"/>
  <c r="AU38" i="125"/>
  <c r="AT38" i="125"/>
  <c r="AS38" i="125"/>
  <c r="AR38" i="125"/>
  <c r="AQ38" i="125"/>
  <c r="AP38" i="125"/>
  <c r="AO38" i="125"/>
  <c r="J38" i="125"/>
  <c r="AX37" i="125"/>
  <c r="AW37" i="125"/>
  <c r="AU37" i="125"/>
  <c r="AT37" i="125"/>
  <c r="AS37" i="125"/>
  <c r="AR37" i="125"/>
  <c r="AQ37" i="125"/>
  <c r="AP37" i="125"/>
  <c r="AO37" i="125"/>
  <c r="J37" i="125"/>
  <c r="AX36" i="125"/>
  <c r="AW36" i="125"/>
  <c r="AU36" i="125"/>
  <c r="AT36" i="125"/>
  <c r="AS36" i="125"/>
  <c r="AR36" i="125"/>
  <c r="AQ36" i="125"/>
  <c r="AP36" i="125"/>
  <c r="AO36" i="125"/>
  <c r="J36" i="125"/>
  <c r="AX35" i="125"/>
  <c r="AW35" i="125"/>
  <c r="AU35" i="125"/>
  <c r="AT35" i="125"/>
  <c r="AS35" i="125"/>
  <c r="AR35" i="125"/>
  <c r="AQ35" i="125"/>
  <c r="AP35" i="125"/>
  <c r="AO35" i="125"/>
  <c r="J35" i="125"/>
  <c r="AX34" i="125"/>
  <c r="AW34" i="125"/>
  <c r="AU34" i="125"/>
  <c r="AT34" i="125"/>
  <c r="AS34" i="125"/>
  <c r="AR34" i="125"/>
  <c r="AQ34" i="125"/>
  <c r="AP34" i="125"/>
  <c r="AO34" i="125"/>
  <c r="J34" i="125"/>
  <c r="AX33" i="125"/>
  <c r="AW33" i="125"/>
  <c r="AU33" i="125"/>
  <c r="AT33" i="125"/>
  <c r="AS33" i="125"/>
  <c r="AR33" i="125"/>
  <c r="AQ33" i="125"/>
  <c r="AP33" i="125"/>
  <c r="AO33" i="125"/>
  <c r="J33" i="125"/>
  <c r="AX32" i="125"/>
  <c r="AW32" i="125"/>
  <c r="AU32" i="125"/>
  <c r="AT32" i="125"/>
  <c r="AS32" i="125"/>
  <c r="AR32" i="125"/>
  <c r="AQ32" i="125"/>
  <c r="AP32" i="125"/>
  <c r="AO32" i="125"/>
  <c r="J32" i="125"/>
  <c r="AX31" i="125"/>
  <c r="AW31" i="125"/>
  <c r="AU31" i="125"/>
  <c r="AT31" i="125"/>
  <c r="AS31" i="125"/>
  <c r="AR31" i="125"/>
  <c r="AQ31" i="125"/>
  <c r="AP31" i="125"/>
  <c r="AO31" i="125"/>
  <c r="J31" i="125"/>
  <c r="AX30" i="125"/>
  <c r="AW30" i="125"/>
  <c r="AU30" i="125"/>
  <c r="AT30" i="125"/>
  <c r="AS30" i="125"/>
  <c r="AR30" i="125"/>
  <c r="AQ30" i="125"/>
  <c r="AP30" i="125"/>
  <c r="AO30" i="125"/>
  <c r="J30" i="125"/>
  <c r="AX29" i="125"/>
  <c r="AW29" i="125"/>
  <c r="AU29" i="125"/>
  <c r="AT29" i="125"/>
  <c r="AS29" i="125"/>
  <c r="AR29" i="125"/>
  <c r="AQ29" i="125"/>
  <c r="AP29" i="125"/>
  <c r="AO29" i="125"/>
  <c r="J29" i="125"/>
  <c r="AX28" i="125"/>
  <c r="AW28" i="125"/>
  <c r="AU28" i="125"/>
  <c r="AT28" i="125"/>
  <c r="AS28" i="125"/>
  <c r="AR28" i="125"/>
  <c r="AQ28" i="125"/>
  <c r="AP28" i="125"/>
  <c r="AO28" i="125"/>
  <c r="J28" i="125"/>
  <c r="AX27" i="125"/>
  <c r="AW27" i="125"/>
  <c r="AU27" i="125"/>
  <c r="AT27" i="125"/>
  <c r="AS27" i="125"/>
  <c r="AR27" i="125"/>
  <c r="AQ27" i="125"/>
  <c r="AP27" i="125"/>
  <c r="AO27" i="125"/>
  <c r="J27" i="125"/>
  <c r="AX26" i="125"/>
  <c r="AW26" i="125"/>
  <c r="AU26" i="125"/>
  <c r="AT26" i="125"/>
  <c r="AS26" i="125"/>
  <c r="AR26" i="125"/>
  <c r="AQ26" i="125"/>
  <c r="AP26" i="125"/>
  <c r="AO26" i="125"/>
  <c r="J26" i="125"/>
  <c r="AX25" i="125"/>
  <c r="AW25" i="125"/>
  <c r="AU25" i="125"/>
  <c r="AT25" i="125"/>
  <c r="AS25" i="125"/>
  <c r="AX107" i="125" s="1"/>
  <c r="AR25" i="125"/>
  <c r="AQ25" i="125"/>
  <c r="AP25" i="125"/>
  <c r="AO25" i="125"/>
  <c r="J25" i="125"/>
  <c r="AX24" i="125"/>
  <c r="AW24" i="125"/>
  <c r="AU24" i="125"/>
  <c r="AT24" i="125"/>
  <c r="AS24" i="125"/>
  <c r="AR24" i="125"/>
  <c r="AQ24" i="125"/>
  <c r="AP24" i="125"/>
  <c r="AO24" i="125"/>
  <c r="J24" i="125"/>
  <c r="AX23" i="125"/>
  <c r="AW23" i="125"/>
  <c r="AU23" i="125"/>
  <c r="AT23" i="125"/>
  <c r="AS23" i="125"/>
  <c r="AR23" i="125"/>
  <c r="AQ23" i="125"/>
  <c r="AP23" i="125"/>
  <c r="AO23" i="125"/>
  <c r="J23" i="125"/>
  <c r="AX22" i="125"/>
  <c r="AW22" i="125"/>
  <c r="AU22" i="125"/>
  <c r="AT22" i="125"/>
  <c r="AS22" i="125"/>
  <c r="AR22" i="125"/>
  <c r="AQ22" i="125"/>
  <c r="AP22" i="125"/>
  <c r="AO22" i="125"/>
  <c r="J22" i="125"/>
  <c r="AX21" i="125"/>
  <c r="AW21" i="125"/>
  <c r="AU21" i="125"/>
  <c r="AT21" i="125"/>
  <c r="AS21" i="125"/>
  <c r="AR21" i="125"/>
  <c r="AQ21" i="125"/>
  <c r="AP21" i="125"/>
  <c r="AO21" i="125"/>
  <c r="J21" i="125"/>
  <c r="AX20" i="125"/>
  <c r="AW20" i="125"/>
  <c r="AU20" i="125"/>
  <c r="AT20" i="125"/>
  <c r="AS20" i="125"/>
  <c r="AR20" i="125"/>
  <c r="AQ20" i="125"/>
  <c r="AP20" i="125"/>
  <c r="AO20" i="125"/>
  <c r="J20" i="125"/>
  <c r="AX19" i="125"/>
  <c r="AW19" i="125"/>
  <c r="AU19" i="125"/>
  <c r="AT19" i="125"/>
  <c r="AS19" i="125"/>
  <c r="AR19" i="125"/>
  <c r="AQ19" i="125"/>
  <c r="AP19" i="125"/>
  <c r="AO19" i="125"/>
  <c r="J19" i="125"/>
  <c r="AX18" i="125"/>
  <c r="AW18" i="125"/>
  <c r="AU18" i="125"/>
  <c r="AT18" i="125"/>
  <c r="AS18" i="125"/>
  <c r="AR18" i="125"/>
  <c r="AQ18" i="125"/>
  <c r="AP18" i="125"/>
  <c r="AO18" i="125"/>
  <c r="J18" i="125"/>
  <c r="AX17" i="125"/>
  <c r="AW17" i="125"/>
  <c r="AU17" i="125"/>
  <c r="AT17" i="125"/>
  <c r="AS17" i="125"/>
  <c r="AR17" i="125"/>
  <c r="AQ17" i="125"/>
  <c r="AP17" i="125"/>
  <c r="AO17" i="125"/>
  <c r="J17" i="125"/>
  <c r="AX16" i="125"/>
  <c r="AW16" i="125"/>
  <c r="AU16" i="125"/>
  <c r="AT16" i="125"/>
  <c r="AS16" i="125"/>
  <c r="AR16" i="125"/>
  <c r="AQ16" i="125"/>
  <c r="AP16" i="125"/>
  <c r="AO16" i="125"/>
  <c r="J16" i="125"/>
  <c r="AX15" i="125"/>
  <c r="AW15" i="125"/>
  <c r="AU15" i="125"/>
  <c r="AT15" i="125"/>
  <c r="AS15" i="125"/>
  <c r="AR15" i="125"/>
  <c r="AQ15" i="125"/>
  <c r="AP15" i="125"/>
  <c r="AO15" i="125"/>
  <c r="J15" i="125"/>
  <c r="AX14" i="125"/>
  <c r="AW14" i="125"/>
  <c r="AU14" i="125"/>
  <c r="AT14" i="125"/>
  <c r="AS14" i="125"/>
  <c r="AR14" i="125"/>
  <c r="AQ14" i="125"/>
  <c r="AP14" i="125"/>
  <c r="AO14" i="125"/>
  <c r="J14" i="125"/>
  <c r="AX13" i="125"/>
  <c r="AW13" i="125"/>
  <c r="AU13" i="125"/>
  <c r="AT13" i="125"/>
  <c r="AS13" i="125"/>
  <c r="AR13" i="125"/>
  <c r="AQ13" i="125"/>
  <c r="AP13" i="125"/>
  <c r="AO13" i="125"/>
  <c r="J13" i="125"/>
  <c r="AX12" i="125"/>
  <c r="AW12" i="125"/>
  <c r="AU12" i="125"/>
  <c r="AT12" i="125"/>
  <c r="AS12" i="125"/>
  <c r="AR12" i="125"/>
  <c r="AQ12" i="125"/>
  <c r="AP12" i="125"/>
  <c r="AO12" i="125"/>
  <c r="J12" i="125"/>
  <c r="AW11" i="125"/>
  <c r="AU11" i="125"/>
  <c r="P44" i="125"/>
  <c r="AS11" i="125"/>
  <c r="AQ11" i="125"/>
  <c r="L44" i="125"/>
  <c r="J8" i="125"/>
  <c r="J10" i="125"/>
  <c r="AX10" i="125"/>
  <c r="AW10" i="125"/>
  <c r="AU10" i="125"/>
  <c r="AT10" i="125"/>
  <c r="AS10" i="125"/>
  <c r="AR10" i="125"/>
  <c r="AQ10" i="125"/>
  <c r="AP10" i="125"/>
  <c r="AO10" i="125"/>
  <c r="AX9" i="125"/>
  <c r="AW9" i="125"/>
  <c r="AU9" i="125"/>
  <c r="AT9" i="125"/>
  <c r="AS9" i="125"/>
  <c r="AR9" i="125"/>
  <c r="AQ9" i="125"/>
  <c r="AP9" i="125"/>
  <c r="AO9" i="125"/>
  <c r="AX8" i="125"/>
  <c r="AW8" i="125"/>
  <c r="AU8" i="125"/>
  <c r="AT8" i="125"/>
  <c r="AS8" i="125"/>
  <c r="AR8" i="125"/>
  <c r="AQ8" i="125"/>
  <c r="AP8" i="125"/>
  <c r="AO8" i="125"/>
  <c r="J8" i="124"/>
  <c r="J10" i="124"/>
  <c r="J11" i="124"/>
  <c r="J12" i="124"/>
  <c r="J13" i="124"/>
  <c r="J14" i="124"/>
  <c r="J15" i="124"/>
  <c r="J16" i="124"/>
  <c r="J17" i="124"/>
  <c r="J18" i="124"/>
  <c r="J19" i="124"/>
  <c r="J20" i="124"/>
  <c r="J21" i="124"/>
  <c r="J22" i="124"/>
  <c r="J23" i="124"/>
  <c r="J24" i="124"/>
  <c r="J25" i="124"/>
  <c r="J26" i="124"/>
  <c r="J27" i="124"/>
  <c r="J28" i="124"/>
  <c r="J29" i="124"/>
  <c r="J30" i="124"/>
  <c r="J31" i="124"/>
  <c r="J32" i="124"/>
  <c r="J33" i="124"/>
  <c r="J34" i="124"/>
  <c r="J35" i="124"/>
  <c r="J36" i="124"/>
  <c r="J37" i="124"/>
  <c r="I38" i="124"/>
  <c r="I70" i="124" s="1"/>
  <c r="J48" i="124"/>
  <c r="J49" i="124"/>
  <c r="J50" i="124"/>
  <c r="J51" i="124"/>
  <c r="J52" i="124"/>
  <c r="J53" i="124"/>
  <c r="J54" i="124"/>
  <c r="J55" i="124"/>
  <c r="J56" i="124"/>
  <c r="J57" i="124"/>
  <c r="J58" i="124"/>
  <c r="J59" i="124"/>
  <c r="J60" i="124"/>
  <c r="J61" i="124"/>
  <c r="J62" i="124"/>
  <c r="J63" i="124"/>
  <c r="J64" i="124"/>
  <c r="J65" i="124"/>
  <c r="J66" i="124"/>
  <c r="J67" i="124"/>
  <c r="J68" i="124"/>
  <c r="J87" i="124"/>
  <c r="J88" i="124"/>
  <c r="J89" i="124"/>
  <c r="J90" i="124"/>
  <c r="J91" i="124"/>
  <c r="J92" i="124"/>
  <c r="J93" i="124"/>
  <c r="J94" i="124"/>
  <c r="AW94" i="124"/>
  <c r="AU94" i="124"/>
  <c r="AT94" i="124"/>
  <c r="AS94" i="124"/>
  <c r="AR94" i="124"/>
  <c r="AQ94" i="124"/>
  <c r="AP94" i="124"/>
  <c r="AO94" i="124"/>
  <c r="AU93" i="124"/>
  <c r="AT93" i="124"/>
  <c r="AS93" i="124"/>
  <c r="AR93" i="124"/>
  <c r="AQ93" i="124"/>
  <c r="AP93" i="124"/>
  <c r="AO93" i="124"/>
  <c r="AX92" i="124"/>
  <c r="AW92" i="124"/>
  <c r="AU92" i="124"/>
  <c r="AT92" i="124"/>
  <c r="AS92" i="124"/>
  <c r="AR92" i="124"/>
  <c r="AQ92" i="124"/>
  <c r="AP92" i="124"/>
  <c r="AO92" i="124"/>
  <c r="AX91" i="124"/>
  <c r="AW91" i="124"/>
  <c r="AU91" i="124"/>
  <c r="AT91" i="124"/>
  <c r="AS91" i="124"/>
  <c r="AR91" i="124"/>
  <c r="AQ91" i="124"/>
  <c r="AP91" i="124"/>
  <c r="AO91" i="124"/>
  <c r="AX90" i="124"/>
  <c r="AW90" i="124"/>
  <c r="AU90" i="124"/>
  <c r="AT90" i="124"/>
  <c r="AS90" i="124"/>
  <c r="AR90" i="124"/>
  <c r="AQ90" i="124"/>
  <c r="AP90" i="124"/>
  <c r="AO90" i="124"/>
  <c r="AX89" i="124"/>
  <c r="AW89" i="124"/>
  <c r="AU89" i="124"/>
  <c r="AT89" i="124"/>
  <c r="AS89" i="124"/>
  <c r="AR89" i="124"/>
  <c r="AQ89" i="124"/>
  <c r="AP89" i="124"/>
  <c r="AO89" i="124"/>
  <c r="AX88" i="124"/>
  <c r="AW88" i="124"/>
  <c r="AU88" i="124"/>
  <c r="AT88" i="124"/>
  <c r="AS88" i="124"/>
  <c r="AR88" i="124"/>
  <c r="AQ88" i="124"/>
  <c r="AP88" i="124"/>
  <c r="AO88" i="124"/>
  <c r="AX87" i="124"/>
  <c r="AW87" i="124"/>
  <c r="AU87" i="124"/>
  <c r="AT87" i="124"/>
  <c r="AS87" i="124"/>
  <c r="AR87" i="124"/>
  <c r="AQ87" i="124"/>
  <c r="AP87" i="124"/>
  <c r="AO87" i="124"/>
  <c r="AL70" i="124"/>
  <c r="X38" i="124"/>
  <c r="X70" i="124" s="1"/>
  <c r="X84" i="124" s="1"/>
  <c r="X97" i="124" s="1"/>
  <c r="H38" i="124"/>
  <c r="H70" i="124" s="1"/>
  <c r="AP66" i="124"/>
  <c r="AO66" i="124"/>
  <c r="AX65" i="124"/>
  <c r="AW65" i="124"/>
  <c r="AU65" i="124"/>
  <c r="AT65" i="124"/>
  <c r="AS65" i="124"/>
  <c r="AR65" i="124"/>
  <c r="AQ65" i="124"/>
  <c r="AP65" i="124"/>
  <c r="AO65" i="124"/>
  <c r="AX64" i="124"/>
  <c r="AW64" i="124"/>
  <c r="AU64" i="124"/>
  <c r="AT64" i="124"/>
  <c r="AS64" i="124"/>
  <c r="AR64" i="124"/>
  <c r="AQ64" i="124"/>
  <c r="AP64" i="124"/>
  <c r="AO64" i="124"/>
  <c r="AX63" i="124"/>
  <c r="AW63" i="124"/>
  <c r="AU63" i="124"/>
  <c r="AT63" i="124"/>
  <c r="AS63" i="124"/>
  <c r="AR63" i="124"/>
  <c r="AQ63" i="124"/>
  <c r="AP63" i="124"/>
  <c r="AO63" i="124"/>
  <c r="AX62" i="124"/>
  <c r="AW62" i="124"/>
  <c r="AU62" i="124"/>
  <c r="AT62" i="124"/>
  <c r="AS62" i="124"/>
  <c r="AR62" i="124"/>
  <c r="AQ62" i="124"/>
  <c r="AP62" i="124"/>
  <c r="AO62" i="124"/>
  <c r="AX61" i="124"/>
  <c r="AW61" i="124"/>
  <c r="AU61" i="124"/>
  <c r="AT61" i="124"/>
  <c r="AS61" i="124"/>
  <c r="AR61" i="124"/>
  <c r="AQ61" i="124"/>
  <c r="AP61" i="124"/>
  <c r="AO61" i="124"/>
  <c r="AX60" i="124"/>
  <c r="AW60" i="124"/>
  <c r="AU60" i="124"/>
  <c r="AT60" i="124"/>
  <c r="AS60" i="124"/>
  <c r="AR60" i="124"/>
  <c r="AQ60" i="124"/>
  <c r="AP60" i="124"/>
  <c r="AO60" i="124"/>
  <c r="AX59" i="124"/>
  <c r="AW59" i="124"/>
  <c r="AU59" i="124"/>
  <c r="AT59" i="124"/>
  <c r="AS59" i="124"/>
  <c r="AR59" i="124"/>
  <c r="AQ59" i="124"/>
  <c r="AP59" i="124"/>
  <c r="AO59" i="124"/>
  <c r="AX58" i="124"/>
  <c r="AW58" i="124"/>
  <c r="AU58" i="124"/>
  <c r="AT58" i="124"/>
  <c r="AS58" i="124"/>
  <c r="AR58" i="124"/>
  <c r="AQ58" i="124"/>
  <c r="AP58" i="124"/>
  <c r="AO58" i="124"/>
  <c r="AX57" i="124"/>
  <c r="AW57" i="124"/>
  <c r="AU57" i="124"/>
  <c r="AT57" i="124"/>
  <c r="AS57" i="124"/>
  <c r="AR57" i="124"/>
  <c r="AQ57" i="124"/>
  <c r="AP57" i="124"/>
  <c r="AO57" i="124"/>
  <c r="AX56" i="124"/>
  <c r="AW56" i="124"/>
  <c r="AU56" i="124"/>
  <c r="AT56" i="124"/>
  <c r="AS56" i="124"/>
  <c r="AR56" i="124"/>
  <c r="AQ56" i="124"/>
  <c r="AP56" i="124"/>
  <c r="AO56" i="124"/>
  <c r="AX55" i="124"/>
  <c r="AW55" i="124"/>
  <c r="AU55" i="124"/>
  <c r="AT55" i="124"/>
  <c r="AS55" i="124"/>
  <c r="AR55" i="124"/>
  <c r="AQ55" i="124"/>
  <c r="AP55" i="124"/>
  <c r="AO55" i="124"/>
  <c r="AX54" i="124"/>
  <c r="AW54" i="124"/>
  <c r="AU54" i="124"/>
  <c r="AT54" i="124"/>
  <c r="AS54" i="124"/>
  <c r="AR54" i="124"/>
  <c r="AQ54" i="124"/>
  <c r="AP54" i="124"/>
  <c r="AO54" i="124"/>
  <c r="AX53" i="124"/>
  <c r="AW53" i="124"/>
  <c r="AU53" i="124"/>
  <c r="AT53" i="124"/>
  <c r="AS53" i="124"/>
  <c r="AR53" i="124"/>
  <c r="AQ53" i="124"/>
  <c r="AP53" i="124"/>
  <c r="AO53" i="124"/>
  <c r="AX52" i="124"/>
  <c r="AW52" i="124"/>
  <c r="AU52" i="124"/>
  <c r="AT52" i="124"/>
  <c r="AS52" i="124"/>
  <c r="AR52" i="124"/>
  <c r="AQ52" i="124"/>
  <c r="AP52" i="124"/>
  <c r="AO52" i="124"/>
  <c r="AX51" i="124"/>
  <c r="AW51" i="124"/>
  <c r="AU51" i="124"/>
  <c r="AT51" i="124"/>
  <c r="AS51" i="124"/>
  <c r="AR51" i="124"/>
  <c r="AQ51" i="124"/>
  <c r="AP51" i="124"/>
  <c r="AO51" i="124"/>
  <c r="AX50" i="124"/>
  <c r="AW50" i="124"/>
  <c r="AU50" i="124"/>
  <c r="AT50" i="124"/>
  <c r="AS50" i="124"/>
  <c r="AR50" i="124"/>
  <c r="AQ50" i="124"/>
  <c r="AP50" i="124"/>
  <c r="AO50" i="124"/>
  <c r="AX49" i="124"/>
  <c r="AW49" i="124"/>
  <c r="AU49" i="124"/>
  <c r="AT49" i="124"/>
  <c r="AS49" i="124"/>
  <c r="AR49" i="124"/>
  <c r="AQ49" i="124"/>
  <c r="AP49" i="124"/>
  <c r="AO49" i="124"/>
  <c r="AX48" i="124"/>
  <c r="AW48" i="124"/>
  <c r="AU48" i="124"/>
  <c r="AT48" i="124"/>
  <c r="AS48" i="124"/>
  <c r="AR48" i="124"/>
  <c r="AQ48" i="124"/>
  <c r="AP48" i="124"/>
  <c r="AO48" i="124"/>
  <c r="V38" i="124"/>
  <c r="V70" i="124" s="1"/>
  <c r="V84" i="124" s="1"/>
  <c r="V97" i="124" s="1"/>
  <c r="T38" i="124"/>
  <c r="T70" i="124" s="1"/>
  <c r="T84" i="124" s="1"/>
  <c r="T97" i="124" s="1"/>
  <c r="R38" i="124"/>
  <c r="R70" i="124" s="1"/>
  <c r="P38" i="124"/>
  <c r="P70" i="124" s="1"/>
  <c r="P84" i="124" s="1"/>
  <c r="P97" i="124" s="1"/>
  <c r="N38" i="124"/>
  <c r="N70" i="124" s="1"/>
  <c r="N84" i="124" s="1"/>
  <c r="N97" i="124" s="1"/>
  <c r="L38" i="124"/>
  <c r="L70" i="124" s="1"/>
  <c r="L84" i="124" s="1"/>
  <c r="L97" i="124" s="1"/>
  <c r="G38" i="124"/>
  <c r="G70" i="124" s="1"/>
  <c r="F38" i="124"/>
  <c r="F70" i="124" s="1"/>
  <c r="F84" i="124" s="1"/>
  <c r="F97" i="124" s="1"/>
  <c r="AS8" i="124"/>
  <c r="AW37" i="124" s="1"/>
  <c r="AP37" i="124"/>
  <c r="AO37" i="124"/>
  <c r="AX36" i="124"/>
  <c r="AW36" i="124"/>
  <c r="AU36" i="124"/>
  <c r="AT36" i="124"/>
  <c r="AS36" i="124"/>
  <c r="AR36" i="124"/>
  <c r="AQ36" i="124"/>
  <c r="AP36" i="124"/>
  <c r="AO36" i="124"/>
  <c r="AX35" i="124"/>
  <c r="AW35" i="124"/>
  <c r="AU35" i="124"/>
  <c r="AT35" i="124"/>
  <c r="AS35" i="124"/>
  <c r="AR35" i="124"/>
  <c r="AQ35" i="124"/>
  <c r="AP35" i="124"/>
  <c r="AO35" i="124"/>
  <c r="AX34" i="124"/>
  <c r="AW34" i="124"/>
  <c r="AU34" i="124"/>
  <c r="AT34" i="124"/>
  <c r="AS34" i="124"/>
  <c r="AR34" i="124"/>
  <c r="AQ34" i="124"/>
  <c r="AP34" i="124"/>
  <c r="AO34" i="124"/>
  <c r="AX33" i="124"/>
  <c r="AW33" i="124"/>
  <c r="AU33" i="124"/>
  <c r="AT33" i="124"/>
  <c r="AS33" i="124"/>
  <c r="AR33" i="124"/>
  <c r="AQ33" i="124"/>
  <c r="AP33" i="124"/>
  <c r="AO33" i="124"/>
  <c r="AX32" i="124"/>
  <c r="AW32" i="124"/>
  <c r="AU32" i="124"/>
  <c r="AT32" i="124"/>
  <c r="AS32" i="124"/>
  <c r="AR32" i="124"/>
  <c r="AQ32" i="124"/>
  <c r="AP32" i="124"/>
  <c r="AO32" i="124"/>
  <c r="AX31" i="124"/>
  <c r="AW31" i="124"/>
  <c r="AU31" i="124"/>
  <c r="AT31" i="124"/>
  <c r="AS31" i="124"/>
  <c r="AR31" i="124"/>
  <c r="AQ31" i="124"/>
  <c r="AP31" i="124"/>
  <c r="AO31" i="124"/>
  <c r="AX30" i="124"/>
  <c r="AW30" i="124"/>
  <c r="AU30" i="124"/>
  <c r="AT30" i="124"/>
  <c r="AS30" i="124"/>
  <c r="AR30" i="124"/>
  <c r="AQ30" i="124"/>
  <c r="AP30" i="124"/>
  <c r="AO30" i="124"/>
  <c r="AX29" i="124"/>
  <c r="AW29" i="124"/>
  <c r="AU29" i="124"/>
  <c r="AT29" i="124"/>
  <c r="AS29" i="124"/>
  <c r="AR29" i="124"/>
  <c r="AQ29" i="124"/>
  <c r="AP29" i="124"/>
  <c r="AO29" i="124"/>
  <c r="AX28" i="124"/>
  <c r="AW28" i="124"/>
  <c r="AU28" i="124"/>
  <c r="AT28" i="124"/>
  <c r="AS28" i="124"/>
  <c r="AR28" i="124"/>
  <c r="AQ28" i="124"/>
  <c r="AP28" i="124"/>
  <c r="AO28" i="124"/>
  <c r="AX27" i="124"/>
  <c r="AW27" i="124"/>
  <c r="AU27" i="124"/>
  <c r="AT27" i="124"/>
  <c r="AS27" i="124"/>
  <c r="AR27" i="124"/>
  <c r="AQ27" i="124"/>
  <c r="AP27" i="124"/>
  <c r="AO27" i="124"/>
  <c r="AX26" i="124"/>
  <c r="AW26" i="124"/>
  <c r="AU26" i="124"/>
  <c r="AT26" i="124"/>
  <c r="AS26" i="124"/>
  <c r="AR26" i="124"/>
  <c r="AQ26" i="124"/>
  <c r="AP26" i="124"/>
  <c r="AO26" i="124"/>
  <c r="AX25" i="124"/>
  <c r="AW25" i="124"/>
  <c r="AU25" i="124"/>
  <c r="AT25" i="124"/>
  <c r="AS25" i="124"/>
  <c r="AR25" i="124"/>
  <c r="AQ25" i="124"/>
  <c r="AP25" i="124"/>
  <c r="AO25" i="124"/>
  <c r="AX24" i="124"/>
  <c r="AW24" i="124"/>
  <c r="AU24" i="124"/>
  <c r="AT24" i="124"/>
  <c r="AS24" i="124"/>
  <c r="AR24" i="124"/>
  <c r="AQ24" i="124"/>
  <c r="AP24" i="124"/>
  <c r="AO24" i="124"/>
  <c r="AX23" i="124"/>
  <c r="AW23" i="124"/>
  <c r="AU23" i="124"/>
  <c r="AT23" i="124"/>
  <c r="AS23" i="124"/>
  <c r="AR23" i="124"/>
  <c r="AQ23" i="124"/>
  <c r="AP23" i="124"/>
  <c r="AO23" i="124"/>
  <c r="AX22" i="124"/>
  <c r="AW22" i="124"/>
  <c r="AU22" i="124"/>
  <c r="AT22" i="124"/>
  <c r="AS22" i="124"/>
  <c r="AR22" i="124"/>
  <c r="AQ22" i="124"/>
  <c r="AP22" i="124"/>
  <c r="AO22" i="124"/>
  <c r="AX21" i="124"/>
  <c r="AW21" i="124"/>
  <c r="AU21" i="124"/>
  <c r="AT21" i="124"/>
  <c r="AS21" i="124"/>
  <c r="AR21" i="124"/>
  <c r="AQ21" i="124"/>
  <c r="AP21" i="124"/>
  <c r="AO21" i="124"/>
  <c r="AX20" i="124"/>
  <c r="AW20" i="124"/>
  <c r="AU20" i="124"/>
  <c r="AT20" i="124"/>
  <c r="AS20" i="124"/>
  <c r="AR20" i="124"/>
  <c r="AQ20" i="124"/>
  <c r="AP20" i="124"/>
  <c r="AO20" i="124"/>
  <c r="AX19" i="124"/>
  <c r="AW19" i="124"/>
  <c r="AU19" i="124"/>
  <c r="AT19" i="124"/>
  <c r="AS19" i="124"/>
  <c r="AR19" i="124"/>
  <c r="AQ19" i="124"/>
  <c r="AP19" i="124"/>
  <c r="AO19" i="124"/>
  <c r="AX18" i="124"/>
  <c r="AW18" i="124"/>
  <c r="AU18" i="124"/>
  <c r="AT18" i="124"/>
  <c r="AS18" i="124"/>
  <c r="AR18" i="124"/>
  <c r="AQ18" i="124"/>
  <c r="AP18" i="124"/>
  <c r="AO18" i="124"/>
  <c r="AX17" i="124"/>
  <c r="AW17" i="124"/>
  <c r="AU17" i="124"/>
  <c r="AT17" i="124"/>
  <c r="AS17" i="124"/>
  <c r="AR17" i="124"/>
  <c r="AQ17" i="124"/>
  <c r="AP17" i="124"/>
  <c r="AO17" i="124"/>
  <c r="AX16" i="124"/>
  <c r="AW16" i="124"/>
  <c r="AU16" i="124"/>
  <c r="AT16" i="124"/>
  <c r="AS16" i="124"/>
  <c r="AR16" i="124"/>
  <c r="AQ16" i="124"/>
  <c r="AP16" i="124"/>
  <c r="AO16" i="124"/>
  <c r="AX15" i="124"/>
  <c r="AW15" i="124"/>
  <c r="AU15" i="124"/>
  <c r="AT15" i="124"/>
  <c r="AS15" i="124"/>
  <c r="AR15" i="124"/>
  <c r="AQ15" i="124"/>
  <c r="AP15" i="124"/>
  <c r="AO15" i="124"/>
  <c r="AX14" i="124"/>
  <c r="AW14" i="124"/>
  <c r="AU14" i="124"/>
  <c r="AT14" i="124"/>
  <c r="AS14" i="124"/>
  <c r="AR14" i="124"/>
  <c r="AQ14" i="124"/>
  <c r="AP14" i="124"/>
  <c r="AO14" i="124"/>
  <c r="AX13" i="124"/>
  <c r="AW13" i="124"/>
  <c r="AU13" i="124"/>
  <c r="AT13" i="124"/>
  <c r="AS13" i="124"/>
  <c r="AR13" i="124"/>
  <c r="AQ13" i="124"/>
  <c r="AP13" i="124"/>
  <c r="AO13" i="124"/>
  <c r="AX12" i="124"/>
  <c r="AW12" i="124"/>
  <c r="AU12" i="124"/>
  <c r="AT12" i="124"/>
  <c r="AS12" i="124"/>
  <c r="AR12" i="124"/>
  <c r="AQ12" i="124"/>
  <c r="AP12" i="124"/>
  <c r="AO12" i="124"/>
  <c r="AX11" i="124"/>
  <c r="AW11" i="124"/>
  <c r="AU11" i="124"/>
  <c r="AT11" i="124"/>
  <c r="AS11" i="124"/>
  <c r="AQ11" i="124"/>
  <c r="AP11" i="124"/>
  <c r="AO11" i="124"/>
  <c r="AX10" i="124"/>
  <c r="AW10" i="124"/>
  <c r="AU10" i="124"/>
  <c r="AT10" i="124"/>
  <c r="AS10" i="124"/>
  <c r="AR10" i="124"/>
  <c r="AQ10" i="124"/>
  <c r="AP10" i="124"/>
  <c r="AO10" i="124"/>
  <c r="AX9" i="124"/>
  <c r="AW9" i="124"/>
  <c r="AU9" i="124"/>
  <c r="AT9" i="124"/>
  <c r="AS9" i="124"/>
  <c r="AR9" i="124"/>
  <c r="AQ9" i="124"/>
  <c r="AP9" i="124"/>
  <c r="AO9" i="124"/>
  <c r="AX8" i="124"/>
  <c r="AW8" i="124"/>
  <c r="AU8" i="124"/>
  <c r="AT8" i="124"/>
  <c r="AR8" i="124"/>
  <c r="AQ8" i="124"/>
  <c r="AP8" i="124"/>
  <c r="AO8" i="124"/>
  <c r="AX87" i="123"/>
  <c r="AW87" i="123"/>
  <c r="AU87" i="123"/>
  <c r="AT87" i="123"/>
  <c r="AS87" i="123"/>
  <c r="AR87" i="123"/>
  <c r="AQ87" i="123"/>
  <c r="AP87" i="123"/>
  <c r="AO87" i="123"/>
  <c r="J87" i="123"/>
  <c r="AX86" i="123"/>
  <c r="AW86" i="123"/>
  <c r="AU86" i="123"/>
  <c r="AT86" i="123"/>
  <c r="AS86" i="123"/>
  <c r="AR86" i="123"/>
  <c r="AQ86" i="123"/>
  <c r="AP86" i="123"/>
  <c r="AO86" i="123"/>
  <c r="J86" i="123"/>
  <c r="AX85" i="123"/>
  <c r="AW85" i="123"/>
  <c r="AU85" i="123"/>
  <c r="AT85" i="123"/>
  <c r="AS85" i="123"/>
  <c r="AR85" i="123"/>
  <c r="AQ85" i="123"/>
  <c r="AP85" i="123"/>
  <c r="AO85" i="123"/>
  <c r="J85" i="123"/>
  <c r="AX84" i="123"/>
  <c r="AW84" i="123"/>
  <c r="AU84" i="123"/>
  <c r="AT84" i="123"/>
  <c r="AS84" i="123"/>
  <c r="AR84" i="123"/>
  <c r="AQ84" i="123"/>
  <c r="AP84" i="123"/>
  <c r="AO84" i="123"/>
  <c r="J84" i="123"/>
  <c r="AX83" i="123"/>
  <c r="AW83" i="123"/>
  <c r="AU83" i="123"/>
  <c r="AT83" i="123"/>
  <c r="AS83" i="123"/>
  <c r="AR83" i="123"/>
  <c r="AQ83" i="123"/>
  <c r="AP83" i="123"/>
  <c r="AO83" i="123"/>
  <c r="J83" i="123"/>
  <c r="AX82" i="123"/>
  <c r="AW82" i="123"/>
  <c r="AU82" i="123"/>
  <c r="AT82" i="123"/>
  <c r="AS82" i="123"/>
  <c r="AR82" i="123"/>
  <c r="AQ82" i="123"/>
  <c r="AP82" i="123"/>
  <c r="AO82" i="123"/>
  <c r="J82" i="123"/>
  <c r="AX81" i="123"/>
  <c r="AW81" i="123"/>
  <c r="AU81" i="123"/>
  <c r="AT81" i="123"/>
  <c r="AS81" i="123"/>
  <c r="AR81" i="123"/>
  <c r="AQ81" i="123"/>
  <c r="AP81" i="123"/>
  <c r="AO81" i="123"/>
  <c r="J81" i="123"/>
  <c r="AX80" i="123"/>
  <c r="AW80" i="123"/>
  <c r="AU80" i="123"/>
  <c r="AT80" i="123"/>
  <c r="AS80" i="123"/>
  <c r="AR80" i="123"/>
  <c r="AQ80" i="123"/>
  <c r="AP80" i="123"/>
  <c r="AO80" i="123"/>
  <c r="J80" i="123"/>
  <c r="J61" i="123"/>
  <c r="J60" i="123"/>
  <c r="AP59" i="123"/>
  <c r="AO59" i="123"/>
  <c r="J59" i="123"/>
  <c r="AX58" i="123"/>
  <c r="AW58" i="123"/>
  <c r="AU58" i="123"/>
  <c r="AT58" i="123"/>
  <c r="AS58" i="123"/>
  <c r="AR58" i="123"/>
  <c r="AQ58" i="123"/>
  <c r="AP58" i="123"/>
  <c r="AO58" i="123"/>
  <c r="J58" i="123"/>
  <c r="AX57" i="123"/>
  <c r="AW57" i="123"/>
  <c r="AU57" i="123"/>
  <c r="AT57" i="123"/>
  <c r="AS57" i="123"/>
  <c r="AR57" i="123"/>
  <c r="AQ57" i="123"/>
  <c r="AP57" i="123"/>
  <c r="AO57" i="123"/>
  <c r="J57" i="123"/>
  <c r="AX56" i="123"/>
  <c r="AW56" i="123"/>
  <c r="AU56" i="123"/>
  <c r="AT56" i="123"/>
  <c r="AS56" i="123"/>
  <c r="AR56" i="123"/>
  <c r="AQ56" i="123"/>
  <c r="AP56" i="123"/>
  <c r="AO56" i="123"/>
  <c r="J56" i="123"/>
  <c r="AS8" i="123"/>
  <c r="AX55" i="123" s="1"/>
  <c r="AW55" i="123"/>
  <c r="AS55" i="123"/>
  <c r="AR55" i="123"/>
  <c r="AQ55" i="123"/>
  <c r="AP55" i="123"/>
  <c r="AO55" i="123"/>
  <c r="J55" i="123"/>
  <c r="AX54" i="123"/>
  <c r="AW54" i="123"/>
  <c r="AU54" i="123"/>
  <c r="AT54" i="123"/>
  <c r="AS54" i="123"/>
  <c r="AR54" i="123"/>
  <c r="AQ54" i="123"/>
  <c r="AP54" i="123"/>
  <c r="AO54" i="123"/>
  <c r="J54" i="123"/>
  <c r="AX53" i="123"/>
  <c r="AW53" i="123"/>
  <c r="AU53" i="123"/>
  <c r="AT53" i="123"/>
  <c r="AS53" i="123"/>
  <c r="AR53" i="123"/>
  <c r="AQ53" i="123"/>
  <c r="AP53" i="123"/>
  <c r="AO53" i="123"/>
  <c r="J53" i="123"/>
  <c r="AX52" i="123"/>
  <c r="AW52" i="123"/>
  <c r="AU52" i="123"/>
  <c r="AT52" i="123"/>
  <c r="AS52" i="123"/>
  <c r="AR52" i="123"/>
  <c r="AQ52" i="123"/>
  <c r="AP52" i="123"/>
  <c r="AO52" i="123"/>
  <c r="J52" i="123"/>
  <c r="AX51" i="123"/>
  <c r="AW51" i="123"/>
  <c r="AU51" i="123"/>
  <c r="AT51" i="123"/>
  <c r="AS51" i="123"/>
  <c r="AR51" i="123"/>
  <c r="AQ51" i="123"/>
  <c r="AP51" i="123"/>
  <c r="AO51" i="123"/>
  <c r="J51" i="123"/>
  <c r="AX50" i="123"/>
  <c r="AW50" i="123"/>
  <c r="AU50" i="123"/>
  <c r="AT50" i="123"/>
  <c r="AS50" i="123"/>
  <c r="AR50" i="123"/>
  <c r="AQ50" i="123"/>
  <c r="AP50" i="123"/>
  <c r="AO50" i="123"/>
  <c r="J50" i="123"/>
  <c r="AX49" i="123"/>
  <c r="AW49" i="123"/>
  <c r="AU49" i="123"/>
  <c r="AT49" i="123"/>
  <c r="AS49" i="123"/>
  <c r="AR49" i="123"/>
  <c r="AQ49" i="123"/>
  <c r="AP49" i="123"/>
  <c r="AO49" i="123"/>
  <c r="J49" i="123"/>
  <c r="AX48" i="123"/>
  <c r="AW48" i="123"/>
  <c r="AU48" i="123"/>
  <c r="AT48" i="123"/>
  <c r="AS48" i="123"/>
  <c r="AR48" i="123"/>
  <c r="AQ48" i="123"/>
  <c r="AP48" i="123"/>
  <c r="AO48" i="123"/>
  <c r="J48" i="123"/>
  <c r="AX47" i="123"/>
  <c r="AW47" i="123"/>
  <c r="AU47" i="123"/>
  <c r="AT47" i="123"/>
  <c r="AS47" i="123"/>
  <c r="AR47" i="123"/>
  <c r="AQ47" i="123"/>
  <c r="AP47" i="123"/>
  <c r="AO47" i="123"/>
  <c r="J47" i="123"/>
  <c r="AX46" i="123"/>
  <c r="AW46" i="123"/>
  <c r="AU46" i="123"/>
  <c r="AT46" i="123"/>
  <c r="AS46" i="123"/>
  <c r="AR46" i="123"/>
  <c r="AQ46" i="123"/>
  <c r="AP46" i="123"/>
  <c r="AO46" i="123"/>
  <c r="J46" i="123"/>
  <c r="AX45" i="123"/>
  <c r="AW45" i="123"/>
  <c r="AU45" i="123"/>
  <c r="AT45" i="123"/>
  <c r="AS45" i="123"/>
  <c r="AR45" i="123"/>
  <c r="AQ45" i="123"/>
  <c r="AP45" i="123"/>
  <c r="AO45" i="123"/>
  <c r="J45" i="123"/>
  <c r="AX31" i="123"/>
  <c r="AW31" i="123"/>
  <c r="AU31" i="123"/>
  <c r="AT31" i="123"/>
  <c r="AS31" i="123"/>
  <c r="AR31" i="123"/>
  <c r="AQ31" i="123"/>
  <c r="AP31" i="123"/>
  <c r="AO31" i="123"/>
  <c r="J31" i="123"/>
  <c r="AX30" i="123"/>
  <c r="AW30" i="123"/>
  <c r="AU30" i="123"/>
  <c r="AT30" i="123"/>
  <c r="AS30" i="123"/>
  <c r="AR30" i="123"/>
  <c r="AQ30" i="123"/>
  <c r="AP30" i="123"/>
  <c r="AO30" i="123"/>
  <c r="J30" i="123"/>
  <c r="AX29" i="123"/>
  <c r="AW29" i="123"/>
  <c r="AU29" i="123"/>
  <c r="AT29" i="123"/>
  <c r="AS29" i="123"/>
  <c r="AR29" i="123"/>
  <c r="AQ29" i="123"/>
  <c r="AP29" i="123"/>
  <c r="AO29" i="123"/>
  <c r="J29" i="123"/>
  <c r="AX28" i="123"/>
  <c r="AW28" i="123"/>
  <c r="AU28" i="123"/>
  <c r="AT28" i="123"/>
  <c r="AS28" i="123"/>
  <c r="AR28" i="123"/>
  <c r="AQ28" i="123"/>
  <c r="AP28" i="123"/>
  <c r="AO28" i="123"/>
  <c r="J28" i="123"/>
  <c r="AX27" i="123"/>
  <c r="AW27" i="123"/>
  <c r="AU27" i="123"/>
  <c r="AT27" i="123"/>
  <c r="AS27" i="123"/>
  <c r="AR27" i="123"/>
  <c r="AQ27" i="123"/>
  <c r="AP27" i="123"/>
  <c r="AO27" i="123"/>
  <c r="J27" i="123"/>
  <c r="AX26" i="123"/>
  <c r="AW26" i="123"/>
  <c r="AU26" i="123"/>
  <c r="AT26" i="123"/>
  <c r="AS26" i="123"/>
  <c r="AR26" i="123"/>
  <c r="AQ26" i="123"/>
  <c r="AP26" i="123"/>
  <c r="AO26" i="123"/>
  <c r="J26" i="123"/>
  <c r="AX25" i="123"/>
  <c r="AW25" i="123"/>
  <c r="AU25" i="123"/>
  <c r="AT25" i="123"/>
  <c r="AS25" i="123"/>
  <c r="AR25" i="123"/>
  <c r="AQ25" i="123"/>
  <c r="AP25" i="123"/>
  <c r="AO25" i="123"/>
  <c r="J25" i="123"/>
  <c r="AX24" i="123"/>
  <c r="AW24" i="123"/>
  <c r="AU24" i="123"/>
  <c r="AT24" i="123"/>
  <c r="AS24" i="123"/>
  <c r="AR24" i="123"/>
  <c r="AQ24" i="123"/>
  <c r="AP24" i="123"/>
  <c r="AO24" i="123"/>
  <c r="J24" i="123"/>
  <c r="AX23" i="123"/>
  <c r="AW23" i="123"/>
  <c r="AU23" i="123"/>
  <c r="AT23" i="123"/>
  <c r="AS23" i="123"/>
  <c r="AR23" i="123"/>
  <c r="AQ23" i="123"/>
  <c r="AP23" i="123"/>
  <c r="AO23" i="123"/>
  <c r="J23" i="123"/>
  <c r="AX22" i="123"/>
  <c r="AW22" i="123"/>
  <c r="AU22" i="123"/>
  <c r="AT22" i="123"/>
  <c r="AS22" i="123"/>
  <c r="AR22" i="123"/>
  <c r="AQ22" i="123"/>
  <c r="AP22" i="123"/>
  <c r="AO22" i="123"/>
  <c r="J22" i="123"/>
  <c r="AX21" i="123"/>
  <c r="AW21" i="123"/>
  <c r="AU21" i="123"/>
  <c r="AT21" i="123"/>
  <c r="AS21" i="123"/>
  <c r="AR21" i="123"/>
  <c r="AQ21" i="123"/>
  <c r="AP21" i="123"/>
  <c r="AO21" i="123"/>
  <c r="J21" i="123"/>
  <c r="AX20" i="123"/>
  <c r="AW20" i="123"/>
  <c r="AU20" i="123"/>
  <c r="AT20" i="123"/>
  <c r="AS20" i="123"/>
  <c r="AR20" i="123"/>
  <c r="AQ20" i="123"/>
  <c r="AP20" i="123"/>
  <c r="AO20" i="123"/>
  <c r="J20" i="123"/>
  <c r="AX19" i="123"/>
  <c r="AW19" i="123"/>
  <c r="AU19" i="123"/>
  <c r="AT19" i="123"/>
  <c r="AS19" i="123"/>
  <c r="AR19" i="123"/>
  <c r="AQ19" i="123"/>
  <c r="AP19" i="123"/>
  <c r="AO19" i="123"/>
  <c r="J19" i="123"/>
  <c r="AX18" i="123"/>
  <c r="AW18" i="123"/>
  <c r="AU18" i="123"/>
  <c r="AT18" i="123"/>
  <c r="AS18" i="123"/>
  <c r="AR18" i="123"/>
  <c r="AQ18" i="123"/>
  <c r="AP18" i="123"/>
  <c r="AO18" i="123"/>
  <c r="J18" i="123"/>
  <c r="AX17" i="123"/>
  <c r="AW17" i="123"/>
  <c r="AU17" i="123"/>
  <c r="AT17" i="123"/>
  <c r="AS17" i="123"/>
  <c r="AR17" i="123"/>
  <c r="AQ17" i="123"/>
  <c r="AP17" i="123"/>
  <c r="AO17" i="123"/>
  <c r="J17" i="123"/>
  <c r="AX16" i="123"/>
  <c r="AW16" i="123"/>
  <c r="AU16" i="123"/>
  <c r="AT16" i="123"/>
  <c r="AS16" i="123"/>
  <c r="AR16" i="123"/>
  <c r="AQ16" i="123"/>
  <c r="AP16" i="123"/>
  <c r="AO16" i="123"/>
  <c r="J16" i="123"/>
  <c r="AX15" i="123"/>
  <c r="AW15" i="123"/>
  <c r="AU15" i="123"/>
  <c r="AT15" i="123"/>
  <c r="AS15" i="123"/>
  <c r="AR15" i="123"/>
  <c r="AQ15" i="123"/>
  <c r="AP15" i="123"/>
  <c r="AO15" i="123"/>
  <c r="J15" i="123"/>
  <c r="AX14" i="123"/>
  <c r="AW14" i="123"/>
  <c r="AU14" i="123"/>
  <c r="AT14" i="123"/>
  <c r="AS14" i="123"/>
  <c r="AR14" i="123"/>
  <c r="AQ14" i="123"/>
  <c r="AP14" i="123"/>
  <c r="AO14" i="123"/>
  <c r="J14" i="123"/>
  <c r="AX13" i="123"/>
  <c r="AW13" i="123"/>
  <c r="AU13" i="123"/>
  <c r="AT13" i="123"/>
  <c r="AS13" i="123"/>
  <c r="AR13" i="123"/>
  <c r="AQ13" i="123"/>
  <c r="AP13" i="123"/>
  <c r="AO13" i="123"/>
  <c r="J13" i="123"/>
  <c r="AX12" i="123"/>
  <c r="AW12" i="123"/>
  <c r="AU12" i="123"/>
  <c r="AT12" i="123"/>
  <c r="AS12" i="123"/>
  <c r="AR12" i="123"/>
  <c r="AQ12" i="123"/>
  <c r="AP12" i="123"/>
  <c r="AO12" i="123"/>
  <c r="J12" i="123"/>
  <c r="J8" i="123"/>
  <c r="J10" i="123"/>
  <c r="J11" i="123"/>
  <c r="AX11" i="123"/>
  <c r="AW11" i="123"/>
  <c r="AU11" i="123"/>
  <c r="AT11" i="123"/>
  <c r="AS11" i="123"/>
  <c r="AR11" i="123"/>
  <c r="AQ11" i="123"/>
  <c r="AP11" i="123"/>
  <c r="AO11" i="123"/>
  <c r="AX10" i="123"/>
  <c r="AW10" i="123"/>
  <c r="AU10" i="123"/>
  <c r="AT10" i="123"/>
  <c r="AS10" i="123"/>
  <c r="AR10" i="123"/>
  <c r="AQ10" i="123"/>
  <c r="AP10" i="123"/>
  <c r="AO10" i="123"/>
  <c r="AX9" i="123"/>
  <c r="AW9" i="123"/>
  <c r="AU9" i="123"/>
  <c r="AT9" i="123"/>
  <c r="AS9" i="123"/>
  <c r="AR9" i="123"/>
  <c r="AQ9" i="123"/>
  <c r="AP9" i="123"/>
  <c r="AO9" i="123"/>
  <c r="AX8" i="123"/>
  <c r="AW8" i="123"/>
  <c r="AU8" i="123"/>
  <c r="AT8" i="123"/>
  <c r="AU55" i="123"/>
  <c r="AR8" i="123"/>
  <c r="AQ8" i="123"/>
  <c r="AP8" i="123"/>
  <c r="AO8" i="123"/>
  <c r="AT55" i="123"/>
  <c r="H36" i="110"/>
  <c r="H45" i="110"/>
  <c r="H44" i="110"/>
  <c r="H43" i="110"/>
  <c r="H42" i="110"/>
  <c r="H41" i="110"/>
  <c r="C35" i="110"/>
  <c r="H40" i="110"/>
  <c r="H38" i="110"/>
  <c r="W2" i="110"/>
  <c r="H37" i="110" s="1"/>
  <c r="H39" i="110"/>
  <c r="R12" i="110"/>
  <c r="S22" i="110"/>
  <c r="S26" i="110"/>
  <c r="S33" i="110"/>
  <c r="W33" i="110"/>
  <c r="E4" i="110"/>
  <c r="T2" i="110"/>
  <c r="S5" i="110"/>
  <c r="T5" i="110"/>
  <c r="U5" i="110"/>
  <c r="S6" i="110"/>
  <c r="T6" i="110"/>
  <c r="U4" i="110"/>
  <c r="C40" i="110"/>
  <c r="C41" i="110"/>
  <c r="C44" i="110"/>
  <c r="C45" i="110"/>
  <c r="B40" i="110"/>
  <c r="B39" i="110"/>
  <c r="B38" i="110"/>
  <c r="B36" i="110"/>
  <c r="G35" i="110"/>
  <c r="C33" i="110"/>
  <c r="Q14" i="110"/>
  <c r="AA14" i="110" a="1"/>
  <c r="D35" i="110"/>
  <c r="F35" i="110"/>
  <c r="F51" i="128" l="1"/>
  <c r="F64" i="128" s="1"/>
  <c r="L82" i="125"/>
  <c r="L96" i="125" s="1"/>
  <c r="L109" i="125" s="1"/>
  <c r="P82" i="125"/>
  <c r="P96" i="125" s="1"/>
  <c r="P109" i="125" s="1"/>
  <c r="X82" i="125"/>
  <c r="X96" i="125" s="1"/>
  <c r="X109" i="125" s="1"/>
  <c r="B149" i="127" a="1"/>
  <c r="B149" i="127" s="1"/>
  <c r="F96" i="125"/>
  <c r="F109" i="125" s="1"/>
  <c r="B133" i="125" a="1"/>
  <c r="B133" i="125" s="1"/>
  <c r="R73" i="133"/>
  <c r="R85" i="133" s="1"/>
  <c r="R84" i="124"/>
  <c r="R97" i="124" s="1"/>
  <c r="F95" i="127"/>
  <c r="F108" i="127" s="1"/>
  <c r="I73" i="133"/>
  <c r="I85" i="133" s="1"/>
  <c r="H73" i="133"/>
  <c r="H85" i="133" s="1"/>
  <c r="G73" i="133"/>
  <c r="G85" i="133" s="1"/>
  <c r="H84" i="124"/>
  <c r="H97" i="124" s="1"/>
  <c r="G84" i="124"/>
  <c r="G97" i="124" s="1"/>
  <c r="B96" i="123" a="1"/>
  <c r="B96" i="123" s="1"/>
  <c r="B111" i="123" a="1"/>
  <c r="B111" i="123" s="1"/>
  <c r="C47" i="110"/>
  <c r="H43" i="132"/>
  <c r="H73" i="132" s="1"/>
  <c r="H85" i="132" s="1"/>
  <c r="AA14" i="110"/>
  <c r="R11" i="110"/>
  <c r="H35" i="110" s="1"/>
  <c r="H47" i="110" s="1"/>
  <c r="J108" i="127"/>
  <c r="J10" i="132"/>
  <c r="AO11" i="125"/>
  <c r="G44" i="125"/>
  <c r="G82" i="125" s="1"/>
  <c r="AP11" i="125"/>
  <c r="H44" i="125"/>
  <c r="H82" i="125" s="1"/>
  <c r="AT37" i="124"/>
  <c r="AX11" i="125"/>
  <c r="J32" i="123"/>
  <c r="B94" i="123" s="1" a="1"/>
  <c r="B94" i="123" s="1"/>
  <c r="AN32" i="129"/>
  <c r="AN51" i="129" s="1"/>
  <c r="AN61" i="129" s="1"/>
  <c r="AN38" i="131"/>
  <c r="AN61" i="131" s="1"/>
  <c r="AN71" i="131" s="1"/>
  <c r="AR10" i="132"/>
  <c r="AV10" i="132"/>
  <c r="G43" i="132"/>
  <c r="AS95" i="124"/>
  <c r="AR95" i="124"/>
  <c r="AU95" i="124"/>
  <c r="AT95" i="124"/>
  <c r="AR11" i="125"/>
  <c r="AN44" i="135"/>
  <c r="AN73" i="135" s="1"/>
  <c r="AN85" i="135" s="1"/>
  <c r="AN44" i="134"/>
  <c r="AN73" i="134" s="1"/>
  <c r="AN83" i="134" s="1"/>
  <c r="AG44" i="134"/>
  <c r="AG73" i="134" s="1"/>
  <c r="AG83" i="134" s="1"/>
  <c r="L43" i="132"/>
  <c r="J11" i="125"/>
  <c r="AT11" i="125"/>
  <c r="AU37" i="124"/>
  <c r="AX37" i="124"/>
  <c r="AS37" i="124"/>
  <c r="AR37" i="124"/>
  <c r="AQ37" i="124"/>
  <c r="AG44" i="135"/>
  <c r="AG73" i="135" s="1"/>
  <c r="AG85" i="135" s="1"/>
  <c r="AG38" i="131"/>
  <c r="AG61" i="131" s="1"/>
  <c r="AG71" i="131" s="1"/>
  <c r="AG51" i="129"/>
  <c r="AG61" i="129" s="1"/>
  <c r="R8" i="110"/>
  <c r="R4" i="110"/>
  <c r="R6" i="110"/>
  <c r="R3" i="110"/>
  <c r="R2" i="110"/>
  <c r="R5" i="110"/>
  <c r="AA16" i="110" a="1"/>
  <c r="E35" i="110"/>
  <c r="F43" i="110"/>
  <c r="H96" i="125" l="1"/>
  <c r="H109" i="125" s="1"/>
  <c r="G96" i="125"/>
  <c r="G109" i="125" s="1"/>
  <c r="I84" i="124"/>
  <c r="B120" i="124" s="1" a="1"/>
  <c r="B120" i="124" s="1"/>
  <c r="B95" i="123" a="1"/>
  <c r="B95" i="123" s="1"/>
  <c r="G46" i="110"/>
  <c r="AA16" i="110"/>
  <c r="G73" i="132"/>
  <c r="G85" i="132" s="1"/>
  <c r="G43" i="110"/>
  <c r="B114" i="127" a="1"/>
  <c r="B114" i="127" s="1"/>
  <c r="B115" i="127" a="1"/>
  <c r="B115" i="127" s="1"/>
  <c r="B116" i="127" a="1"/>
  <c r="B116" i="127" s="1"/>
  <c r="B115" i="125" a="1"/>
  <c r="B115" i="125" s="1"/>
  <c r="B116" i="125" a="1"/>
  <c r="B116" i="125" s="1"/>
  <c r="B114" i="125" a="1"/>
  <c r="B114" i="125" s="1"/>
  <c r="F22" i="110"/>
  <c r="F36" i="110"/>
  <c r="D39" i="110"/>
  <c r="D45" i="110"/>
  <c r="E42" i="110"/>
  <c r="E40" i="110"/>
  <c r="D42" i="110"/>
  <c r="E36" i="110"/>
  <c r="F42" i="110"/>
  <c r="D44" i="110"/>
  <c r="D41" i="110"/>
  <c r="E41" i="110"/>
  <c r="F45" i="110"/>
  <c r="F38" i="110"/>
  <c r="D43" i="110"/>
  <c r="F40" i="110"/>
  <c r="D40" i="110"/>
  <c r="R18" i="110"/>
  <c r="S16" i="110"/>
  <c r="E44" i="110"/>
  <c r="F39" i="110"/>
  <c r="E38" i="110"/>
  <c r="E39" i="110"/>
  <c r="D38" i="110"/>
  <c r="F44" i="110"/>
  <c r="F41" i="110"/>
  <c r="E45" i="110"/>
  <c r="D36" i="110"/>
  <c r="R17" i="110"/>
  <c r="U38" i="110"/>
  <c r="E43" i="110"/>
  <c r="I97" i="124" l="1"/>
  <c r="F47" i="110"/>
  <c r="H21" i="110" s="1"/>
  <c r="H22" i="110" s="1"/>
  <c r="E47" i="110"/>
  <c r="G21" i="110" s="1"/>
  <c r="G22" i="110" s="1"/>
  <c r="D47" i="110"/>
  <c r="F21" i="110" s="1"/>
  <c r="G45" i="110"/>
  <c r="G42" i="110"/>
  <c r="G38" i="110"/>
  <c r="G44" i="110"/>
  <c r="G40" i="110"/>
  <c r="G41" i="110"/>
  <c r="G37" i="110"/>
  <c r="G36" i="110"/>
  <c r="G47" i="110" l="1"/>
  <c r="I21" i="110" s="1"/>
  <c r="I22" i="110" s="1"/>
  <c r="B102" i="124" a="1"/>
  <c r="B102" i="124" s="1"/>
  <c r="B103" i="124" a="1"/>
  <c r="B103" i="124" s="1"/>
  <c r="B104" i="124" a="1"/>
  <c r="B104" i="124" s="1"/>
  <c r="F85" i="1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Goyal, Mayank (Nokia - IN/Bangalore)</author>
    <author>Rastogi, Alok (Nokia - IN/Bangalore)</author>
  </authors>
  <commentList>
    <comment ref="E7" authorId="0" shapeId="0" xr:uid="{360E7532-B2EA-428B-BB56-44A18CFD3412}">
      <text>
        <r>
          <rPr>
            <b/>
            <sz val="9"/>
            <color indexed="81"/>
            <rFont val="Tahoma"/>
            <family val="2"/>
          </rPr>
          <t>Goyal, Mayank (Nokia - IN/Bangalore):</t>
        </r>
        <r>
          <rPr>
            <sz val="9"/>
            <color indexed="81"/>
            <rFont val="Tahoma"/>
            <family val="2"/>
          </rPr>
          <t xml:space="preserve">
Removeed from NetAct N20</t>
        </r>
      </text>
    </comment>
    <comment ref="E13" authorId="0" shapeId="0" xr:uid="{EB67B420-766E-43F5-A576-9D1B9B2A949B}">
      <text>
        <r>
          <rPr>
            <b/>
            <sz val="9"/>
            <color indexed="81"/>
            <rFont val="Tahoma"/>
            <family val="2"/>
          </rPr>
          <t>Goyal, Mayank (Nokia - IN/Bangalore):</t>
        </r>
        <r>
          <rPr>
            <sz val="9"/>
            <color indexed="81"/>
            <rFont val="Tahoma"/>
            <family val="2"/>
          </rPr>
          <t xml:space="preserve">
Removed from NetAct N20</t>
        </r>
      </text>
    </comment>
    <comment ref="D18" authorId="1" shapeId="0" xr:uid="{EBE14AE9-E9BF-41EA-935C-5A8BECF5D693}">
      <text>
        <r>
          <rPr>
            <b/>
            <sz val="9"/>
            <color indexed="81"/>
            <rFont val="Tahoma"/>
            <family val="2"/>
          </rPr>
          <t>Rastogi, Alok (Nokia - IN/Bangalore):
SP1911 Onwards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Thippeswamy, Suresh (Nokia - IN/Bangalore)</author>
    <author>tc={E2177D7A-65C1-4072-82B6-2A4D72B5020B}</author>
    <author>tc={78E52C62-78FF-4FE4-80F2-E2F8BF093D20}</author>
    <author>tc={1AC17928-A20A-4244-BF68-F4B9FBDB75E5}</author>
    <author>jarmylly</author>
    <author>Goyal, Mayank (Nokia - IN/Bangalore)</author>
    <author>Rastogi, Alok (Nokia - IN/Bangalore)</author>
    <author>Jari Myllymaa</author>
    <author>tc={0AA948F0-66AC-42AE-B826-6A1599152949}</author>
    <author>tc={D565F005-A99D-455F-A331-B221AB0C3775}</author>
    <author>tc={7B0F2634-F86E-4D99-A853-EDFE79222A9E}</author>
  </authors>
  <commentList>
    <comment ref="E9" authorId="0" shapeId="0" xr:uid="{46F48172-0AD0-4DFB-BBB6-062B4F931DF6}">
      <text>
        <r>
          <rPr>
            <b/>
            <sz val="9"/>
            <color indexed="81"/>
            <rFont val="Tahoma"/>
            <family val="2"/>
          </rPr>
          <t>Thippeswamy, Suresh (Nokia - IN/Bangalore):</t>
        </r>
        <r>
          <rPr>
            <sz val="9"/>
            <color indexed="81"/>
            <rFont val="Tahoma"/>
            <family val="2"/>
          </rPr>
          <t xml:space="preserve">
Select the vCSA version</t>
        </r>
      </text>
    </comment>
    <comment ref="F11" authorId="1" shapeId="0" xr:uid="{E2177D7A-65C1-4072-82B6-2A4D72B5020B}">
      <text>
        <t>[Threaded comment]
Your version of Excel allows you to read this threaded comment; however, any edits to it will get removed if the file is opened in a newer version of Excel. Learn more: https://go.microsoft.com/fwlink/?linkid=870924
Comment:
    Small vCPU: 6
Extended small vCPU: 11</t>
      </text>
    </comment>
    <comment ref="G11" authorId="2" shapeId="0" xr:uid="{78E52C62-78FF-4FE4-80F2-E2F8BF093D20}">
      <text>
        <t>[Threaded comment]
Your version of Excel allows you to read this threaded comment; however, any edits to it will get removed if the file is opened in a newer version of Excel. Learn more: https://go.microsoft.com/fwlink/?linkid=870924
Comment:
    Small vRAM: 40GB
Extended small vRAM: 70GB</t>
      </text>
    </comment>
    <comment ref="H11" authorId="3" shapeId="0" xr:uid="{1AC17928-A20A-4244-BF68-F4B9FBDB75E5}">
      <text>
        <t>[Threaded comment]
Your version of Excel allows you to read this threaded comment; however, any edits to it will get removed if the file is opened in a newer version of Excel. Learn more: https://go.microsoft.com/fwlink/?linkid=870924
Comment:
    Small memory reservation: 33GB
Extended small memory reservation : 57.75GB</t>
      </text>
    </comment>
    <comment ref="L11" authorId="4" shapeId="0" xr:uid="{EFF1F72F-C3D7-4F17-BA59-966C98F44633}">
      <text>
        <r>
          <rPr>
            <b/>
            <sz val="9"/>
            <color indexed="81"/>
            <rFont val="Tahoma"/>
            <family val="2"/>
          </rPr>
          <t>jarmylly:</t>
        </r>
        <r>
          <rPr>
            <sz val="9"/>
            <color indexed="81"/>
            <rFont val="Tahoma"/>
            <family val="2"/>
          </rPr>
          <t xml:space="preserve">
Contains one disk:
DB_redo: 60,825GB</t>
        </r>
      </text>
    </comment>
    <comment ref="N11" authorId="4" shapeId="0" xr:uid="{97576562-84C8-4324-AA4D-9C516BE0BFB5}">
      <text>
        <r>
          <rPr>
            <b/>
            <sz val="9"/>
            <color indexed="81"/>
            <rFont val="Tahoma"/>
            <family val="2"/>
          </rPr>
          <t>jarmylly:</t>
        </r>
        <r>
          <rPr>
            <sz val="9"/>
            <color indexed="81"/>
            <rFont val="Tahoma"/>
            <family val="2"/>
          </rPr>
          <t xml:space="preserve">
Contains one disk, either: 
- DB_data: 691,2GB
Extended:
- DB_data: 2165,76GB</t>
        </r>
      </text>
    </comment>
    <comment ref="P11" authorId="4" shapeId="0" xr:uid="{E790D6A7-869E-468B-B26C-DEF25E27CAA5}">
      <text>
        <r>
          <rPr>
            <b/>
            <sz val="9"/>
            <color indexed="81"/>
            <rFont val="Tahoma"/>
            <family val="2"/>
          </rPr>
          <t>jarmylly:</t>
        </r>
        <r>
          <rPr>
            <sz val="9"/>
            <color indexed="81"/>
            <rFont val="Tahoma"/>
            <family val="2"/>
          </rPr>
          <t xml:space="preserve">
Contains one disk:
DB_arc: 1036,8GB
Extended:
DB_arc: 2350,08GB</t>
        </r>
      </text>
    </comment>
    <comment ref="X11" authorId="4" shapeId="0" xr:uid="{D14D7247-808F-464E-85E5-8859F2ECCD30}">
      <text>
        <r>
          <rPr>
            <b/>
            <sz val="9"/>
            <color indexed="81"/>
            <rFont val="Tahoma"/>
            <family val="2"/>
          </rPr>
          <t>jarmylly:</t>
        </r>
        <r>
          <rPr>
            <sz val="9"/>
            <color indexed="81"/>
            <rFont val="Tahoma"/>
            <family val="2"/>
          </rPr>
          <t xml:space="preserve">
Contains one disk:
DB_backup: 2580,48GB
Extended:
DB_backup: 6497,28GB
</t>
        </r>
      </text>
    </comment>
    <comment ref="AH11" authorId="5" shapeId="0" xr:uid="{3F237827-DF2A-4A48-B996-60485F8D72D4}">
      <text>
        <r>
          <rPr>
            <b/>
            <sz val="9"/>
            <color indexed="81"/>
            <rFont val="Tahoma"/>
            <family val="2"/>
          </rPr>
          <t>Goyal, Mayank (Nokia - IN/Bangalore):</t>
        </r>
        <r>
          <rPr>
            <sz val="9"/>
            <color indexed="81"/>
            <rFont val="Tahoma"/>
            <family val="2"/>
          </rPr>
          <t xml:space="preserve">
Contains one disk:
- db-fb_disk : 2048 GB </t>
        </r>
      </text>
    </comment>
    <comment ref="R12" authorId="4" shapeId="0" xr:uid="{BB9A129C-19B2-436F-96AA-01999EDCF046}">
      <text>
        <r>
          <rPr>
            <b/>
            <sz val="9"/>
            <color indexed="81"/>
            <rFont val="Tahoma"/>
            <family val="2"/>
          </rPr>
          <t>jarmylly:</t>
        </r>
        <r>
          <rPr>
            <sz val="9"/>
            <color indexed="81"/>
            <rFont val="Tahoma"/>
            <family val="2"/>
          </rPr>
          <t xml:space="preserve">
 Contains two disks:
- NFS global: 209920 MB
- NFS home: 12288 MB
- NFS WAS dump:25600 MB</t>
        </r>
      </text>
    </comment>
    <comment ref="T12" authorId="4" shapeId="0" xr:uid="{B710B5CD-4891-45D8-B6B8-A26FC0F0DC1B}">
      <text>
        <r>
          <rPr>
            <b/>
            <sz val="9"/>
            <color indexed="81"/>
            <rFont val="Tahoma"/>
            <family val="2"/>
          </rPr>
          <t>jarmylly:</t>
        </r>
        <r>
          <rPr>
            <sz val="9"/>
            <color indexed="81"/>
            <rFont val="Tahoma"/>
            <family val="2"/>
          </rPr>
          <t xml:space="preserve">
Reserved for customer own data.</t>
        </r>
      </text>
    </comment>
    <comment ref="X12" authorId="4" shapeId="0" xr:uid="{9750DA2F-C631-4DEC-9E9B-7ACBC71858FE}">
      <text>
        <r>
          <rPr>
            <b/>
            <sz val="9"/>
            <color indexed="81"/>
            <rFont val="Tahoma"/>
            <family val="2"/>
          </rPr>
          <t>jarmylly:</t>
        </r>
        <r>
          <rPr>
            <sz val="9"/>
            <color indexed="81"/>
            <rFont val="Tahoma"/>
            <family val="2"/>
          </rPr>
          <t xml:space="preserve">
Contains one disk:
- NFS_backup: 230,4GB</t>
        </r>
      </text>
    </comment>
    <comment ref="I19" authorId="6" shapeId="0" xr:uid="{49BE1F60-5045-4A7C-943C-A6237A7B2461}">
      <text>
        <r>
          <rPr>
            <b/>
            <sz val="9"/>
            <color indexed="81"/>
            <rFont val="Tahoma"/>
            <family val="2"/>
          </rPr>
          <t xml:space="preserve"> Alok:
Disk2 :50GB(VMGuestDisk3)</t>
        </r>
        <r>
          <rPr>
            <sz val="9"/>
            <color indexed="81"/>
            <rFont val="Tahoma"/>
            <family val="2"/>
          </rPr>
          <t xml:space="preserve">
</t>
        </r>
      </text>
    </comment>
    <comment ref="I25" authorId="4" shapeId="0" xr:uid="{889FF380-78A7-47AB-9C2A-5431C525FFB4}">
      <text>
        <r>
          <rPr>
            <b/>
            <sz val="9"/>
            <color indexed="81"/>
            <rFont val="Tahoma"/>
            <family val="2"/>
          </rPr>
          <t>jarmylly:</t>
        </r>
        <r>
          <rPr>
            <sz val="9"/>
            <color indexed="81"/>
            <rFont val="Tahoma"/>
            <family val="2"/>
          </rPr>
          <t xml:space="preserve">
Contains two disks:
- Disk-1: 60GB
- Disk-2: 40GB</t>
        </r>
      </text>
    </comment>
    <comment ref="I26" authorId="4" shapeId="0" xr:uid="{21785FAB-73D2-44F8-8A95-EBB50E4CD0D6}">
      <text>
        <r>
          <rPr>
            <b/>
            <sz val="9"/>
            <color indexed="81"/>
            <rFont val="Tahoma"/>
            <family val="2"/>
          </rPr>
          <t>jarmylly:</t>
        </r>
        <r>
          <rPr>
            <sz val="9"/>
            <color indexed="81"/>
            <rFont val="Tahoma"/>
            <family val="2"/>
          </rPr>
          <t xml:space="preserve">
Contains two disks:
- Disk-1: 60GB
- Disk-2: 40GB</t>
        </r>
      </text>
    </comment>
    <comment ref="I27" authorId="4" shapeId="0" xr:uid="{19FE2A7B-07A6-4DF4-A282-6D08C3CE4C42}">
      <text>
        <r>
          <rPr>
            <b/>
            <sz val="9"/>
            <color indexed="81"/>
            <rFont val="Tahoma"/>
            <family val="2"/>
          </rPr>
          <t>jarmylly:</t>
        </r>
        <r>
          <rPr>
            <sz val="9"/>
            <color indexed="81"/>
            <rFont val="Tahoma"/>
            <family val="2"/>
          </rPr>
          <t xml:space="preserve">
Contains two disks:
- Disk-1: 60GB
- Disk-2: 40GB</t>
        </r>
      </text>
    </comment>
    <comment ref="Z28" authorId="4" shapeId="0" xr:uid="{5A43859B-A594-4749-8336-EDD5E0B2F685}">
      <text>
        <r>
          <rPr>
            <b/>
            <sz val="9"/>
            <color indexed="81"/>
            <rFont val="Tahoma"/>
            <family val="2"/>
          </rPr>
          <t>jarmylly:</t>
        </r>
        <r>
          <rPr>
            <sz val="9"/>
            <color indexed="81"/>
            <rFont val="Tahoma"/>
            <family val="2"/>
          </rPr>
          <t xml:space="preserve">
Contains one disk:
- vm66_REP_disk: 46,08GB
</t>
        </r>
      </text>
    </comment>
    <comment ref="AA28" authorId="7" shapeId="0" xr:uid="{65B3F57C-31DE-4F42-8EAA-B93CE9E1BF96}">
      <text>
        <r>
          <rPr>
            <b/>
            <sz val="9"/>
            <color indexed="81"/>
            <rFont val="Calibri"/>
            <family val="2"/>
          </rPr>
          <t>Jari Myllymaa:</t>
        </r>
        <r>
          <rPr>
            <sz val="9"/>
            <color indexed="81"/>
            <rFont val="Calibri"/>
            <family val="2"/>
          </rPr>
          <t xml:space="preserve">
PMDatastore can extend 50GB</t>
        </r>
      </text>
    </comment>
    <comment ref="Z29" authorId="4" shapeId="0" xr:uid="{2A225010-C38C-4FC8-9B1A-6D9F9D3863E2}">
      <text>
        <r>
          <rPr>
            <b/>
            <sz val="9"/>
            <color indexed="81"/>
            <rFont val="Tahoma"/>
            <family val="2"/>
          </rPr>
          <t>jarmylly:</t>
        </r>
        <r>
          <rPr>
            <sz val="9"/>
            <color indexed="81"/>
            <rFont val="Tahoma"/>
            <family val="2"/>
          </rPr>
          <t xml:space="preserve">
Contains one disk:
- vm67_REP_disk: 46,08GB</t>
        </r>
      </text>
    </comment>
    <comment ref="E35" authorId="8" shapeId="0" xr:uid="{0AA948F0-66AC-42AE-B826-6A1599152949}">
      <text>
        <t>[Threaded comment]
Your version of Excel allows you to read this threaded comment; however, any edits to it will get removed if the file is opened in a newer version of Excel. Learn more: https://go.microsoft.com/fwlink/?linkid=870924
Comment:
    GEN9/GEN10 can be used for HW expansion</t>
      </text>
    </comment>
    <comment ref="I45" authorId="0" shapeId="0" xr:uid="{A08D84FF-FB02-4813-B2CF-8E1B7969C4D6}">
      <text>
        <r>
          <rPr>
            <b/>
            <sz val="9"/>
            <color indexed="81"/>
            <rFont val="Tahoma"/>
            <family val="2"/>
          </rPr>
          <t>Thippeswamy, Suresh (Nokia - IN/Bangalore):</t>
        </r>
        <r>
          <rPr>
            <sz val="9"/>
            <color indexed="81"/>
            <rFont val="Tahoma"/>
            <family val="2"/>
          </rPr>
          <t xml:space="preserve">
NetAct20 scratch and on top upgrade, the required disk size is 71GB
On long upgrade environment(Having NetAct19 or older in upgrade history), since /var partition requires 40GB from NetAct20 onwards, so additional 25GB disk space is automtically added and attached to /var partition. With this the total disks consumption will be 96GB </t>
        </r>
      </text>
    </comment>
    <comment ref="I46" authorId="4" shapeId="0" xr:uid="{23BA2D66-C082-4D45-A079-42FD89BCDBBB}">
      <text>
        <r>
          <rPr>
            <b/>
            <sz val="9"/>
            <color indexed="81"/>
            <rFont val="Tahoma"/>
            <family val="2"/>
          </rPr>
          <t>jarmylly:</t>
        </r>
        <r>
          <rPr>
            <sz val="9"/>
            <color indexed="81"/>
            <rFont val="Tahoma"/>
            <family val="2"/>
          </rPr>
          <t xml:space="preserve">
Contains two disks:
- Disk-1: 60GB
- Disk-2: 40GB</t>
        </r>
      </text>
    </comment>
    <comment ref="I47" authorId="4" shapeId="0" xr:uid="{4FC7A71A-F50A-48A9-80D4-21D6FFDA7E18}">
      <text>
        <r>
          <rPr>
            <b/>
            <sz val="9"/>
            <color indexed="81"/>
            <rFont val="Tahoma"/>
            <family val="2"/>
          </rPr>
          <t>jarmylly:</t>
        </r>
        <r>
          <rPr>
            <sz val="9"/>
            <color indexed="81"/>
            <rFont val="Tahoma"/>
            <family val="2"/>
          </rPr>
          <t xml:space="preserve">
Contains two disks:
- Disk-1: 60GB
- Disk-2: 40GB</t>
        </r>
      </text>
    </comment>
    <comment ref="I48" authorId="4" shapeId="0" xr:uid="{6CACF72B-BABE-4F5D-8700-2C1AD7DDEFE2}">
      <text>
        <r>
          <rPr>
            <b/>
            <sz val="9"/>
            <color indexed="81"/>
            <rFont val="Tahoma"/>
            <family val="2"/>
          </rPr>
          <t>jarmylly:</t>
        </r>
        <r>
          <rPr>
            <sz val="9"/>
            <color indexed="81"/>
            <rFont val="Tahoma"/>
            <family val="2"/>
          </rPr>
          <t xml:space="preserve">
Contains two disks:
- Disk-1: 60GB
- Disk-2: 40GB</t>
        </r>
      </text>
    </comment>
    <comment ref="I49" authorId="4" shapeId="0" xr:uid="{E3A4D270-0F27-4E41-BA8F-A63E25C2FBD2}">
      <text>
        <r>
          <rPr>
            <b/>
            <sz val="9"/>
            <color indexed="81"/>
            <rFont val="Tahoma"/>
            <family val="2"/>
          </rPr>
          <t>jarmylly:</t>
        </r>
        <r>
          <rPr>
            <sz val="9"/>
            <color indexed="81"/>
            <rFont val="Tahoma"/>
            <family val="2"/>
          </rPr>
          <t xml:space="preserve">
Contains two disks:
- Disk-1: 60GB
- Disk-2: 40GB</t>
        </r>
      </text>
    </comment>
    <comment ref="I55" authorId="4" shapeId="0" xr:uid="{9129ECFB-A1F6-442A-AF4C-DFF0660E5F12}">
      <text>
        <r>
          <rPr>
            <b/>
            <sz val="9"/>
            <color indexed="81"/>
            <rFont val="Tahoma"/>
            <family val="2"/>
          </rPr>
          <t>jarmylly:</t>
        </r>
        <r>
          <rPr>
            <sz val="9"/>
            <color indexed="81"/>
            <rFont val="Tahoma"/>
            <family val="2"/>
          </rPr>
          <t xml:space="preserve">
Contains two disks:
- Disk-1: 30GB
- Disk-2: 80GB</t>
        </r>
      </text>
    </comment>
    <comment ref="E86" authorId="4" shapeId="0" xr:uid="{EBC62845-BC54-4F0B-A680-8AA4BEAFECE7}">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
In case NetAct virtual cluster contains only G8 servers, there can be only one BTSMED VM.</t>
        </r>
      </text>
    </comment>
    <comment ref="E87" authorId="4" shapeId="0" xr:uid="{26709FC6-9285-436B-B17A-A33656A82CF4}">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
In case NetAct virtual cluster contains only G8 servers, there can be only one BTSMED VM.</t>
        </r>
      </text>
    </comment>
    <comment ref="A89" authorId="9" shapeId="0" xr:uid="{D565F005-A99D-455F-A331-B221AB0C3775}">
      <text>
        <t>[Threaded comment]
Your version of Excel allows you to read this threaded comment; however, any edits to it will get removed if the file is opened in a newer version of Excel. Learn more: https://go.microsoft.com/fwlink/?linkid=870924
Comment:
    SP2004 onwards</t>
      </text>
    </comment>
    <comment ref="A108" authorId="6" shapeId="0" xr:uid="{31A5ABC7-E278-472D-87EB-2D5AFD5ADFB2}">
      <text>
        <r>
          <rPr>
            <b/>
            <sz val="9"/>
            <color indexed="81"/>
            <rFont val="Tahoma"/>
            <family val="2"/>
          </rPr>
          <t>Rastogi, Alok (Nokia - IN/Bangalore):</t>
        </r>
        <r>
          <rPr>
            <sz val="9"/>
            <color indexed="81"/>
            <rFont val="Tahoma"/>
            <family val="2"/>
          </rPr>
          <t xml:space="preserve">
This is temporary requirement from Backup for AVE Migration</t>
        </r>
      </text>
    </comment>
    <comment ref="A110" authorId="10" shapeId="0" xr:uid="{7B0F2634-F86E-4D99-A853-EDFE79222A9E}">
      <text>
        <t>[Threaded comment]
Your version of Excel allows you to read this threaded comment; however, any edits to it will get removed if the file is opened in a newer version of Excel. Learn more: https://go.microsoft.com/fwlink/?linkid=870924
Comment:
    optional</t>
      </text>
    </comment>
    <comment ref="C111" authorId="0" shapeId="0" xr:uid="{F05D2D2A-69E3-4278-B1D9-D53058F5AED7}">
      <text>
        <r>
          <rPr>
            <b/>
            <sz val="9"/>
            <color indexed="81"/>
            <rFont val="Tahoma"/>
            <family val="2"/>
          </rPr>
          <t>Thippeswamy, Suresh (Nokia - IN/Bangalore):</t>
        </r>
        <r>
          <rPr>
            <sz val="9"/>
            <color indexed="81"/>
            <rFont val="Tahoma"/>
            <family val="2"/>
          </rPr>
          <t xml:space="preserve">
Based on vCSA version selected, Datastore size and datastore usage  varies</t>
        </r>
      </text>
    </comment>
    <comment ref="A112" authorId="0" shapeId="0" xr:uid="{CBECA983-F198-4561-B400-228A40322268}">
      <text>
        <r>
          <rPr>
            <b/>
            <sz val="9"/>
            <color indexed="81"/>
            <rFont val="Tahoma"/>
            <family val="2"/>
          </rPr>
          <t>Thippeswamy, Suresh (Nokia - IN/Bangalore):</t>
        </r>
        <r>
          <rPr>
            <sz val="9"/>
            <color indexed="81"/>
            <rFont val="Tahoma"/>
            <family val="2"/>
          </rPr>
          <t xml:space="preserve">
This datastore is needed only if NAPD optional VM is planned to deploy</t>
        </r>
      </text>
    </comment>
    <comment ref="A113" authorId="0" shapeId="0" xr:uid="{9A2527E3-3D83-40F6-856C-9995990B6DB2}">
      <text>
        <r>
          <rPr>
            <b/>
            <sz val="9"/>
            <color indexed="81"/>
            <rFont val="Tahoma"/>
            <family val="2"/>
          </rPr>
          <t>Thippeswamy, Suresh (Nokia - IN/Bangalore):</t>
        </r>
        <r>
          <rPr>
            <sz val="9"/>
            <color indexed="81"/>
            <rFont val="Tahoma"/>
            <family val="2"/>
          </rPr>
          <t xml:space="preserve">
This datastore is needed only if ARC optional VMs are planned to deploy</t>
        </r>
      </text>
    </comment>
    <comment ref="A114" authorId="0" shapeId="0" xr:uid="{5D59A600-ED05-4F10-937E-356627F435F1}">
      <text>
        <r>
          <rPr>
            <b/>
            <sz val="9"/>
            <color indexed="81"/>
            <rFont val="Tahoma"/>
            <family val="2"/>
          </rPr>
          <t>Thippeswamy, Suresh (Nokia - IN/Bangalore):</t>
        </r>
        <r>
          <rPr>
            <sz val="9"/>
            <color indexed="81"/>
            <rFont val="Tahoma"/>
            <family val="2"/>
          </rPr>
          <t xml:space="preserve">
This Datastore is needed only when TREX Analyzer VMs are planned to deploy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Thippeswamy, Suresh (Nokia - IN/Bangalore)</author>
    <author>jarmylly</author>
    <author>Goyal, Mayank (Nokia - IN/Bangalore)</author>
    <author>Rastogi, Alok (Nokia - IN/Bangalore)</author>
    <author>Jari Myllymaa</author>
    <author>tc={3B84699E-3F6C-4B76-812E-7A7CDD6C0CC9}</author>
    <author>tc={4EE9E420-5A2D-44D5-B2B8-9EE568A79A96}</author>
  </authors>
  <commentList>
    <comment ref="E9" authorId="0" shapeId="0" xr:uid="{C84AC71B-697F-43D1-BBB5-4F7E1EF202F4}">
      <text>
        <r>
          <rPr>
            <b/>
            <sz val="9"/>
            <color indexed="81"/>
            <rFont val="Tahoma"/>
            <family val="2"/>
          </rPr>
          <t>Thippeswamy, Suresh (Nokia - IN/Bangalore):</t>
        </r>
        <r>
          <rPr>
            <sz val="9"/>
            <color indexed="81"/>
            <rFont val="Tahoma"/>
            <family val="2"/>
          </rPr>
          <t xml:space="preserve">
Select the vCSA version</t>
        </r>
      </text>
    </comment>
    <comment ref="L11" authorId="1" shapeId="0" xr:uid="{C7EFBED5-D239-4D88-8EE2-4EC81BED8EE4}">
      <text>
        <r>
          <rPr>
            <b/>
            <sz val="9"/>
            <color indexed="81"/>
            <rFont val="Tahoma"/>
            <family val="2"/>
          </rPr>
          <t>jarmylly:</t>
        </r>
        <r>
          <rPr>
            <sz val="9"/>
            <color indexed="81"/>
            <rFont val="Tahoma"/>
            <family val="2"/>
          </rPr>
          <t xml:space="preserve">
Contains one disk:
DB_redo: 60,825GB</t>
        </r>
      </text>
    </comment>
    <comment ref="N11" authorId="1" shapeId="0" xr:uid="{08FAAD01-C4DD-4B15-B7BC-FDCAEF7C0FC7}">
      <text>
        <r>
          <rPr>
            <b/>
            <sz val="9"/>
            <color indexed="81"/>
            <rFont val="Tahoma"/>
            <family val="2"/>
          </rPr>
          <t>jarmylly:</t>
        </r>
        <r>
          <rPr>
            <sz val="9"/>
            <color indexed="81"/>
            <rFont val="Tahoma"/>
            <family val="2"/>
          </rPr>
          <t xml:space="preserve">
Contains one disk, either: 
- DB_data: 1382,4GB
OR
- DB_data: 1900,33GB</t>
        </r>
      </text>
    </comment>
    <comment ref="P11" authorId="1" shapeId="0" xr:uid="{2B5B48E0-CE7E-45E7-B974-BAC7F9349871}">
      <text>
        <r>
          <rPr>
            <b/>
            <sz val="9"/>
            <color indexed="81"/>
            <rFont val="Tahoma"/>
            <family val="2"/>
          </rPr>
          <t>jarmylly:</t>
        </r>
        <r>
          <rPr>
            <sz val="9"/>
            <color indexed="81"/>
            <rFont val="Tahoma"/>
            <family val="2"/>
          </rPr>
          <t xml:space="preserve">
Contains one disk:
DB_arc: 2073,6GB</t>
        </r>
      </text>
    </comment>
    <comment ref="X11" authorId="1" shapeId="0" xr:uid="{EBAA1989-DD70-4C1C-8B70-B5E79B690664}">
      <text>
        <r>
          <rPr>
            <b/>
            <sz val="9"/>
            <color indexed="81"/>
            <rFont val="Tahoma"/>
            <family val="2"/>
          </rPr>
          <t>jarmylly:</t>
        </r>
        <r>
          <rPr>
            <sz val="9"/>
            <color indexed="81"/>
            <rFont val="Tahoma"/>
            <family val="2"/>
          </rPr>
          <t xml:space="preserve">
Contains one disk:
- DB_backup: 6013,44GB</t>
        </r>
      </text>
    </comment>
    <comment ref="AH11" authorId="2" shapeId="0" xr:uid="{304848FA-0548-4AAE-9461-5F89E1478BEC}">
      <text>
        <r>
          <rPr>
            <b/>
            <sz val="9"/>
            <color indexed="81"/>
            <rFont val="Tahoma"/>
            <family val="2"/>
          </rPr>
          <t>Goyal, Mayank (Nokia - IN/Bangalore):</t>
        </r>
        <r>
          <rPr>
            <sz val="9"/>
            <color indexed="81"/>
            <rFont val="Tahoma"/>
            <family val="2"/>
          </rPr>
          <t xml:space="preserve">
Contains one disk:
- db-fb_disk : 2048 GB </t>
        </r>
      </text>
    </comment>
    <comment ref="R12" authorId="1" shapeId="0" xr:uid="{83B7C601-5ADD-48E1-A648-2AAD16753CAB}">
      <text>
        <r>
          <rPr>
            <b/>
            <sz val="9"/>
            <color indexed="81"/>
            <rFont val="Tahoma"/>
            <family val="2"/>
          </rPr>
          <t>jarmylly:</t>
        </r>
        <r>
          <rPr>
            <sz val="9"/>
            <color indexed="81"/>
            <rFont val="Tahoma"/>
            <family val="2"/>
          </rPr>
          <t xml:space="preserve">
Contains two disks:
- NFS global: 266240 MB
- NFS_home: 18432 MB
- NFS WAS dump:46080 MB</t>
        </r>
      </text>
    </comment>
    <comment ref="T12" authorId="1" shapeId="0" xr:uid="{7E433405-B437-4A6C-AFFE-D80C05FEF3F9}">
      <text>
        <r>
          <rPr>
            <b/>
            <sz val="9"/>
            <color indexed="81"/>
            <rFont val="Tahoma"/>
            <family val="2"/>
          </rPr>
          <t>jarmylly:</t>
        </r>
        <r>
          <rPr>
            <sz val="9"/>
            <color indexed="81"/>
            <rFont val="Tahoma"/>
            <family val="2"/>
          </rPr>
          <t xml:space="preserve">
Reserved for customer own data.</t>
        </r>
      </text>
    </comment>
    <comment ref="X12" authorId="1" shapeId="0" xr:uid="{0E5D77E9-6F60-4341-BFF8-B88A1B9CCAA7}">
      <text>
        <r>
          <rPr>
            <b/>
            <sz val="9"/>
            <color indexed="81"/>
            <rFont val="Tahoma"/>
            <family val="2"/>
          </rPr>
          <t>jarmylly:</t>
        </r>
        <r>
          <rPr>
            <sz val="9"/>
            <color indexed="81"/>
            <rFont val="Tahoma"/>
            <family val="2"/>
          </rPr>
          <t xml:space="preserve">
Contains one disk:
- NFS_backup: 304,128GB</t>
        </r>
      </text>
    </comment>
    <comment ref="I19" authorId="3" shapeId="0" xr:uid="{D07FBCBC-5ACA-4305-BEA9-C58F3B185796}">
      <text>
        <r>
          <rPr>
            <b/>
            <sz val="9"/>
            <color indexed="81"/>
            <rFont val="Tahoma"/>
            <family val="2"/>
          </rPr>
          <t>Rastogi, Alok (Nokia - IN/Bangalore):</t>
        </r>
        <r>
          <rPr>
            <sz val="9"/>
            <color indexed="81"/>
            <rFont val="Tahoma"/>
            <family val="2"/>
          </rPr>
          <t xml:space="preserve">
Disk2: 50 GB VMguestDisk3</t>
        </r>
      </text>
    </comment>
    <comment ref="I31" authorId="1" shapeId="0" xr:uid="{89206906-EBED-4D77-9DE9-A587096B8638}">
      <text>
        <r>
          <rPr>
            <b/>
            <sz val="9"/>
            <color indexed="81"/>
            <rFont val="Tahoma"/>
            <family val="2"/>
          </rPr>
          <t>jarmylly:</t>
        </r>
        <r>
          <rPr>
            <sz val="9"/>
            <color indexed="81"/>
            <rFont val="Tahoma"/>
            <family val="2"/>
          </rPr>
          <t xml:space="preserve">
Contains two disks:
- Disk-1: 60GB
- Disk-2: 40GB</t>
        </r>
      </text>
    </comment>
    <comment ref="I32" authorId="1" shapeId="0" xr:uid="{4F475A36-FC5F-44B8-80F3-39DDC4E6779D}">
      <text>
        <r>
          <rPr>
            <b/>
            <sz val="9"/>
            <color indexed="81"/>
            <rFont val="Tahoma"/>
            <family val="2"/>
          </rPr>
          <t>jarmylly:</t>
        </r>
        <r>
          <rPr>
            <sz val="9"/>
            <color indexed="81"/>
            <rFont val="Tahoma"/>
            <family val="2"/>
          </rPr>
          <t xml:space="preserve">
Contains two disks:
- Disk-1: 60GB
- Disk-2: 50GB</t>
        </r>
      </text>
    </comment>
    <comment ref="I33" authorId="1" shapeId="0" xr:uid="{831DBBD1-3766-4C4A-B9D6-954ADC34581E}">
      <text>
        <r>
          <rPr>
            <b/>
            <sz val="9"/>
            <color indexed="81"/>
            <rFont val="Tahoma"/>
            <family val="2"/>
          </rPr>
          <t>jarmylly:</t>
        </r>
        <r>
          <rPr>
            <sz val="9"/>
            <color indexed="81"/>
            <rFont val="Tahoma"/>
            <family val="2"/>
          </rPr>
          <t xml:space="preserve">
Contains two disks:
- Disk-1: 60GB
- Disk-2: 40GB</t>
        </r>
      </text>
    </comment>
    <comment ref="Z34" authorId="1" shapeId="0" xr:uid="{34B0751A-CD41-4862-9FE8-015D3DAEEB6A}">
      <text>
        <r>
          <rPr>
            <b/>
            <sz val="9"/>
            <color indexed="81"/>
            <rFont val="Tahoma"/>
            <family val="2"/>
          </rPr>
          <t>jarmylly:</t>
        </r>
        <r>
          <rPr>
            <sz val="9"/>
            <color indexed="81"/>
            <rFont val="Tahoma"/>
            <family val="2"/>
          </rPr>
          <t xml:space="preserve">
Contains one disk:
- vm66_REP_disk: 46,08GB
</t>
        </r>
      </text>
    </comment>
    <comment ref="AA34" authorId="4" shapeId="0" xr:uid="{0F496BF5-F743-462A-B0ED-F6AFD45F040F}">
      <text>
        <r>
          <rPr>
            <b/>
            <sz val="9"/>
            <color indexed="81"/>
            <rFont val="Calibri"/>
            <family val="2"/>
          </rPr>
          <t>Jari Myllymaa:</t>
        </r>
        <r>
          <rPr>
            <sz val="9"/>
            <color indexed="81"/>
            <rFont val="Calibri"/>
            <family val="2"/>
          </rPr>
          <t xml:space="preserve">
PMDatastore can extend 50GB</t>
        </r>
      </text>
    </comment>
    <comment ref="Z35" authorId="1" shapeId="0" xr:uid="{0154DA3C-1FC8-45C1-85E7-A6E7404310BE}">
      <text>
        <r>
          <rPr>
            <b/>
            <sz val="9"/>
            <color indexed="81"/>
            <rFont val="Tahoma"/>
            <family val="2"/>
          </rPr>
          <t>jarmylly:</t>
        </r>
        <r>
          <rPr>
            <sz val="9"/>
            <color indexed="81"/>
            <rFont val="Tahoma"/>
            <family val="2"/>
          </rPr>
          <t xml:space="preserve">
Contains one disk:
- vm67_REP_disk: 46,08GB</t>
        </r>
      </text>
    </comment>
    <comment ref="I48" authorId="0" shapeId="0" xr:uid="{87D911B1-F00E-4C83-BCB6-FA39192A3CB8}">
      <text>
        <r>
          <rPr>
            <b/>
            <sz val="9"/>
            <color indexed="81"/>
            <rFont val="Tahoma"/>
            <family val="2"/>
          </rPr>
          <t>Thippeswamy, Suresh (Nokia - IN/Bangalore):</t>
        </r>
        <r>
          <rPr>
            <sz val="9"/>
            <color indexed="81"/>
            <rFont val="Tahoma"/>
            <family val="2"/>
          </rPr>
          <t xml:space="preserve">
NetAct20 scratch and on top upgrade, the required disk size is 70GB
On long upgrade environment(Having NetAct19 or older in upgrade history), since /var partition requires 40GB from NetAct20 onwards, so additional 25GB disk space is automtically added and attached to /var partition. With this the total disks consumption will be 96GB </t>
        </r>
      </text>
    </comment>
    <comment ref="I49" authorId="1" shapeId="0" xr:uid="{AB14FD25-F4E3-4FDF-A063-4943DDB12527}">
      <text>
        <r>
          <rPr>
            <b/>
            <sz val="9"/>
            <color indexed="81"/>
            <rFont val="Tahoma"/>
            <family val="2"/>
          </rPr>
          <t>jarmylly:</t>
        </r>
        <r>
          <rPr>
            <sz val="9"/>
            <color indexed="81"/>
            <rFont val="Tahoma"/>
            <family val="2"/>
          </rPr>
          <t xml:space="preserve">
Contains two disks:
- Disk-1: 60GB
- Disk-2: 40GB</t>
        </r>
      </text>
    </comment>
    <comment ref="I50" authorId="1" shapeId="0" xr:uid="{D5B5CCCE-196E-4EE8-9C12-51757D912F08}">
      <text>
        <r>
          <rPr>
            <b/>
            <sz val="9"/>
            <color indexed="81"/>
            <rFont val="Tahoma"/>
            <family val="2"/>
          </rPr>
          <t>jarmylly:</t>
        </r>
        <r>
          <rPr>
            <sz val="9"/>
            <color indexed="81"/>
            <rFont val="Tahoma"/>
            <family val="2"/>
          </rPr>
          <t xml:space="preserve">
Contains two disks:
- Disk-1: 60GB
- Disk-2: 40GB</t>
        </r>
      </text>
    </comment>
    <comment ref="I51" authorId="1" shapeId="0" xr:uid="{71EB4A89-1935-4D62-8669-B29D713C4323}">
      <text>
        <r>
          <rPr>
            <b/>
            <sz val="9"/>
            <color indexed="81"/>
            <rFont val="Tahoma"/>
            <family val="2"/>
          </rPr>
          <t>jarmylly:</t>
        </r>
        <r>
          <rPr>
            <sz val="9"/>
            <color indexed="81"/>
            <rFont val="Tahoma"/>
            <family val="2"/>
          </rPr>
          <t xml:space="preserve">
Contains two disks:
- Disk-1: 60GB
- Disk-2: 40GB</t>
        </r>
      </text>
    </comment>
    <comment ref="I52" authorId="1" shapeId="0" xr:uid="{31A0793F-8DEE-4F40-8FD7-EC96C653F105}">
      <text>
        <r>
          <rPr>
            <b/>
            <sz val="9"/>
            <color indexed="81"/>
            <rFont val="Tahoma"/>
            <family val="2"/>
          </rPr>
          <t>jarmylly:</t>
        </r>
        <r>
          <rPr>
            <sz val="9"/>
            <color indexed="81"/>
            <rFont val="Tahoma"/>
            <family val="2"/>
          </rPr>
          <t xml:space="preserve">
Contains two disks:
- Disk-1: 60GB
- Disk-2: 40GB</t>
        </r>
      </text>
    </comment>
    <comment ref="I53" authorId="1" shapeId="0" xr:uid="{643BCC5B-1D12-4B00-B696-97C1D6100C0F}">
      <text>
        <r>
          <rPr>
            <b/>
            <sz val="9"/>
            <color indexed="81"/>
            <rFont val="Tahoma"/>
            <family val="2"/>
          </rPr>
          <t>jarmylly:</t>
        </r>
        <r>
          <rPr>
            <sz val="9"/>
            <color indexed="81"/>
            <rFont val="Tahoma"/>
            <family val="2"/>
          </rPr>
          <t xml:space="preserve">
Contains two disks:
- Disk-1: 60GB
- Disk-2: 40GB</t>
        </r>
      </text>
    </comment>
    <comment ref="I54" authorId="1" shapeId="0" xr:uid="{C674D215-1F76-47A3-B995-FD9B93D6862E}">
      <text>
        <r>
          <rPr>
            <b/>
            <sz val="9"/>
            <color indexed="81"/>
            <rFont val="Tahoma"/>
            <family val="2"/>
          </rPr>
          <t>jarmylly:</t>
        </r>
        <r>
          <rPr>
            <sz val="9"/>
            <color indexed="81"/>
            <rFont val="Tahoma"/>
            <family val="2"/>
          </rPr>
          <t xml:space="preserve">
Contains two disks:
- Disk-1: 60GB
- Disk-2: 40GB</t>
        </r>
      </text>
    </comment>
    <comment ref="E93" authorId="1" shapeId="0" xr:uid="{86D5DD61-5389-4441-AB11-73673AF2BB9A}">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E94" authorId="1" shapeId="0" xr:uid="{AC69DE9D-476F-48C9-A3A5-7943DD993491}">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A96" authorId="5" shapeId="0" xr:uid="{3B84699E-3F6C-4B76-812E-7A7CDD6C0CC9}">
      <text>
        <t>[Threaded comment]
Your version of Excel allows you to read this threaded comment; however, any edits to it will get removed if the file is opened in a newer version of Excel. Learn more: https://go.microsoft.com/fwlink/?linkid=870924
Comment:
    SP2004 onwards</t>
      </text>
    </comment>
    <comment ref="A117" authorId="3" shapeId="0" xr:uid="{296FBF39-4A4E-4D20-8DF5-9D132F978F50}">
      <text>
        <r>
          <rPr>
            <b/>
            <sz val="9"/>
            <color indexed="81"/>
            <rFont val="Tahoma"/>
            <family val="2"/>
          </rPr>
          <t>Rastogi, Alok (Nokia - IN/Bangalore):</t>
        </r>
        <r>
          <rPr>
            <sz val="9"/>
            <color indexed="81"/>
            <rFont val="Tahoma"/>
            <family val="2"/>
          </rPr>
          <t xml:space="preserve">
This is temporary requirement from Backup for AVE Migration</t>
        </r>
      </text>
    </comment>
    <comment ref="A119" authorId="6" shapeId="0" xr:uid="{4EE9E420-5A2D-44D5-B2B8-9EE568A79A96}">
      <text>
        <t>[Threaded comment]
Your version of Excel allows you to read this threaded comment; however, any edits to it will get removed if the file is opened in a newer version of Excel. Learn more: https://go.microsoft.com/fwlink/?linkid=870924
Comment:
    optional</t>
      </text>
    </comment>
    <comment ref="C120" authorId="0" shapeId="0" xr:uid="{9ED9844D-E010-4300-B9C9-5CD37F8A7CBE}">
      <text>
        <r>
          <rPr>
            <b/>
            <sz val="9"/>
            <color indexed="81"/>
            <rFont val="Tahoma"/>
            <family val="2"/>
          </rPr>
          <t>Thippeswamy, Suresh (Nokia - IN/Bangalore):</t>
        </r>
        <r>
          <rPr>
            <sz val="9"/>
            <color indexed="81"/>
            <rFont val="Tahoma"/>
            <family val="2"/>
          </rPr>
          <t xml:space="preserve">
Based on vCSA version selected, Datastore size and datastore usage  varies</t>
        </r>
      </text>
    </comment>
    <comment ref="A121" authorId="0" shapeId="0" xr:uid="{07D878C4-1C06-46B4-A4FC-B7ED9F02C643}">
      <text>
        <r>
          <rPr>
            <b/>
            <sz val="9"/>
            <color indexed="81"/>
            <rFont val="Tahoma"/>
            <family val="2"/>
          </rPr>
          <t>Thippeswamy, Suresh (Nokia - IN/Bangalore):</t>
        </r>
        <r>
          <rPr>
            <sz val="9"/>
            <color indexed="81"/>
            <rFont val="Tahoma"/>
            <family val="2"/>
          </rPr>
          <t xml:space="preserve">
This datastore is needed only if NAPD optional VM is planned to deploy</t>
        </r>
      </text>
    </comment>
    <comment ref="A122" authorId="0" shapeId="0" xr:uid="{AE8906DB-B32D-45E8-917B-A79C2ECABD2C}">
      <text>
        <r>
          <rPr>
            <b/>
            <sz val="9"/>
            <color indexed="81"/>
            <rFont val="Tahoma"/>
            <family val="2"/>
          </rPr>
          <t>Thippeswamy, Suresh (Nokia - IN/Bangalore):</t>
        </r>
        <r>
          <rPr>
            <sz val="9"/>
            <color indexed="81"/>
            <rFont val="Tahoma"/>
            <family val="2"/>
          </rPr>
          <t xml:space="preserve">
This datastore is needed only if ARC optional VMs are planned to deploy</t>
        </r>
      </text>
    </comment>
    <comment ref="A123" authorId="0" shapeId="0" xr:uid="{C5AE74A7-4F5C-49AA-8E9F-C7843F325ADC}">
      <text>
        <r>
          <rPr>
            <b/>
            <sz val="9"/>
            <color indexed="81"/>
            <rFont val="Tahoma"/>
            <family val="2"/>
          </rPr>
          <t>Thippeswamy, Suresh (Nokia - IN/Bangalore):</t>
        </r>
        <r>
          <rPr>
            <sz val="9"/>
            <color indexed="81"/>
            <rFont val="Tahoma"/>
            <family val="2"/>
          </rPr>
          <t xml:space="preserve">
This Datastore is needed only when TREX Analyzer VMs are planned to deploy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Thippeswamy, Suresh (Nokia - IN/Bangalore)</author>
    <author>tc={AF246EFC-3934-4A82-B62C-267592827338}</author>
    <author>tc={63FEB8CC-7FD7-42D1-A57F-F5F4298518A9}</author>
    <author>tc={C3792A41-BBC5-482B-B9CE-239B909C75E0}</author>
    <author>jarmylly</author>
    <author>Goyal, Mayank (Nokia - IN/Bangalore)</author>
    <author>Rastogi, Alok (Nokia - IN/Bangalore)</author>
    <author>Jari Myllymaa</author>
    <author>tc={2D617B94-1EE4-4DFF-97E1-518DD0747A82}</author>
    <author>tc={67D9AFC5-8B05-4A6F-99FA-13942425B17F}</author>
    <author>tc={824BD304-5CDD-4121-AED2-48071748C54F}</author>
  </authors>
  <commentList>
    <comment ref="E9" authorId="0" shapeId="0" xr:uid="{589153B3-8483-4A87-915F-6196EA3281F4}">
      <text>
        <r>
          <rPr>
            <b/>
            <sz val="9"/>
            <color indexed="81"/>
            <rFont val="Tahoma"/>
            <family val="2"/>
          </rPr>
          <t>Thippeswamy, Suresh (Nokia - IN/Bangalore):</t>
        </r>
        <r>
          <rPr>
            <sz val="9"/>
            <color indexed="81"/>
            <rFont val="Tahoma"/>
            <family val="2"/>
          </rPr>
          <t xml:space="preserve">
Select the vCSA version</t>
        </r>
      </text>
    </comment>
    <comment ref="F11" authorId="1" shapeId="0" xr:uid="{AF246EFC-3934-4A82-B62C-267592827338}">
      <text>
        <t>[Threaded comment]
Your version of Excel allows you to read this threaded comment; however, any edits to it will get removed if the file is opened in a newer version of Excel. Learn more: https://go.microsoft.com/fwlink/?linkid=870924
Comment:
    Large vCPU: 16
Extended large vCPU: 16</t>
      </text>
    </comment>
    <comment ref="G11" authorId="2" shapeId="0" xr:uid="{63FEB8CC-7FD7-42D1-A57F-F5F4298518A9}">
      <text>
        <t>[Threaded comment]
Your version of Excel allows you to read this threaded comment; however, any edits to it will get removed if the file is opened in a newer version of Excel. Learn more: https://go.microsoft.com/fwlink/?linkid=870924
Comment:
    Large vRAM: 90GB
Extended large vRAM: 115GB</t>
      </text>
    </comment>
    <comment ref="H11" authorId="3" shapeId="0" xr:uid="{C3792A41-BBC5-482B-B9CE-239B909C75E0}">
      <text>
        <t>[Threaded comment]
Your version of Excel allows you to read this threaded comment; however, any edits to it will get removed if the file is opened in a newer version of Excel. Learn more: https://go.microsoft.com/fwlink/?linkid=870924
Comment:
    Large memory reservation: 74.25GB
Extended large memory reservation: 94.875GB</t>
      </text>
    </comment>
    <comment ref="L11" authorId="0" shapeId="0" xr:uid="{1961B67D-797B-412E-AED4-BA89A22C6F37}">
      <text>
        <r>
          <rPr>
            <b/>
            <sz val="9"/>
            <color indexed="81"/>
            <rFont val="Tahoma"/>
            <family val="2"/>
          </rPr>
          <t>Thippeswamy, Suresh (Nokia - IN/Bangalore):</t>
        </r>
        <r>
          <rPr>
            <sz val="9"/>
            <color indexed="81"/>
            <rFont val="Tahoma"/>
            <family val="2"/>
          </rPr>
          <t xml:space="preserve">
Db_redo disk size:119,8GB</t>
        </r>
      </text>
    </comment>
    <comment ref="N11" authorId="4" shapeId="0" xr:uid="{7ACEC13F-B5FA-48A3-9058-A142DDC1ABEA}">
      <text>
        <r>
          <rPr>
            <b/>
            <sz val="9"/>
            <color indexed="81"/>
            <rFont val="Tahoma"/>
            <family val="2"/>
          </rPr>
          <t>jarmylly:</t>
        </r>
        <r>
          <rPr>
            <sz val="9"/>
            <color indexed="81"/>
            <rFont val="Tahoma"/>
            <family val="2"/>
          </rPr>
          <t xml:space="preserve">
Contains one disk, either: 
- DB_data: 2304GB
Extended :
- DB_data: 5667,84</t>
        </r>
      </text>
    </comment>
    <comment ref="P11" authorId="4" shapeId="0" xr:uid="{5D924632-9BE9-4DB0-A90A-7A50BABD1469}">
      <text>
        <r>
          <rPr>
            <b/>
            <sz val="9"/>
            <color indexed="81"/>
            <rFont val="Tahoma"/>
            <family val="2"/>
          </rPr>
          <t>jarmylly:</t>
        </r>
        <r>
          <rPr>
            <sz val="9"/>
            <color indexed="81"/>
            <rFont val="Tahoma"/>
            <family val="2"/>
          </rPr>
          <t xml:space="preserve">
Contains one disk: 
 DB_arc: 3456GB
Extended:
 DB_arc: 4700,16GB</t>
        </r>
      </text>
    </comment>
    <comment ref="X11" authorId="4" shapeId="0" xr:uid="{F1C0C49F-04CF-48CC-B8D8-4CBA64D00B18}">
      <text>
        <r>
          <rPr>
            <b/>
            <sz val="9"/>
            <color indexed="81"/>
            <rFont val="Tahoma"/>
            <family val="2"/>
          </rPr>
          <t>jarmylly:</t>
        </r>
        <r>
          <rPr>
            <sz val="9"/>
            <color indexed="81"/>
            <rFont val="Tahoma"/>
            <family val="2"/>
          </rPr>
          <t xml:space="preserve">
Contains one disk:
  DB_backup: 10022,40GB
Extended:
  DB_backup:17003,52GB</t>
        </r>
      </text>
    </comment>
    <comment ref="AH11" authorId="5" shapeId="0" xr:uid="{89E53A43-BE64-4FB3-BF48-F6C6262235C1}">
      <text>
        <r>
          <rPr>
            <b/>
            <sz val="9"/>
            <color indexed="81"/>
            <rFont val="Tahoma"/>
            <family val="2"/>
          </rPr>
          <t>Goyal, Mayank (Nokia - IN/Bangalore):</t>
        </r>
        <r>
          <rPr>
            <sz val="9"/>
            <color indexed="81"/>
            <rFont val="Tahoma"/>
            <family val="2"/>
          </rPr>
          <t xml:space="preserve">
Contains one disk:
- db-fb_disk : 3145728MB</t>
        </r>
      </text>
    </comment>
    <comment ref="R12" authorId="4" shapeId="0" xr:uid="{75F4B5BE-B4EA-4E4E-8160-13178BD0A23E}">
      <text>
        <r>
          <rPr>
            <b/>
            <sz val="9"/>
            <color indexed="81"/>
            <rFont val="Tahoma"/>
            <family val="2"/>
          </rPr>
          <t>jarmylly:</t>
        </r>
        <r>
          <rPr>
            <sz val="9"/>
            <color indexed="81"/>
            <rFont val="Tahoma"/>
            <family val="2"/>
          </rPr>
          <t xml:space="preserve">
Contains two disks:
- NFS global: 378880 MB
- NFS_home: 24576 MB
- NFS WAS dump: 87040 MB</t>
        </r>
      </text>
    </comment>
    <comment ref="T12" authorId="4" shapeId="0" xr:uid="{07A0A8AA-7608-4912-9714-A2ED960FD648}">
      <text>
        <r>
          <rPr>
            <b/>
            <sz val="9"/>
            <color indexed="81"/>
            <rFont val="Tahoma"/>
            <family val="2"/>
          </rPr>
          <t>jarmylly:</t>
        </r>
        <r>
          <rPr>
            <sz val="9"/>
            <color indexed="81"/>
            <rFont val="Tahoma"/>
            <family val="2"/>
          </rPr>
          <t xml:space="preserve">
Reserved for customer own data.</t>
        </r>
      </text>
    </comment>
    <comment ref="X12" authorId="4" shapeId="0" xr:uid="{585B313F-AE13-48CB-AA85-33F6559FA9C2}">
      <text>
        <r>
          <rPr>
            <b/>
            <sz val="9"/>
            <color indexed="81"/>
            <rFont val="Tahoma"/>
            <family val="2"/>
          </rPr>
          <t>jarmylly:</t>
        </r>
        <r>
          <rPr>
            <sz val="9"/>
            <color indexed="81"/>
            <rFont val="Tahoma"/>
            <family val="2"/>
          </rPr>
          <t xml:space="preserve">
Contains one disk:
- NFS_backup: 460,6GB</t>
        </r>
      </text>
    </comment>
    <comment ref="I19" authorId="6" shapeId="0" xr:uid="{8B8BC10C-2EFA-427B-981E-14EC12E80CD6}">
      <text>
        <r>
          <rPr>
            <b/>
            <sz val="9"/>
            <color indexed="81"/>
            <rFont val="Tahoma"/>
            <family val="2"/>
          </rPr>
          <t>Rastogi, Alok (Nokia - IN/Bangalore):</t>
        </r>
        <r>
          <rPr>
            <sz val="9"/>
            <color indexed="81"/>
            <rFont val="Tahoma"/>
            <family val="2"/>
          </rPr>
          <t xml:space="preserve">
Disk2:50GB VMGuestDisk3</t>
        </r>
      </text>
    </comment>
    <comment ref="I35" authorId="4" shapeId="0" xr:uid="{392BAAFF-EB05-4C06-9A52-60D1542EFB39}">
      <text>
        <r>
          <rPr>
            <b/>
            <sz val="9"/>
            <color indexed="81"/>
            <rFont val="Tahoma"/>
            <family val="2"/>
          </rPr>
          <t>jarmylly:</t>
        </r>
        <r>
          <rPr>
            <sz val="9"/>
            <color indexed="81"/>
            <rFont val="Tahoma"/>
            <family val="2"/>
          </rPr>
          <t xml:space="preserve">
Contains two disks:
- Disk-1: 60GB
- Disk-2: 40GB</t>
        </r>
      </text>
    </comment>
    <comment ref="I36" authorId="4" shapeId="0" xr:uid="{03914170-6CC5-4201-A1A9-EB2AF8D2FAAF}">
      <text>
        <r>
          <rPr>
            <b/>
            <sz val="9"/>
            <color indexed="81"/>
            <rFont val="Tahoma"/>
            <family val="2"/>
          </rPr>
          <t>jarmylly:</t>
        </r>
        <r>
          <rPr>
            <sz val="9"/>
            <color indexed="81"/>
            <rFont val="Tahoma"/>
            <family val="2"/>
          </rPr>
          <t xml:space="preserve">
Contains two disks:
- Disk-1: 60GB
- Disk-2: 50GB</t>
        </r>
      </text>
    </comment>
    <comment ref="I37" authorId="4" shapeId="0" xr:uid="{CAE34A04-D9D2-4CEA-B873-4BACAC83A93E}">
      <text>
        <r>
          <rPr>
            <b/>
            <sz val="9"/>
            <color indexed="81"/>
            <rFont val="Tahoma"/>
            <family val="2"/>
          </rPr>
          <t>jarmylly:</t>
        </r>
        <r>
          <rPr>
            <sz val="9"/>
            <color indexed="81"/>
            <rFont val="Tahoma"/>
            <family val="2"/>
          </rPr>
          <t xml:space="preserve">
Contains two disks:
- Disk-1: 60GB
- Disk-2: 40GB</t>
        </r>
      </text>
    </comment>
    <comment ref="Z38" authorId="4" shapeId="0" xr:uid="{9A4F20B9-568F-46CA-ADC3-97A22005C727}">
      <text>
        <r>
          <rPr>
            <b/>
            <sz val="9"/>
            <color indexed="81"/>
            <rFont val="Tahoma"/>
            <family val="2"/>
          </rPr>
          <t>jarmylly:</t>
        </r>
        <r>
          <rPr>
            <sz val="9"/>
            <color indexed="81"/>
            <rFont val="Tahoma"/>
            <family val="2"/>
          </rPr>
          <t xml:space="preserve">
Contains one disk:
- vm66_REP_disk: 46,08GB
</t>
        </r>
      </text>
    </comment>
    <comment ref="AA38" authorId="7" shapeId="0" xr:uid="{33A0BD00-79B4-46F5-8892-7A3CF664CAD9}">
      <text>
        <r>
          <rPr>
            <b/>
            <sz val="9"/>
            <color indexed="81"/>
            <rFont val="Calibri"/>
            <family val="2"/>
          </rPr>
          <t>Jari Myllymaa:</t>
        </r>
        <r>
          <rPr>
            <sz val="9"/>
            <color indexed="81"/>
            <rFont val="Calibri"/>
            <family val="2"/>
          </rPr>
          <t xml:space="preserve">
PMDatastore can extend 50GB</t>
        </r>
      </text>
    </comment>
    <comment ref="Z39" authorId="4" shapeId="0" xr:uid="{C7D87426-F0FD-4ADE-BBC5-400824B35C88}">
      <text>
        <r>
          <rPr>
            <b/>
            <sz val="9"/>
            <color indexed="81"/>
            <rFont val="Tahoma"/>
            <family val="2"/>
          </rPr>
          <t>jarmylly:</t>
        </r>
        <r>
          <rPr>
            <sz val="9"/>
            <color indexed="81"/>
            <rFont val="Tahoma"/>
            <family val="2"/>
          </rPr>
          <t xml:space="preserve">
Contains one disk:
- vm67_REP_disk: 46,08GB</t>
        </r>
      </text>
    </comment>
    <comment ref="Z40" authorId="4" shapeId="0" xr:uid="{1B051511-39EE-4277-B5D0-6177C34542CC}">
      <text>
        <r>
          <rPr>
            <b/>
            <sz val="9"/>
            <color indexed="81"/>
            <rFont val="Tahoma"/>
            <family val="2"/>
          </rPr>
          <t>jarmylly:</t>
        </r>
        <r>
          <rPr>
            <sz val="9"/>
            <color indexed="81"/>
            <rFont val="Tahoma"/>
            <family val="2"/>
          </rPr>
          <t xml:space="preserve">
Contains one disk:
- vm68_REP_disk: 46,08GB</t>
        </r>
      </text>
    </comment>
    <comment ref="Z41" authorId="4" shapeId="0" xr:uid="{B08985CC-AFCF-4A6D-9008-94AB18E789AE}">
      <text>
        <r>
          <rPr>
            <b/>
            <sz val="9"/>
            <color indexed="81"/>
            <rFont val="Tahoma"/>
            <family val="2"/>
          </rPr>
          <t>jarmylly:</t>
        </r>
        <r>
          <rPr>
            <sz val="9"/>
            <color indexed="81"/>
            <rFont val="Tahoma"/>
            <family val="2"/>
          </rPr>
          <t xml:space="preserve">
Contains one disk:
- vm69_REP_disk: 46,08GB</t>
        </r>
      </text>
    </comment>
    <comment ref="E47" authorId="8" shapeId="0" xr:uid="{2D617B94-1EE4-4DFF-97E1-518DD0747A82}">
      <text>
        <t>[Threaded comment]
Your version of Excel allows you to read this threaded comment; however, any edits to it will get removed if the file is opened in a newer version of Excel. Learn more: https://go.microsoft.com/fwlink/?linkid=870924
Comment:
    GEN9/GEN10 can be used for HW expansion</t>
      </text>
    </comment>
    <comment ref="I55" authorId="0" shapeId="0" xr:uid="{97336F29-57FB-4559-AAC3-C960D91CD35D}">
      <text>
        <r>
          <rPr>
            <b/>
            <sz val="9"/>
            <color indexed="81"/>
            <rFont val="Tahoma"/>
            <family val="2"/>
          </rPr>
          <t>Thippeswamy, Suresh (Nokia - IN/Bangalore):</t>
        </r>
        <r>
          <rPr>
            <sz val="9"/>
            <color indexed="81"/>
            <rFont val="Tahoma"/>
            <family val="2"/>
          </rPr>
          <t xml:space="preserve">
NetAct20 scratch and on top upgrade, the required disk size is 70GB
On long upgrade environment(Having NetAct19 or older in upgrade history), since /var partition requires 40GB from NetAct20 onwards, so additional 25GB disk space is automtically added and attached to /var partition. With this the total disks consumption will be 96GB </t>
        </r>
      </text>
    </comment>
    <comment ref="I56" authorId="4" shapeId="0" xr:uid="{F99F158B-682D-4252-906B-33CE2161913A}">
      <text>
        <r>
          <rPr>
            <b/>
            <sz val="9"/>
            <color indexed="81"/>
            <rFont val="Tahoma"/>
            <family val="2"/>
          </rPr>
          <t>jarmylly:</t>
        </r>
        <r>
          <rPr>
            <sz val="9"/>
            <color indexed="81"/>
            <rFont val="Tahoma"/>
            <family val="2"/>
          </rPr>
          <t xml:space="preserve">
Contains two disks:
- Disk-1: 60GB
- Disk-2: 40GB</t>
        </r>
      </text>
    </comment>
    <comment ref="I57" authorId="4" shapeId="0" xr:uid="{9DA97EC3-2D8E-4FAB-A4CA-B16BFB037609}">
      <text>
        <r>
          <rPr>
            <b/>
            <sz val="9"/>
            <color indexed="81"/>
            <rFont val="Tahoma"/>
            <family val="2"/>
          </rPr>
          <t>jarmylly:</t>
        </r>
        <r>
          <rPr>
            <sz val="9"/>
            <color indexed="81"/>
            <rFont val="Tahoma"/>
            <family val="2"/>
          </rPr>
          <t xml:space="preserve">
Contains two disks:
- Disk-1: 60GB
- Disk-2: 40GB</t>
        </r>
      </text>
    </comment>
    <comment ref="I58" authorId="4" shapeId="0" xr:uid="{999CACE2-35D6-4F22-84CF-FE05705AAC27}">
      <text>
        <r>
          <rPr>
            <b/>
            <sz val="9"/>
            <color indexed="81"/>
            <rFont val="Tahoma"/>
            <family val="2"/>
          </rPr>
          <t>jarmylly:</t>
        </r>
        <r>
          <rPr>
            <sz val="9"/>
            <color indexed="81"/>
            <rFont val="Tahoma"/>
            <family val="2"/>
          </rPr>
          <t xml:space="preserve">
Contains two disks:
- Disk-1: 60GB
- Disk-2: 40GB</t>
        </r>
      </text>
    </comment>
    <comment ref="I59" authorId="4" shapeId="0" xr:uid="{5CC54B51-52AE-4A2C-96DC-5CFE369CCA63}">
      <text>
        <r>
          <rPr>
            <b/>
            <sz val="9"/>
            <color indexed="81"/>
            <rFont val="Tahoma"/>
            <family val="2"/>
          </rPr>
          <t>jarmylly:</t>
        </r>
        <r>
          <rPr>
            <sz val="9"/>
            <color indexed="81"/>
            <rFont val="Tahoma"/>
            <family val="2"/>
          </rPr>
          <t xml:space="preserve">
Contains two disks:
- Disk-1: 60GB
- Disk-2: 40GB</t>
        </r>
      </text>
    </comment>
    <comment ref="I60" authorId="4" shapeId="0" xr:uid="{62ED9EFD-B65A-4896-95B4-98F8AA20D8EE}">
      <text>
        <r>
          <rPr>
            <b/>
            <sz val="9"/>
            <color indexed="81"/>
            <rFont val="Tahoma"/>
            <family val="2"/>
          </rPr>
          <t>jarmylly:</t>
        </r>
        <r>
          <rPr>
            <sz val="9"/>
            <color indexed="81"/>
            <rFont val="Tahoma"/>
            <family val="2"/>
          </rPr>
          <t xml:space="preserve">
Contains two disks:
- Disk-1: 60GB
- Disk-2: 40GB</t>
        </r>
      </text>
    </comment>
    <comment ref="I61" authorId="4" shapeId="0" xr:uid="{3345A4FD-0395-4769-BB8A-66CD1AFA11CE}">
      <text>
        <r>
          <rPr>
            <b/>
            <sz val="9"/>
            <color indexed="81"/>
            <rFont val="Tahoma"/>
            <family val="2"/>
          </rPr>
          <t>jarmylly:</t>
        </r>
        <r>
          <rPr>
            <sz val="9"/>
            <color indexed="81"/>
            <rFont val="Tahoma"/>
            <family val="2"/>
          </rPr>
          <t xml:space="preserve">
Contains two disks:
- Disk-1: 60GB
- Disk-2: 40GB</t>
        </r>
      </text>
    </comment>
    <comment ref="I62" authorId="4" shapeId="0" xr:uid="{0718CF39-9254-44FE-A53A-4A66BBF95953}">
      <text>
        <r>
          <rPr>
            <b/>
            <sz val="9"/>
            <color indexed="81"/>
            <rFont val="Tahoma"/>
            <family val="2"/>
          </rPr>
          <t>jarmylly:</t>
        </r>
        <r>
          <rPr>
            <sz val="9"/>
            <color indexed="81"/>
            <rFont val="Tahoma"/>
            <family val="2"/>
          </rPr>
          <t xml:space="preserve">
Contains two disks:
- Disk-1: 60GB
- Disk-2: 40GB</t>
        </r>
      </text>
    </comment>
    <comment ref="I63" authorId="4" shapeId="0" xr:uid="{C3EC0D2E-3738-47AA-82E3-2F93337D37EF}">
      <text>
        <r>
          <rPr>
            <b/>
            <sz val="9"/>
            <color indexed="81"/>
            <rFont val="Tahoma"/>
            <family val="2"/>
          </rPr>
          <t>jarmylly:</t>
        </r>
        <r>
          <rPr>
            <sz val="9"/>
            <color indexed="81"/>
            <rFont val="Tahoma"/>
            <family val="2"/>
          </rPr>
          <t xml:space="preserve">
Contains two disks:
- Disk-1: 60GB
- Disk-2: 40GB</t>
        </r>
      </text>
    </comment>
    <comment ref="I64" authorId="4" shapeId="0" xr:uid="{ED70513B-8E44-40E9-AFE8-C9A62BCA20C7}">
      <text>
        <r>
          <rPr>
            <b/>
            <sz val="9"/>
            <color indexed="81"/>
            <rFont val="Tahoma"/>
            <family val="2"/>
          </rPr>
          <t>jarmylly:</t>
        </r>
        <r>
          <rPr>
            <sz val="9"/>
            <color indexed="81"/>
            <rFont val="Tahoma"/>
            <family val="2"/>
          </rPr>
          <t xml:space="preserve">
Contains two disks:
- Disk-1: 60GB
- Disk-2: 40GB</t>
        </r>
      </text>
    </comment>
    <comment ref="I65" authorId="4" shapeId="0" xr:uid="{5F5748B5-AAE1-43A7-A7C7-B45FC19BA690}">
      <text>
        <r>
          <rPr>
            <b/>
            <sz val="9"/>
            <color indexed="81"/>
            <rFont val="Tahoma"/>
            <family val="2"/>
          </rPr>
          <t>jarmylly:</t>
        </r>
        <r>
          <rPr>
            <sz val="9"/>
            <color indexed="81"/>
            <rFont val="Tahoma"/>
            <family val="2"/>
          </rPr>
          <t xml:space="preserve">
Contains two disks:
- Disk-1: 60GB
- Disk-2: 40GB</t>
        </r>
      </text>
    </comment>
    <comment ref="I73" authorId="4" shapeId="0" xr:uid="{7C507C16-8225-4DE1-81C9-973196133392}">
      <text>
        <r>
          <rPr>
            <b/>
            <sz val="9"/>
            <color indexed="81"/>
            <rFont val="Tahoma"/>
            <family val="2"/>
          </rPr>
          <t>jarmylly:</t>
        </r>
        <r>
          <rPr>
            <sz val="9"/>
            <color indexed="81"/>
            <rFont val="Tahoma"/>
            <family val="2"/>
          </rPr>
          <t xml:space="preserve">
Contains two disks:
- Disk-1: 30GB
- Disk-2: 80GB</t>
        </r>
      </text>
    </comment>
    <comment ref="I74" authorId="4" shapeId="0" xr:uid="{2A8D3244-7697-4F7D-A3C8-9AD7155FB9AE}">
      <text>
        <r>
          <rPr>
            <b/>
            <sz val="9"/>
            <color indexed="81"/>
            <rFont val="Tahoma"/>
            <family val="2"/>
          </rPr>
          <t>jarmylly:</t>
        </r>
        <r>
          <rPr>
            <sz val="9"/>
            <color indexed="81"/>
            <rFont val="Tahoma"/>
            <family val="2"/>
          </rPr>
          <t xml:space="preserve">
Contains two disks:
- Disk-1: 30GB
- Disk-2: 80GB</t>
        </r>
      </text>
    </comment>
    <comment ref="E105" authorId="4" shapeId="0" xr:uid="{311D052B-FF79-446A-A81D-7FA27D790DE5}">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E106" authorId="4" shapeId="0" xr:uid="{AE102410-D98F-47DA-BD71-6093BDA12FB1}">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A108" authorId="9" shapeId="0" xr:uid="{67D9AFC5-8B05-4A6F-99FA-13942425B17F}">
      <text>
        <t>[Threaded comment]
Your version of Excel allows you to read this threaded comment; however, any edits to it will get removed if the file is opened in a newer version of Excel. Learn more: https://go.microsoft.com/fwlink/?linkid=870924
Comment:
    SP2004 onwards</t>
      </text>
    </comment>
    <comment ref="A130" authorId="6" shapeId="0" xr:uid="{D6C96938-C7CE-4F4E-9D85-B0BC568AC910}">
      <text>
        <r>
          <rPr>
            <b/>
            <sz val="9"/>
            <color indexed="81"/>
            <rFont val="Tahoma"/>
            <family val="2"/>
          </rPr>
          <t>Rastogi, Alok (Nokia - IN/Bangalore):</t>
        </r>
        <r>
          <rPr>
            <sz val="9"/>
            <color indexed="81"/>
            <rFont val="Tahoma"/>
            <family val="2"/>
          </rPr>
          <t xml:space="preserve">
This is temporary requirement from Backup for AVE Migration</t>
        </r>
      </text>
    </comment>
    <comment ref="A132" authorId="10" shapeId="0" xr:uid="{824BD304-5CDD-4121-AED2-48071748C54F}">
      <text>
        <t>[Threaded comment]
Your version of Excel allows you to read this threaded comment; however, any edits to it will get removed if the file is opened in a newer version of Excel. Learn more: https://go.microsoft.com/fwlink/?linkid=870924
Comment:
    optional</t>
      </text>
    </comment>
    <comment ref="C133" authorId="0" shapeId="0" xr:uid="{39654CB9-FA53-4CA7-96D4-B82DE1E68BCA}">
      <text>
        <r>
          <rPr>
            <b/>
            <sz val="9"/>
            <color indexed="81"/>
            <rFont val="Tahoma"/>
            <family val="2"/>
          </rPr>
          <t>Thippeswamy, Suresh (Nokia - IN/Bangalore):</t>
        </r>
        <r>
          <rPr>
            <sz val="9"/>
            <color indexed="81"/>
            <rFont val="Tahoma"/>
            <family val="2"/>
          </rPr>
          <t xml:space="preserve">
Based on vCSA version selected, Datastore size and datastore usage  varies</t>
        </r>
      </text>
    </comment>
    <comment ref="A134" authorId="0" shapeId="0" xr:uid="{7EBC508A-DA6C-47B0-AE34-53E651EEC9B9}">
      <text>
        <r>
          <rPr>
            <b/>
            <sz val="9"/>
            <color indexed="81"/>
            <rFont val="Tahoma"/>
            <family val="2"/>
          </rPr>
          <t>Thippeswamy, Suresh (Nokia - IN/Bangalore):</t>
        </r>
        <r>
          <rPr>
            <sz val="9"/>
            <color indexed="81"/>
            <rFont val="Tahoma"/>
            <family val="2"/>
          </rPr>
          <t xml:space="preserve">
This datastore is needed only if NAPD optional VM is planned to deploy</t>
        </r>
      </text>
    </comment>
    <comment ref="A135" authorId="0" shapeId="0" xr:uid="{65179F26-D94E-4A48-A201-B17374F66238}">
      <text>
        <r>
          <rPr>
            <b/>
            <sz val="9"/>
            <color indexed="81"/>
            <rFont val="Tahoma"/>
            <family val="2"/>
          </rPr>
          <t>Thippeswamy, Suresh (Nokia - IN/Bangalore):</t>
        </r>
        <r>
          <rPr>
            <sz val="9"/>
            <color indexed="81"/>
            <rFont val="Tahoma"/>
            <family val="2"/>
          </rPr>
          <t xml:space="preserve">
This datastore is needed only if ARC optional VMs are planned to deploy</t>
        </r>
      </text>
    </comment>
    <comment ref="A136" authorId="0" shapeId="0" xr:uid="{A2139E5D-75DC-4F80-B0BF-A7E4E794AF76}">
      <text>
        <r>
          <rPr>
            <b/>
            <sz val="9"/>
            <color indexed="81"/>
            <rFont val="Tahoma"/>
            <family val="2"/>
          </rPr>
          <t>Thippeswamy, Suresh (Nokia - IN/Bangalore):</t>
        </r>
        <r>
          <rPr>
            <sz val="9"/>
            <color indexed="81"/>
            <rFont val="Tahoma"/>
            <family val="2"/>
          </rPr>
          <t xml:space="preserve">
This Datastore is needed only when TREX Analyzer VMs are planned to deploy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Thippeswamy, Suresh (Nokia - IN/Bangalore)</author>
    <author>jarmylly</author>
    <author>Rastogi, Alok (Nokia - IN/Bangalore)</author>
    <author>Jari Myllymaa</author>
    <author>tc={8F3263D4-1FEF-4213-B89B-CE1D3EC1A98A}</author>
  </authors>
  <commentList>
    <comment ref="E9" authorId="0" shapeId="0" xr:uid="{9774E0A4-491E-4DFB-AF95-4ACA57B27951}">
      <text>
        <r>
          <rPr>
            <b/>
            <sz val="9"/>
            <color indexed="81"/>
            <rFont val="Tahoma"/>
            <family val="2"/>
          </rPr>
          <t>Thippeswamy, Suresh (Nokia - IN/Bangalore):</t>
        </r>
        <r>
          <rPr>
            <sz val="9"/>
            <color indexed="81"/>
            <rFont val="Tahoma"/>
            <family val="2"/>
          </rPr>
          <t xml:space="preserve">
Select the vCSA version</t>
        </r>
      </text>
    </comment>
    <comment ref="L11" authorId="1" shapeId="0" xr:uid="{C0BF2F0E-B7C6-43A0-98F4-329E08F3AF23}">
      <text>
        <r>
          <rPr>
            <b/>
            <sz val="9"/>
            <color indexed="81"/>
            <rFont val="Tahoma"/>
            <family val="2"/>
          </rPr>
          <t>Vishek:</t>
        </r>
        <r>
          <rPr>
            <sz val="9"/>
            <color indexed="81"/>
            <rFont val="Tahoma"/>
            <family val="2"/>
          </rPr>
          <t xml:space="preserve">
Contains one disk:
- DB_redo: 4,71,040MB</t>
        </r>
      </text>
    </comment>
    <comment ref="N11" authorId="1" shapeId="0" xr:uid="{A49F3B06-1DA4-4FA0-9E72-62FA79650855}">
      <text>
        <r>
          <rPr>
            <b/>
            <sz val="9"/>
            <color indexed="81"/>
            <rFont val="Tahoma"/>
            <family val="2"/>
          </rPr>
          <t>jarmylly:</t>
        </r>
        <r>
          <rPr>
            <sz val="9"/>
            <color indexed="81"/>
            <rFont val="Tahoma"/>
            <family val="2"/>
          </rPr>
          <t xml:space="preserve">
Contains one disk: 
- DB_data: 8294,40GB</t>
        </r>
      </text>
    </comment>
    <comment ref="P11" authorId="1" shapeId="0" xr:uid="{D7DC5DF5-81B4-47EA-9FB3-463544C1FFC0}">
      <text>
        <r>
          <rPr>
            <b/>
            <sz val="9"/>
            <color indexed="81"/>
            <rFont val="Tahoma"/>
            <family val="2"/>
          </rPr>
          <t>jarmylly:</t>
        </r>
        <r>
          <rPr>
            <sz val="9"/>
            <color indexed="81"/>
            <rFont val="Tahoma"/>
            <family val="2"/>
          </rPr>
          <t xml:space="preserve">
Contains one disk: 
- DB_arc: 12441,60GB</t>
        </r>
      </text>
    </comment>
    <comment ref="X11" authorId="1" shapeId="0" xr:uid="{1FC77E3B-32C7-4DAE-B285-5131F74026BB}">
      <text>
        <r>
          <rPr>
            <b/>
            <sz val="9"/>
            <color indexed="81"/>
            <rFont val="Tahoma"/>
            <family val="2"/>
          </rPr>
          <t>jarmylly:</t>
        </r>
        <r>
          <rPr>
            <sz val="9"/>
            <color indexed="81"/>
            <rFont val="Tahoma"/>
            <family val="2"/>
          </rPr>
          <t xml:space="preserve">
Contains one disk:
- DB_backup: 28160GB</t>
        </r>
      </text>
    </comment>
    <comment ref="R12" authorId="1" shapeId="0" xr:uid="{BB738B6E-1206-49AE-80BB-F75D1A05A1FF}">
      <text>
        <r>
          <rPr>
            <b/>
            <sz val="9"/>
            <color indexed="81"/>
            <rFont val="Tahoma"/>
            <family val="2"/>
          </rPr>
          <t>jarmylly:</t>
        </r>
        <r>
          <rPr>
            <sz val="9"/>
            <color indexed="81"/>
            <rFont val="Tahoma"/>
            <family val="2"/>
          </rPr>
          <t xml:space="preserve">
Contains two disks:
- NFS global: 646110 MB
- NFS_home: 50200 MB
- NFS WAS dump: 87040 MB</t>
        </r>
      </text>
    </comment>
    <comment ref="T12" authorId="1" shapeId="0" xr:uid="{C736E1AB-4FE4-4AC1-965D-1A1579E7237B}">
      <text>
        <r>
          <rPr>
            <b/>
            <sz val="9"/>
            <color indexed="81"/>
            <rFont val="Tahoma"/>
            <family val="2"/>
          </rPr>
          <t>jarmylly:</t>
        </r>
        <r>
          <rPr>
            <sz val="9"/>
            <color indexed="81"/>
            <rFont val="Tahoma"/>
            <family val="2"/>
          </rPr>
          <t xml:space="preserve">
Reserved for customer own data.</t>
        </r>
      </text>
    </comment>
    <comment ref="X12" authorId="1" shapeId="0" xr:uid="{91ADF62E-4BF7-46CA-9246-832C4D6D4546}">
      <text>
        <r>
          <rPr>
            <b/>
            <sz val="9"/>
            <color indexed="81"/>
            <rFont val="Tahoma"/>
            <family val="2"/>
          </rPr>
          <t>jarmylly:</t>
        </r>
        <r>
          <rPr>
            <sz val="9"/>
            <color indexed="81"/>
            <rFont val="Tahoma"/>
            <family val="2"/>
          </rPr>
          <t xml:space="preserve">
Contains one disk:
- NFS_backup: 460,6GB</t>
        </r>
      </text>
    </comment>
    <comment ref="I19" authorId="2" shapeId="0" xr:uid="{A420699C-972F-45F4-B226-B84F100ADD15}">
      <text>
        <r>
          <rPr>
            <b/>
            <sz val="9"/>
            <color indexed="81"/>
            <rFont val="Tahoma"/>
            <family val="2"/>
          </rPr>
          <t>Rastogi, Alok (Nokia - IN/Bangalore):</t>
        </r>
        <r>
          <rPr>
            <sz val="9"/>
            <color indexed="81"/>
            <rFont val="Tahoma"/>
            <family val="2"/>
          </rPr>
          <t xml:space="preserve">
Disk2:50GB VMGuestDisk3</t>
        </r>
      </text>
    </comment>
    <comment ref="I35" authorId="1" shapeId="0" xr:uid="{3AF2AC75-E6C4-4680-A30A-0F63E9875487}">
      <text>
        <r>
          <rPr>
            <b/>
            <sz val="9"/>
            <color indexed="81"/>
            <rFont val="Tahoma"/>
            <family val="2"/>
          </rPr>
          <t>jarmylly:</t>
        </r>
        <r>
          <rPr>
            <sz val="9"/>
            <color indexed="81"/>
            <rFont val="Tahoma"/>
            <family val="2"/>
          </rPr>
          <t xml:space="preserve">
Contains two disks:
- Disk-1: 60GB
- Disk-2: 40GB</t>
        </r>
      </text>
    </comment>
    <comment ref="I36" authorId="1" shapeId="0" xr:uid="{FD99B845-05EB-488F-9CD9-EF28E1956A8A}">
      <text>
        <r>
          <rPr>
            <b/>
            <sz val="9"/>
            <color indexed="81"/>
            <rFont val="Tahoma"/>
            <family val="2"/>
          </rPr>
          <t>jarmylly:</t>
        </r>
        <r>
          <rPr>
            <sz val="9"/>
            <color indexed="81"/>
            <rFont val="Tahoma"/>
            <family val="2"/>
          </rPr>
          <t xml:space="preserve">
Contains two disks:
- Disk-1: 60GB
- Disk-2: 50GB</t>
        </r>
      </text>
    </comment>
    <comment ref="I37" authorId="1" shapeId="0" xr:uid="{06EBBE96-7F22-412A-8920-FAC2BF6025EE}">
      <text>
        <r>
          <rPr>
            <b/>
            <sz val="9"/>
            <color indexed="81"/>
            <rFont val="Tahoma"/>
            <family val="2"/>
          </rPr>
          <t>jarmylly:</t>
        </r>
        <r>
          <rPr>
            <sz val="9"/>
            <color indexed="81"/>
            <rFont val="Tahoma"/>
            <family val="2"/>
          </rPr>
          <t xml:space="preserve">
Contains two disks:
- Disk-1: 60GB
- Disk-2: 40GB</t>
        </r>
      </text>
    </comment>
    <comment ref="Z38" authorId="1" shapeId="0" xr:uid="{2C30ECD7-EFCC-460B-890F-95E377B746CD}">
      <text>
        <r>
          <rPr>
            <b/>
            <sz val="9"/>
            <color indexed="81"/>
            <rFont val="Tahoma"/>
            <family val="2"/>
          </rPr>
          <t>jarmylly:</t>
        </r>
        <r>
          <rPr>
            <sz val="9"/>
            <color indexed="81"/>
            <rFont val="Tahoma"/>
            <family val="2"/>
          </rPr>
          <t xml:space="preserve">
Contains one disk:
- vm66_REP_disk: 46,08GB
</t>
        </r>
      </text>
    </comment>
    <comment ref="AA38" authorId="3" shapeId="0" xr:uid="{F4CD5C25-0A32-43F3-BD46-1D77109654B9}">
      <text>
        <r>
          <rPr>
            <b/>
            <sz val="9"/>
            <color indexed="81"/>
            <rFont val="Calibri"/>
            <family val="2"/>
          </rPr>
          <t>Jari Myllymaa:</t>
        </r>
        <r>
          <rPr>
            <sz val="9"/>
            <color indexed="81"/>
            <rFont val="Calibri"/>
            <family val="2"/>
          </rPr>
          <t xml:space="preserve">
PMDatastore can extend 50GB</t>
        </r>
      </text>
    </comment>
    <comment ref="Z39" authorId="1" shapeId="0" xr:uid="{13C524D9-84D3-4C34-BAB6-3A72F4883AA2}">
      <text>
        <r>
          <rPr>
            <b/>
            <sz val="9"/>
            <color indexed="81"/>
            <rFont val="Tahoma"/>
            <family val="2"/>
          </rPr>
          <t>jarmylly:</t>
        </r>
        <r>
          <rPr>
            <sz val="9"/>
            <color indexed="81"/>
            <rFont val="Tahoma"/>
            <family val="2"/>
          </rPr>
          <t xml:space="preserve">
Contains one disk:
- vm67_REP_disk: 46,08GB</t>
        </r>
      </text>
    </comment>
    <comment ref="Z40" authorId="1" shapeId="0" xr:uid="{BFA77233-A047-4E7A-8AD6-30D0E1DE2A42}">
      <text>
        <r>
          <rPr>
            <b/>
            <sz val="9"/>
            <color indexed="81"/>
            <rFont val="Tahoma"/>
            <family val="2"/>
          </rPr>
          <t>jarmylly:</t>
        </r>
        <r>
          <rPr>
            <sz val="9"/>
            <color indexed="81"/>
            <rFont val="Tahoma"/>
            <family val="2"/>
          </rPr>
          <t xml:space="preserve">
Contains one disk:
- vm68_REP_disk: 46,08GB</t>
        </r>
      </text>
    </comment>
    <comment ref="Z41" authorId="1" shapeId="0" xr:uid="{A5E8AFB7-1BC3-4A1B-984F-EBEF71B6B90E}">
      <text>
        <r>
          <rPr>
            <b/>
            <sz val="9"/>
            <color indexed="81"/>
            <rFont val="Tahoma"/>
            <family val="2"/>
          </rPr>
          <t>jarmylly:</t>
        </r>
        <r>
          <rPr>
            <sz val="9"/>
            <color indexed="81"/>
            <rFont val="Tahoma"/>
            <family val="2"/>
          </rPr>
          <t xml:space="preserve">
Contains one disk:
- vm69_REP_disk: 46,08GB</t>
        </r>
      </text>
    </comment>
    <comment ref="I53" authorId="0" shapeId="0" xr:uid="{8316FB34-40B8-4ED2-B2DC-D259861762B4}">
      <text>
        <r>
          <rPr>
            <b/>
            <sz val="9"/>
            <color indexed="81"/>
            <rFont val="Tahoma"/>
            <family val="2"/>
          </rPr>
          <t>Thippeswamy, Suresh (Nokia - IN/Bangalore):</t>
        </r>
        <r>
          <rPr>
            <sz val="9"/>
            <color indexed="81"/>
            <rFont val="Tahoma"/>
            <family val="2"/>
          </rPr>
          <t xml:space="preserve">
NetAct20 scratch and on top upgrade, the required disk size is 70GB
On long upgrade environment(Having NetAct19 or older in upgrade history), since /var partition requires 40GB from NetAct20 onwards, so additional 25GB disk space is automtically added and attached to /var partition. With this the total disks consumption will be 96GB </t>
        </r>
      </text>
    </comment>
    <comment ref="I54" authorId="1" shapeId="0" xr:uid="{595A61E2-EACC-4CEE-B843-0F9102FC3DBC}">
      <text>
        <r>
          <rPr>
            <b/>
            <sz val="9"/>
            <color indexed="81"/>
            <rFont val="Tahoma"/>
            <family val="2"/>
          </rPr>
          <t>jarmylly:</t>
        </r>
        <r>
          <rPr>
            <sz val="9"/>
            <color indexed="81"/>
            <rFont val="Tahoma"/>
            <family val="2"/>
          </rPr>
          <t xml:space="preserve">
Contains two disks:
- Disk-1: 60GB
- Disk-2: 40GB</t>
        </r>
      </text>
    </comment>
    <comment ref="I55" authorId="1" shapeId="0" xr:uid="{7CDE825C-0595-401E-9900-B984F65C395A}">
      <text>
        <r>
          <rPr>
            <b/>
            <sz val="9"/>
            <color indexed="81"/>
            <rFont val="Tahoma"/>
            <family val="2"/>
          </rPr>
          <t>jarmylly:</t>
        </r>
        <r>
          <rPr>
            <sz val="9"/>
            <color indexed="81"/>
            <rFont val="Tahoma"/>
            <family val="2"/>
          </rPr>
          <t xml:space="preserve">
Contains two disks:
- Disk-1: 60GB
- Disk-2: 40GB</t>
        </r>
      </text>
    </comment>
    <comment ref="I56" authorId="1" shapeId="0" xr:uid="{441FDBF5-A3E3-4C1A-A746-ACC4A05FE125}">
      <text>
        <r>
          <rPr>
            <b/>
            <sz val="9"/>
            <color indexed="81"/>
            <rFont val="Tahoma"/>
            <family val="2"/>
          </rPr>
          <t>jarmylly:</t>
        </r>
        <r>
          <rPr>
            <sz val="9"/>
            <color indexed="81"/>
            <rFont val="Tahoma"/>
            <family val="2"/>
          </rPr>
          <t xml:space="preserve">
Contains two disks:
- Disk-1: 60GB
- Disk-2: 40GB</t>
        </r>
      </text>
    </comment>
    <comment ref="I57" authorId="1" shapeId="0" xr:uid="{BBCCE9C5-1AFE-436D-86B0-5EAA47374A0B}">
      <text>
        <r>
          <rPr>
            <b/>
            <sz val="9"/>
            <color indexed="81"/>
            <rFont val="Tahoma"/>
            <family val="2"/>
          </rPr>
          <t>jarmylly:</t>
        </r>
        <r>
          <rPr>
            <sz val="9"/>
            <color indexed="81"/>
            <rFont val="Tahoma"/>
            <family val="2"/>
          </rPr>
          <t xml:space="preserve">
Contains two disks:
- Disk-1: 60GB
- Disk-2: 40GB</t>
        </r>
      </text>
    </comment>
    <comment ref="I58" authorId="1" shapeId="0" xr:uid="{AB9C2CC7-404D-467E-AF42-AAB1B0971076}">
      <text>
        <r>
          <rPr>
            <b/>
            <sz val="9"/>
            <color indexed="81"/>
            <rFont val="Tahoma"/>
            <family val="2"/>
          </rPr>
          <t>jarmylly:</t>
        </r>
        <r>
          <rPr>
            <sz val="9"/>
            <color indexed="81"/>
            <rFont val="Tahoma"/>
            <family val="2"/>
          </rPr>
          <t xml:space="preserve">
Contains two disks:
- Disk-1: 60GB
- Disk-2: 40GB</t>
        </r>
      </text>
    </comment>
    <comment ref="I59" authorId="1" shapeId="0" xr:uid="{FB406548-F7A9-4DA0-B8F8-5E4EFFEF4D85}">
      <text>
        <r>
          <rPr>
            <b/>
            <sz val="9"/>
            <color indexed="81"/>
            <rFont val="Tahoma"/>
            <family val="2"/>
          </rPr>
          <t>jarmylly:</t>
        </r>
        <r>
          <rPr>
            <sz val="9"/>
            <color indexed="81"/>
            <rFont val="Tahoma"/>
            <family val="2"/>
          </rPr>
          <t xml:space="preserve">
Contains two disks:
- Disk-1: 60GB
- Disk-2: 40GB</t>
        </r>
      </text>
    </comment>
    <comment ref="I60" authorId="1" shapeId="0" xr:uid="{D565FA5E-367B-4881-9CEE-A729DF70659B}">
      <text>
        <r>
          <rPr>
            <b/>
            <sz val="9"/>
            <color indexed="81"/>
            <rFont val="Tahoma"/>
            <family val="2"/>
          </rPr>
          <t>jarmylly:</t>
        </r>
        <r>
          <rPr>
            <sz val="9"/>
            <color indexed="81"/>
            <rFont val="Tahoma"/>
            <family val="2"/>
          </rPr>
          <t xml:space="preserve">
Contains two disks:
- Disk-1: 60GB
- Disk-2: 40GB</t>
        </r>
      </text>
    </comment>
    <comment ref="I61" authorId="1" shapeId="0" xr:uid="{F0C9FF54-BA41-49E3-AC1E-275F186FA2BD}">
      <text>
        <r>
          <rPr>
            <b/>
            <sz val="9"/>
            <color indexed="81"/>
            <rFont val="Tahoma"/>
            <family val="2"/>
          </rPr>
          <t>jarmylly:</t>
        </r>
        <r>
          <rPr>
            <sz val="9"/>
            <color indexed="81"/>
            <rFont val="Tahoma"/>
            <family val="2"/>
          </rPr>
          <t xml:space="preserve">
Contains two disks:
- Disk-1: 60GB
- Disk-2: 40GB</t>
        </r>
      </text>
    </comment>
    <comment ref="I62" authorId="1" shapeId="0" xr:uid="{C64DCA99-65C2-47DE-9398-7E3FAE2CA4A5}">
      <text>
        <r>
          <rPr>
            <b/>
            <sz val="9"/>
            <color indexed="81"/>
            <rFont val="Tahoma"/>
            <family val="2"/>
          </rPr>
          <t>jarmylly:</t>
        </r>
        <r>
          <rPr>
            <sz val="9"/>
            <color indexed="81"/>
            <rFont val="Tahoma"/>
            <family val="2"/>
          </rPr>
          <t xml:space="preserve">
Contains two disks:
- Disk-1: 60GB
- Disk-2: 40GB</t>
        </r>
      </text>
    </comment>
    <comment ref="I63" authorId="1" shapeId="0" xr:uid="{9D0DA715-4EB4-4CF8-A5D1-14C215E96EA5}">
      <text>
        <r>
          <rPr>
            <b/>
            <sz val="9"/>
            <color indexed="81"/>
            <rFont val="Tahoma"/>
            <family val="2"/>
          </rPr>
          <t>jarmylly:</t>
        </r>
        <r>
          <rPr>
            <sz val="9"/>
            <color indexed="81"/>
            <rFont val="Tahoma"/>
            <family val="2"/>
          </rPr>
          <t xml:space="preserve">
Contains two disks:
- Disk-1: 60GB
- Disk-2: 40GB</t>
        </r>
      </text>
    </comment>
    <comment ref="I71" authorId="1" shapeId="0" xr:uid="{6F781FB1-3F06-4FFA-A74B-3FE1C5A0A0D1}">
      <text>
        <r>
          <rPr>
            <b/>
            <sz val="9"/>
            <color indexed="81"/>
            <rFont val="Tahoma"/>
            <family val="2"/>
          </rPr>
          <t>jarmylly:</t>
        </r>
        <r>
          <rPr>
            <sz val="9"/>
            <color indexed="81"/>
            <rFont val="Tahoma"/>
            <family val="2"/>
          </rPr>
          <t xml:space="preserve">
Contains two disks:
- Disk-1: 30GB
- Disk-2: 80GB</t>
        </r>
      </text>
    </comment>
    <comment ref="I72" authorId="1" shapeId="0" xr:uid="{9ECEB148-B47A-4462-8A9A-EED52B137001}">
      <text>
        <r>
          <rPr>
            <b/>
            <sz val="9"/>
            <color indexed="81"/>
            <rFont val="Tahoma"/>
            <family val="2"/>
          </rPr>
          <t>jarmylly:</t>
        </r>
        <r>
          <rPr>
            <sz val="9"/>
            <color indexed="81"/>
            <rFont val="Tahoma"/>
            <family val="2"/>
          </rPr>
          <t xml:space="preserve">
Contains two disks:
- Disk-1: 30GB
- Disk-2: 80GB</t>
        </r>
      </text>
    </comment>
    <comment ref="E103" authorId="1" shapeId="0" xr:uid="{8A4BA2C9-1753-4514-8A59-7FB87AB8E971}">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E104" authorId="1" shapeId="0" xr:uid="{2A6BA93D-DDBF-467A-875A-E0DAFBDEBC33}">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A106" authorId="4" shapeId="0" xr:uid="{8F3263D4-1FEF-4213-B89B-CE1D3EC1A98A}">
      <text>
        <t>[Threaded comment]
Your version of Excel allows you to read this threaded comment; however, any edits to it will get removed if the file is opened in a newer version of Excel. Learn more: https://go.microsoft.com/fwlink/?linkid=870924
Comment:
    SP2004 onwards</t>
      </text>
    </comment>
    <comment ref="A127" authorId="2" shapeId="0" xr:uid="{832D9F6C-E639-4B6D-A073-E76D0A1D3DEB}">
      <text>
        <r>
          <rPr>
            <b/>
            <sz val="9"/>
            <color indexed="81"/>
            <rFont val="Tahoma"/>
            <family val="2"/>
          </rPr>
          <t>Rastogi, Alok (Nokia - IN/Bangalore):</t>
        </r>
        <r>
          <rPr>
            <sz val="9"/>
            <color indexed="81"/>
            <rFont val="Tahoma"/>
            <family val="2"/>
          </rPr>
          <t xml:space="preserve">
This is temporary requirement from Backup for AVE Migration</t>
        </r>
      </text>
    </comment>
    <comment ref="C129" authorId="0" shapeId="0" xr:uid="{2DA905B6-04CF-4E2C-B69A-E887079720DD}">
      <text>
        <r>
          <rPr>
            <b/>
            <sz val="9"/>
            <color indexed="81"/>
            <rFont val="Tahoma"/>
            <family val="2"/>
          </rPr>
          <t>Thippeswamy, Suresh (Nokia - IN/Bangalore):</t>
        </r>
        <r>
          <rPr>
            <sz val="9"/>
            <color indexed="81"/>
            <rFont val="Tahoma"/>
            <family val="2"/>
          </rPr>
          <t xml:space="preserve">
Based on vCSA version selected, Datastore size and datastore usage  varies</t>
        </r>
      </text>
    </comment>
    <comment ref="A130" authorId="0" shapeId="0" xr:uid="{B31F8B2C-5B3D-49E0-87AB-B6E18C6CD85C}">
      <text>
        <r>
          <rPr>
            <b/>
            <sz val="9"/>
            <color indexed="81"/>
            <rFont val="Tahoma"/>
            <family val="2"/>
          </rPr>
          <t>Thippeswamy, Suresh (Nokia - IN/Bangalore):</t>
        </r>
        <r>
          <rPr>
            <sz val="9"/>
            <color indexed="81"/>
            <rFont val="Tahoma"/>
            <family val="2"/>
          </rPr>
          <t xml:space="preserve">
This datastore is needed only if NAPD optional VM is planned to deploy</t>
        </r>
      </text>
    </comment>
    <comment ref="A131" authorId="0" shapeId="0" xr:uid="{A05C8D87-CAAD-47A4-80C5-CD06A4DE2FA6}">
      <text>
        <r>
          <rPr>
            <b/>
            <sz val="9"/>
            <color indexed="81"/>
            <rFont val="Tahoma"/>
            <family val="2"/>
          </rPr>
          <t>Thippeswamy, Suresh (Nokia - IN/Bangalore):</t>
        </r>
        <r>
          <rPr>
            <sz val="9"/>
            <color indexed="81"/>
            <rFont val="Tahoma"/>
            <family val="2"/>
          </rPr>
          <t xml:space="preserve">
This datastore is needed only if ARC optional VMs are planned to deploy</t>
        </r>
      </text>
    </comment>
    <comment ref="A132" authorId="0" shapeId="0" xr:uid="{DD5C8C81-BCB4-47C3-B9B0-5B4597097241}">
      <text>
        <r>
          <rPr>
            <b/>
            <sz val="9"/>
            <color indexed="81"/>
            <rFont val="Tahoma"/>
            <family val="2"/>
          </rPr>
          <t>Thippeswamy, Suresh (Nokia - IN/Bangalore):</t>
        </r>
        <r>
          <rPr>
            <sz val="9"/>
            <color indexed="81"/>
            <rFont val="Tahoma"/>
            <family val="2"/>
          </rPr>
          <t xml:space="preserve">
This Datastore is needed only when TREX Analyzer VMs are planned to deploy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Thippeswamy, Suresh (Nokia - IN/Bangalore)</author>
    <author>jarmylly</author>
    <author>Rastogi, Alok (Nokia - IN/Bangalore)</author>
    <author>Jari Myllymaa</author>
    <author>tc={4412FE42-50F6-4A7F-B07F-358DE0E0E78B}</author>
  </authors>
  <commentList>
    <comment ref="E9" authorId="0" shapeId="0" xr:uid="{00D6030E-7F69-41FB-9E82-F7BD8171E3D2}">
      <text>
        <r>
          <rPr>
            <b/>
            <sz val="9"/>
            <color indexed="81"/>
            <rFont val="Tahoma"/>
            <family val="2"/>
          </rPr>
          <t>Thippeswamy, Suresh (Nokia - IN/Bangalore):</t>
        </r>
        <r>
          <rPr>
            <sz val="9"/>
            <color indexed="81"/>
            <rFont val="Tahoma"/>
            <family val="2"/>
          </rPr>
          <t xml:space="preserve">
Select the vCSA version</t>
        </r>
      </text>
    </comment>
    <comment ref="L11" authorId="1" shapeId="0" xr:uid="{A5474EFC-C197-44A3-A2E1-A3D86296A487}">
      <text>
        <r>
          <rPr>
            <b/>
            <sz val="9"/>
            <color indexed="81"/>
            <rFont val="Tahoma"/>
            <family val="2"/>
          </rPr>
          <t>vishek:</t>
        </r>
        <r>
          <rPr>
            <sz val="9"/>
            <color indexed="81"/>
            <rFont val="Tahoma"/>
            <family val="2"/>
          </rPr>
          <t xml:space="preserve">
No of Luns = 2
LUN size: 250GB each
2 Disks:
Disk size - 235,520MB from each DS for stripe</t>
        </r>
      </text>
    </comment>
    <comment ref="N11" authorId="1" shapeId="0" xr:uid="{0EE6840A-D9AB-4AF5-8A7E-E835D81BC4CC}">
      <text>
        <r>
          <rPr>
            <b/>
            <sz val="9"/>
            <color indexed="81"/>
            <rFont val="Tahoma"/>
            <family val="2"/>
          </rPr>
          <t>vishek:</t>
        </r>
        <r>
          <rPr>
            <sz val="9"/>
            <color indexed="81"/>
            <rFont val="Tahoma"/>
            <family val="2"/>
          </rPr>
          <t xml:space="preserve">
No of Luns = 8
Lun size: 2050GB each.
8 disks:
Disk size: 19,45,600MB from each DS for stripe</t>
        </r>
      </text>
    </comment>
    <comment ref="P11" authorId="1" shapeId="0" xr:uid="{CFAC0AB7-AE8A-4889-8EA9-35D35949719E}">
      <text>
        <r>
          <rPr>
            <b/>
            <sz val="9"/>
            <color indexed="81"/>
            <rFont val="Tahoma"/>
            <family val="2"/>
          </rPr>
          <t xml:space="preserve">vishek:
</t>
        </r>
        <r>
          <rPr>
            <sz val="9"/>
            <color indexed="81"/>
            <rFont val="Tahoma"/>
            <family val="2"/>
          </rPr>
          <t>No of Luns = 2
Lun size: 9000GB each.
2 disks:
Disk size : 84,99,200MB from each DS for stripe</t>
        </r>
      </text>
    </comment>
    <comment ref="X11" authorId="1" shapeId="0" xr:uid="{591A3C1A-90E5-4E91-9EC6-B15488A56DF9}">
      <text>
        <r>
          <rPr>
            <b/>
            <sz val="9"/>
            <color indexed="81"/>
            <rFont val="Tahoma"/>
            <family val="2"/>
          </rPr>
          <t xml:space="preserve">vishek:
</t>
        </r>
        <r>
          <rPr>
            <sz val="9"/>
            <color indexed="81"/>
            <rFont val="Tahoma"/>
            <family val="2"/>
          </rPr>
          <t>No of Luns = 8
Lun size = 4200 each
8 Disks:
Disk size: 39,93,600MB from each DS for stripe</t>
        </r>
      </text>
    </comment>
    <comment ref="R12" authorId="1" shapeId="0" xr:uid="{57F0B4B3-1600-4FD2-BF1B-FBEFD0DC056E}">
      <text>
        <r>
          <rPr>
            <b/>
            <sz val="9"/>
            <color indexed="81"/>
            <rFont val="Tahoma"/>
            <family val="2"/>
          </rPr>
          <t xml:space="preserve">vishek:
</t>
        </r>
        <r>
          <rPr>
            <sz val="9"/>
            <color indexed="81"/>
            <rFont val="Tahoma"/>
            <family val="2"/>
          </rPr>
          <t>No of Luns = 2
LUN1 size - 795GB - DS1
LUN2 size - 600GB - DS2
No of Disks = 4
1st disk from DS1 - 93184 MB(Home)
2nd disk from DS1- 549888 MB( for stripe- Global)
3rd disk from DS2 - 549888 MB(for stripe- Global)
4th disk from DS1 - 87040 MB(NFS WAS dump)</t>
        </r>
      </text>
    </comment>
    <comment ref="T12" authorId="1" shapeId="0" xr:uid="{13ABFD87-3BF2-4A8E-91B1-19DBE9A5C0A8}">
      <text>
        <r>
          <rPr>
            <b/>
            <sz val="9"/>
            <color indexed="81"/>
            <rFont val="Tahoma"/>
            <family val="2"/>
          </rPr>
          <t>jarmylly:</t>
        </r>
        <r>
          <rPr>
            <sz val="9"/>
            <color indexed="81"/>
            <rFont val="Tahoma"/>
            <family val="2"/>
          </rPr>
          <t xml:space="preserve">
Reserved for customer own data.</t>
        </r>
      </text>
    </comment>
    <comment ref="X12" authorId="1" shapeId="0" xr:uid="{47ECD05A-A769-4F8A-9B05-687B54F491B1}">
      <text>
        <r>
          <rPr>
            <b/>
            <sz val="9"/>
            <color indexed="81"/>
            <rFont val="Tahoma"/>
            <family val="2"/>
          </rPr>
          <t>vishek:</t>
        </r>
        <r>
          <rPr>
            <sz val="9"/>
            <color indexed="81"/>
            <rFont val="Tahoma"/>
            <family val="2"/>
          </rPr>
          <t xml:space="preserve">
Contains one disk:
- NFS_backup: 6,14,400MB</t>
        </r>
      </text>
    </comment>
    <comment ref="I19" authorId="2" shapeId="0" xr:uid="{0F110AD8-0D59-46B2-9414-D2DA86A19560}">
      <text>
        <r>
          <rPr>
            <b/>
            <sz val="9"/>
            <color indexed="81"/>
            <rFont val="Tahoma"/>
            <family val="2"/>
          </rPr>
          <t>Rastogi, Alok (Nokia - IN/Bangalore):</t>
        </r>
        <r>
          <rPr>
            <sz val="9"/>
            <color indexed="81"/>
            <rFont val="Tahoma"/>
            <family val="2"/>
          </rPr>
          <t xml:space="preserve">
Disk2:50GB VMGuestDisk3</t>
        </r>
      </text>
    </comment>
    <comment ref="I35" authorId="1" shapeId="0" xr:uid="{55B1AA3A-7489-467D-B6B8-C58B39C62032}">
      <text>
        <r>
          <rPr>
            <b/>
            <sz val="9"/>
            <color indexed="81"/>
            <rFont val="Tahoma"/>
            <family val="2"/>
          </rPr>
          <t>jarmylly:</t>
        </r>
        <r>
          <rPr>
            <sz val="9"/>
            <color indexed="81"/>
            <rFont val="Tahoma"/>
            <family val="2"/>
          </rPr>
          <t xml:space="preserve">
Contains two disks:
- Disk-1: 60GB
- Disk-2: 40GB</t>
        </r>
      </text>
    </comment>
    <comment ref="I36" authorId="1" shapeId="0" xr:uid="{5A54BE19-9B4F-43B0-BAE7-7FBC12C61805}">
      <text>
        <r>
          <rPr>
            <b/>
            <sz val="9"/>
            <color indexed="81"/>
            <rFont val="Tahoma"/>
            <family val="2"/>
          </rPr>
          <t>jarmylly:</t>
        </r>
        <r>
          <rPr>
            <sz val="9"/>
            <color indexed="81"/>
            <rFont val="Tahoma"/>
            <family val="2"/>
          </rPr>
          <t xml:space="preserve">
Contains two disks:
- Disk-1: 60GB
- Disk-2: 50GB</t>
        </r>
      </text>
    </comment>
    <comment ref="I37" authorId="1" shapeId="0" xr:uid="{8CBCBA78-2711-4FAC-8ACE-D8DEC4C5E574}">
      <text>
        <r>
          <rPr>
            <b/>
            <sz val="9"/>
            <color indexed="81"/>
            <rFont val="Tahoma"/>
            <family val="2"/>
          </rPr>
          <t>jarmylly:</t>
        </r>
        <r>
          <rPr>
            <sz val="9"/>
            <color indexed="81"/>
            <rFont val="Tahoma"/>
            <family val="2"/>
          </rPr>
          <t xml:space="preserve">
Contains two disks:
- Disk-1: 60GB
- Disk-2: 40GB</t>
        </r>
      </text>
    </comment>
    <comment ref="Z38" authorId="1" shapeId="0" xr:uid="{B1A0AA4A-DD54-4716-975B-A1758861C4E4}">
      <text>
        <r>
          <rPr>
            <b/>
            <sz val="9"/>
            <color indexed="81"/>
            <rFont val="Tahoma"/>
            <family val="2"/>
          </rPr>
          <t>jarmylly:</t>
        </r>
        <r>
          <rPr>
            <sz val="9"/>
            <color indexed="81"/>
            <rFont val="Tahoma"/>
            <family val="2"/>
          </rPr>
          <t xml:space="preserve">
Contains one disk:
- vm66_REP_disk: 46,08GB
</t>
        </r>
      </text>
    </comment>
    <comment ref="AA38" authorId="3" shapeId="0" xr:uid="{1AD33F22-3A11-46D3-9193-1BB24DC91F29}">
      <text>
        <r>
          <rPr>
            <b/>
            <sz val="9"/>
            <color indexed="81"/>
            <rFont val="Calibri"/>
            <family val="2"/>
          </rPr>
          <t>Jari Myllymaa:</t>
        </r>
        <r>
          <rPr>
            <sz val="9"/>
            <color indexed="81"/>
            <rFont val="Calibri"/>
            <family val="2"/>
          </rPr>
          <t xml:space="preserve">
PMDatastore can extend 50GB</t>
        </r>
      </text>
    </comment>
    <comment ref="Z39" authorId="1" shapeId="0" xr:uid="{9BEA7F1C-D470-4F15-BF1E-3AEB580E4D9B}">
      <text>
        <r>
          <rPr>
            <b/>
            <sz val="9"/>
            <color indexed="81"/>
            <rFont val="Tahoma"/>
            <family val="2"/>
          </rPr>
          <t>jarmylly:</t>
        </r>
        <r>
          <rPr>
            <sz val="9"/>
            <color indexed="81"/>
            <rFont val="Tahoma"/>
            <family val="2"/>
          </rPr>
          <t xml:space="preserve">
Contains one disk:
- vm67_REP_disk: 46,08GB</t>
        </r>
      </text>
    </comment>
    <comment ref="Z40" authorId="1" shapeId="0" xr:uid="{E8B5C1EC-44AD-4E61-A7F0-9E3DC4AC9F30}">
      <text>
        <r>
          <rPr>
            <b/>
            <sz val="9"/>
            <color indexed="81"/>
            <rFont val="Tahoma"/>
            <family val="2"/>
          </rPr>
          <t>jarmylly:</t>
        </r>
        <r>
          <rPr>
            <sz val="9"/>
            <color indexed="81"/>
            <rFont val="Tahoma"/>
            <family val="2"/>
          </rPr>
          <t xml:space="preserve">
Contains one disk:
- vm68_REP_disk: 46,08GB</t>
        </r>
      </text>
    </comment>
    <comment ref="Z41" authorId="1" shapeId="0" xr:uid="{8B8934A6-1828-426D-9C41-6EF54E903555}">
      <text>
        <r>
          <rPr>
            <b/>
            <sz val="9"/>
            <color indexed="81"/>
            <rFont val="Tahoma"/>
            <family val="2"/>
          </rPr>
          <t>jarmylly:</t>
        </r>
        <r>
          <rPr>
            <sz val="9"/>
            <color indexed="81"/>
            <rFont val="Tahoma"/>
            <family val="2"/>
          </rPr>
          <t xml:space="preserve">
Contains one disk:
- vm69_REP_disk: 46,08GB</t>
        </r>
      </text>
    </comment>
    <comment ref="I54" authorId="0" shapeId="0" xr:uid="{A22DAB16-2C69-4C6A-BB51-5898AFB97AE8}">
      <text>
        <r>
          <rPr>
            <b/>
            <sz val="9"/>
            <color indexed="81"/>
            <rFont val="Tahoma"/>
            <family val="2"/>
          </rPr>
          <t>Thippeswamy, Suresh (Nokia - IN/Bangalore):</t>
        </r>
        <r>
          <rPr>
            <sz val="9"/>
            <color indexed="81"/>
            <rFont val="Tahoma"/>
            <family val="2"/>
          </rPr>
          <t xml:space="preserve">
NetAct20 scratch and on top upgrade, the required disk size is 70GB
On long upgrade environment(Having NetAct19 or older in upgrade history), since /var partition requires 40GB from NetAct20 onwards, so additional 25GB disk space is automtically added and attached to /var partition. With this the total disks consumption will be 96GB </t>
        </r>
      </text>
    </comment>
    <comment ref="I55" authorId="1" shapeId="0" xr:uid="{B6051A83-B8AD-4822-8E7E-989EC0910AD6}">
      <text>
        <r>
          <rPr>
            <b/>
            <sz val="9"/>
            <color indexed="81"/>
            <rFont val="Tahoma"/>
            <family val="2"/>
          </rPr>
          <t>jarmylly:</t>
        </r>
        <r>
          <rPr>
            <sz val="9"/>
            <color indexed="81"/>
            <rFont val="Tahoma"/>
            <family val="2"/>
          </rPr>
          <t xml:space="preserve">
Contains two disks:
- Disk-1: 60GB
- Disk-2: 40GB</t>
        </r>
      </text>
    </comment>
    <comment ref="I56" authorId="1" shapeId="0" xr:uid="{B9B87741-8EEE-4E16-8AC1-608A7DDAAF50}">
      <text>
        <r>
          <rPr>
            <b/>
            <sz val="9"/>
            <color indexed="81"/>
            <rFont val="Tahoma"/>
            <family val="2"/>
          </rPr>
          <t>jarmylly:</t>
        </r>
        <r>
          <rPr>
            <sz val="9"/>
            <color indexed="81"/>
            <rFont val="Tahoma"/>
            <family val="2"/>
          </rPr>
          <t xml:space="preserve">
Contains two disks:
- Disk-1: 60GB
- Disk-2: 40GB</t>
        </r>
      </text>
    </comment>
    <comment ref="I57" authorId="1" shapeId="0" xr:uid="{60540FDB-7E61-427F-ACCF-E9BC01430174}">
      <text>
        <r>
          <rPr>
            <b/>
            <sz val="9"/>
            <color indexed="81"/>
            <rFont val="Tahoma"/>
            <family val="2"/>
          </rPr>
          <t>jarmylly:</t>
        </r>
        <r>
          <rPr>
            <sz val="9"/>
            <color indexed="81"/>
            <rFont val="Tahoma"/>
            <family val="2"/>
          </rPr>
          <t xml:space="preserve">
Contains two disks:
- Disk-1: 60GB
- Disk-2: 40GB</t>
        </r>
      </text>
    </comment>
    <comment ref="I58" authorId="1" shapeId="0" xr:uid="{885D28D2-87B6-4348-BE49-BC2D224EA542}">
      <text>
        <r>
          <rPr>
            <b/>
            <sz val="9"/>
            <color indexed="81"/>
            <rFont val="Tahoma"/>
            <family val="2"/>
          </rPr>
          <t>jarmylly:</t>
        </r>
        <r>
          <rPr>
            <sz val="9"/>
            <color indexed="81"/>
            <rFont val="Tahoma"/>
            <family val="2"/>
          </rPr>
          <t xml:space="preserve">
Contains two disks:
- Disk-1: 60GB
- Disk-2: 40GB</t>
        </r>
      </text>
    </comment>
    <comment ref="I59" authorId="1" shapeId="0" xr:uid="{77B4B882-F99B-40D0-BB92-99F9BCF2B5CC}">
      <text>
        <r>
          <rPr>
            <b/>
            <sz val="9"/>
            <color indexed="81"/>
            <rFont val="Tahoma"/>
            <family val="2"/>
          </rPr>
          <t>jarmylly:</t>
        </r>
        <r>
          <rPr>
            <sz val="9"/>
            <color indexed="81"/>
            <rFont val="Tahoma"/>
            <family val="2"/>
          </rPr>
          <t xml:space="preserve">
Contains two disks:
- Disk-1: 60GB
- Disk-2: 40GB</t>
        </r>
      </text>
    </comment>
    <comment ref="I60" authorId="1" shapeId="0" xr:uid="{1C4F5902-541D-4124-848F-F765045E755E}">
      <text>
        <r>
          <rPr>
            <b/>
            <sz val="9"/>
            <color indexed="81"/>
            <rFont val="Tahoma"/>
            <family val="2"/>
          </rPr>
          <t>jarmylly:</t>
        </r>
        <r>
          <rPr>
            <sz val="9"/>
            <color indexed="81"/>
            <rFont val="Tahoma"/>
            <family val="2"/>
          </rPr>
          <t xml:space="preserve">
Contains two disks:
- Disk-1: 60GB
- Disk-2: 40GB</t>
        </r>
      </text>
    </comment>
    <comment ref="I61" authorId="1" shapeId="0" xr:uid="{22BE9919-EF41-4E19-8B40-609B74DB443F}">
      <text>
        <r>
          <rPr>
            <b/>
            <sz val="9"/>
            <color indexed="81"/>
            <rFont val="Tahoma"/>
            <family val="2"/>
          </rPr>
          <t>jarmylly:</t>
        </r>
        <r>
          <rPr>
            <sz val="9"/>
            <color indexed="81"/>
            <rFont val="Tahoma"/>
            <family val="2"/>
          </rPr>
          <t xml:space="preserve">
Contains two disks:
- Disk-1: 60GB
- Disk-2: 40GB</t>
        </r>
      </text>
    </comment>
    <comment ref="I62" authorId="1" shapeId="0" xr:uid="{2C5EC7C8-489E-4B74-98A1-24BFCA1B9EF0}">
      <text>
        <r>
          <rPr>
            <b/>
            <sz val="9"/>
            <color indexed="81"/>
            <rFont val="Tahoma"/>
            <family val="2"/>
          </rPr>
          <t>jarmylly:</t>
        </r>
        <r>
          <rPr>
            <sz val="9"/>
            <color indexed="81"/>
            <rFont val="Tahoma"/>
            <family val="2"/>
          </rPr>
          <t xml:space="preserve">
Contains two disks:
- Disk-1: 60GB
- Disk-2: 40GB</t>
        </r>
      </text>
    </comment>
    <comment ref="I63" authorId="1" shapeId="0" xr:uid="{787C1897-2B54-4519-901D-D0C3F67FA0A8}">
      <text>
        <r>
          <rPr>
            <b/>
            <sz val="9"/>
            <color indexed="81"/>
            <rFont val="Tahoma"/>
            <family val="2"/>
          </rPr>
          <t>jarmylly:</t>
        </r>
        <r>
          <rPr>
            <sz val="9"/>
            <color indexed="81"/>
            <rFont val="Tahoma"/>
            <family val="2"/>
          </rPr>
          <t xml:space="preserve">
Contains two disks:
- Disk-1: 60GB
- Disk-2: 40GB</t>
        </r>
      </text>
    </comment>
    <comment ref="I64" authorId="1" shapeId="0" xr:uid="{E1D680E3-42EA-4EAA-B436-71F97EF4A88C}">
      <text>
        <r>
          <rPr>
            <b/>
            <sz val="9"/>
            <color indexed="81"/>
            <rFont val="Tahoma"/>
            <family val="2"/>
          </rPr>
          <t>jarmylly:</t>
        </r>
        <r>
          <rPr>
            <sz val="9"/>
            <color indexed="81"/>
            <rFont val="Tahoma"/>
            <family val="2"/>
          </rPr>
          <t xml:space="preserve">
Contains two disks:
- Disk-1: 60GB
- Disk-2: 40GB</t>
        </r>
      </text>
    </comment>
    <comment ref="I72" authorId="1" shapeId="0" xr:uid="{488F2796-0021-46FE-BA2A-51B4B395CC8D}">
      <text>
        <r>
          <rPr>
            <b/>
            <sz val="9"/>
            <color indexed="81"/>
            <rFont val="Tahoma"/>
            <family val="2"/>
          </rPr>
          <t>jarmylly:</t>
        </r>
        <r>
          <rPr>
            <sz val="9"/>
            <color indexed="81"/>
            <rFont val="Tahoma"/>
            <family val="2"/>
          </rPr>
          <t xml:space="preserve">
Contains two disks:
- Disk-1: 30GB
- Disk-2: 80GB</t>
        </r>
      </text>
    </comment>
    <comment ref="I73" authorId="1" shapeId="0" xr:uid="{01F98A58-5A7A-4102-8634-B9DD19447461}">
      <text>
        <r>
          <rPr>
            <b/>
            <sz val="9"/>
            <color indexed="81"/>
            <rFont val="Tahoma"/>
            <family val="2"/>
          </rPr>
          <t>jarmylly:</t>
        </r>
        <r>
          <rPr>
            <sz val="9"/>
            <color indexed="81"/>
            <rFont val="Tahoma"/>
            <family val="2"/>
          </rPr>
          <t xml:space="preserve">
Contains two disks:
- Disk-1: 30GB
- Disk-2: 80GB</t>
        </r>
      </text>
    </comment>
    <comment ref="E104" authorId="1" shapeId="0" xr:uid="{D5293323-1D45-44DF-B56A-DFBA25DC1217}">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E105" authorId="1" shapeId="0" xr:uid="{393D0086-98DC-4554-911D-0B55CF65EA21}">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A107" authorId="4" shapeId="0" xr:uid="{4412FE42-50F6-4A7F-B07F-358DE0E0E78B}">
      <text>
        <t>[Threaded comment]
Your version of Excel allows you to read this threaded comment; however, any edits to it will get removed if the file is opened in a newer version of Excel. Learn more: https://go.microsoft.com/fwlink/?linkid=870924
Comment:
    SP2004 onwards</t>
      </text>
    </comment>
    <comment ref="B135" authorId="0" shapeId="0" xr:uid="{82515B0D-4735-4823-B462-A2E9C96E7A7D}">
      <text>
        <r>
          <rPr>
            <b/>
            <sz val="9"/>
            <color indexed="81"/>
            <rFont val="Tahoma"/>
            <family val="2"/>
          </rPr>
          <t>Vishek:</t>
        </r>
        <r>
          <rPr>
            <sz val="9"/>
            <color indexed="81"/>
            <rFont val="Tahoma"/>
            <family val="2"/>
          </rPr>
          <t xml:space="preserve">
2 Disks:
1st Disk for /home - 91GB
2nd Disk for Stripe -450GB 
</t>
        </r>
      </text>
    </comment>
    <comment ref="C149" authorId="0" shapeId="0" xr:uid="{3E6826C6-8955-40F1-AF3C-1AF08B78AADB}">
      <text>
        <r>
          <rPr>
            <b/>
            <sz val="9"/>
            <color indexed="81"/>
            <rFont val="Tahoma"/>
            <family val="2"/>
          </rPr>
          <t>Thippeswamy, Suresh (Nokia - IN/Bangalore):</t>
        </r>
        <r>
          <rPr>
            <sz val="9"/>
            <color indexed="81"/>
            <rFont val="Tahoma"/>
            <family val="2"/>
          </rPr>
          <t xml:space="preserve">
Based on vCSA version selected, Datastore size and datastore usage  varies</t>
        </r>
      </text>
    </comment>
    <comment ref="A150" authorId="0" shapeId="0" xr:uid="{FB8D1D58-2B0A-4746-9E6E-91A5FF7A9EE0}">
      <text>
        <r>
          <rPr>
            <b/>
            <sz val="9"/>
            <color indexed="81"/>
            <rFont val="Tahoma"/>
            <family val="2"/>
          </rPr>
          <t>Thippeswamy, Suresh (Nokia - IN/Bangalore):</t>
        </r>
        <r>
          <rPr>
            <sz val="9"/>
            <color indexed="81"/>
            <rFont val="Tahoma"/>
            <family val="2"/>
          </rPr>
          <t xml:space="preserve">
This datastore is needed only if NAPD optional VM is planned to deploy</t>
        </r>
      </text>
    </comment>
    <comment ref="A151" authorId="0" shapeId="0" xr:uid="{4D2B8875-4351-47FB-8309-FE7E03C6F85E}">
      <text>
        <r>
          <rPr>
            <b/>
            <sz val="9"/>
            <color indexed="81"/>
            <rFont val="Tahoma"/>
            <family val="2"/>
          </rPr>
          <t>Thippeswamy, Suresh (Nokia - IN/Bangalore):</t>
        </r>
        <r>
          <rPr>
            <sz val="9"/>
            <color indexed="81"/>
            <rFont val="Tahoma"/>
            <family val="2"/>
          </rPr>
          <t xml:space="preserve">
This datastore is needed only if ARC optional VMs are planned to deploy</t>
        </r>
      </text>
    </comment>
    <comment ref="A152" authorId="0" shapeId="0" xr:uid="{1FD35D89-5496-4D4A-A5AC-834BA4E6C656}">
      <text>
        <r>
          <rPr>
            <b/>
            <sz val="9"/>
            <color indexed="81"/>
            <rFont val="Tahoma"/>
            <family val="2"/>
          </rPr>
          <t>Thippeswamy, Suresh (Nokia - IN/Bangalore):</t>
        </r>
        <r>
          <rPr>
            <sz val="9"/>
            <color indexed="81"/>
            <rFont val="Tahoma"/>
            <family val="2"/>
          </rPr>
          <t xml:space="preserve">
This Datastore is needed only when TREX Analyzer VMs are planned to deploy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jarmylly</author>
    <author>Goyal, Mayank (Nokia - IN/Bangalore)</author>
    <author>Rastogi, Alok (Nokia - IN/Bangalore)</author>
    <author>Jari Myllymaa</author>
    <author>Thippeswamy, Suresh (Nokia - IN/Bangalore)</author>
  </authors>
  <commentList>
    <comment ref="L10" authorId="0" shapeId="0" xr:uid="{81D0790F-B3B7-46F7-9BE8-12B07360CBAB}">
      <text>
        <r>
          <rPr>
            <b/>
            <sz val="9"/>
            <color indexed="81"/>
            <rFont val="Tahoma"/>
            <family val="2"/>
          </rPr>
          <t>jarmylly:</t>
        </r>
        <r>
          <rPr>
            <sz val="9"/>
            <color indexed="81"/>
            <rFont val="Tahoma"/>
            <family val="2"/>
          </rPr>
          <t xml:space="preserve">
Contains one disk:
DB_redo: 60,825GB</t>
        </r>
      </text>
    </comment>
    <comment ref="N10" authorId="0" shapeId="0" xr:uid="{855956A2-89F0-41A4-A4B0-B92230496E4C}">
      <text>
        <r>
          <rPr>
            <b/>
            <sz val="9"/>
            <color indexed="81"/>
            <rFont val="Tahoma"/>
            <family val="2"/>
          </rPr>
          <t>jarmylly:</t>
        </r>
        <r>
          <rPr>
            <sz val="9"/>
            <color indexed="81"/>
            <rFont val="Tahoma"/>
            <family val="2"/>
          </rPr>
          <t xml:space="preserve">
Contains one disk, either: 
 DB_data(Std): 691200MB
OR
 DB_data(Extended): 2165760MB</t>
        </r>
      </text>
    </comment>
    <comment ref="P10" authorId="0" shapeId="0" xr:uid="{92AFF72B-D5B0-472D-A43F-07DA62C25A98}">
      <text>
        <r>
          <rPr>
            <b/>
            <sz val="9"/>
            <color indexed="81"/>
            <rFont val="Tahoma"/>
            <family val="2"/>
          </rPr>
          <t>jarmylly:</t>
        </r>
        <r>
          <rPr>
            <sz val="9"/>
            <color indexed="81"/>
            <rFont val="Tahoma"/>
            <family val="2"/>
          </rPr>
          <t xml:space="preserve">
Contains one disk:
 DB_arc(Std): 1036800MB
OR
 DB_arc(Extended): 2350080MB</t>
        </r>
      </text>
    </comment>
    <comment ref="X10" authorId="0" shapeId="0" xr:uid="{AF30A4DF-01F3-4E65-ADC1-0478C90283E6}">
      <text>
        <r>
          <rPr>
            <b/>
            <sz val="9"/>
            <color indexed="81"/>
            <rFont val="Tahoma"/>
            <family val="2"/>
          </rPr>
          <t>jarmylly:</t>
        </r>
        <r>
          <rPr>
            <sz val="9"/>
            <color indexed="81"/>
            <rFont val="Tahoma"/>
            <family val="2"/>
          </rPr>
          <t xml:space="preserve">
Contains one disk:
 DB_backup(Std): 2580480MB
OR
 DB_backup(Extended): 6497280MB</t>
        </r>
      </text>
    </comment>
    <comment ref="AF10" authorId="1" shapeId="0" xr:uid="{309EA1B6-AA9A-47E1-9DE6-FA09132F3488}">
      <text>
        <r>
          <rPr>
            <b/>
            <sz val="9"/>
            <color indexed="81"/>
            <rFont val="Tahoma"/>
            <family val="2"/>
          </rPr>
          <t>Goyal, Mayank (Nokia - IN/Bangalore):</t>
        </r>
        <r>
          <rPr>
            <sz val="9"/>
            <color indexed="81"/>
            <rFont val="Tahoma"/>
            <family val="2"/>
          </rPr>
          <t xml:space="preserve">
Contains one disk:
- db-fb_disk : 2048 GB </t>
        </r>
      </text>
    </comment>
    <comment ref="R11" authorId="0" shapeId="0" xr:uid="{ECE1E923-5E54-454D-903B-931F6AEEEA99}">
      <text>
        <r>
          <rPr>
            <b/>
            <sz val="9"/>
            <color indexed="81"/>
            <rFont val="Tahoma"/>
            <family val="2"/>
          </rPr>
          <t>jarmylly:</t>
        </r>
        <r>
          <rPr>
            <sz val="9"/>
            <color indexed="81"/>
            <rFont val="Tahoma"/>
            <family val="2"/>
          </rPr>
          <t xml:space="preserve">
 Contains three disks:
- NFS global: 209920 MB
- NFS home: 12288 MB
- NFS WAS dumps: 25600 MB</t>
        </r>
      </text>
    </comment>
    <comment ref="T11" authorId="0" shapeId="0" xr:uid="{4CC8E0E0-6451-43C5-BCCD-BC15BC7500D6}">
      <text>
        <r>
          <rPr>
            <b/>
            <sz val="9"/>
            <color indexed="81"/>
            <rFont val="Tahoma"/>
            <family val="2"/>
          </rPr>
          <t>jarmylly:</t>
        </r>
        <r>
          <rPr>
            <sz val="9"/>
            <color indexed="81"/>
            <rFont val="Tahoma"/>
            <family val="2"/>
          </rPr>
          <t xml:space="preserve">
Reserved for customer own data.</t>
        </r>
      </text>
    </comment>
    <comment ref="X11" authorId="0" shapeId="0" xr:uid="{81450E6F-68FB-401A-AD20-85312731D55A}">
      <text>
        <r>
          <rPr>
            <b/>
            <sz val="9"/>
            <color indexed="81"/>
            <rFont val="Tahoma"/>
            <family val="2"/>
          </rPr>
          <t>jarmylly:</t>
        </r>
        <r>
          <rPr>
            <sz val="9"/>
            <color indexed="81"/>
            <rFont val="Tahoma"/>
            <family val="2"/>
          </rPr>
          <t xml:space="preserve">
Contains one disk:
- NFS_backup: 230,4GB</t>
        </r>
      </text>
    </comment>
    <comment ref="I18" authorId="2" shapeId="0" xr:uid="{FF2C2AEA-2898-45C9-9FD0-10996E65235B}">
      <text>
        <r>
          <rPr>
            <b/>
            <sz val="9"/>
            <color indexed="81"/>
            <rFont val="Tahoma"/>
            <family val="2"/>
          </rPr>
          <t>Rastogi, Alok (Nokia - IN/Bangalore):</t>
        </r>
        <r>
          <rPr>
            <sz val="9"/>
            <color indexed="81"/>
            <rFont val="Tahoma"/>
            <family val="2"/>
          </rPr>
          <t xml:space="preserve">
Disk2:50 GB VMGuestDisk3
</t>
        </r>
      </text>
    </comment>
    <comment ref="I24" authorId="0" shapeId="0" xr:uid="{5324BB01-75CC-4A98-91B5-7332974D8A96}">
      <text>
        <r>
          <rPr>
            <b/>
            <sz val="9"/>
            <color indexed="81"/>
            <rFont val="Tahoma"/>
            <family val="2"/>
          </rPr>
          <t>jarmylly:</t>
        </r>
        <r>
          <rPr>
            <sz val="9"/>
            <color indexed="81"/>
            <rFont val="Tahoma"/>
            <family val="2"/>
          </rPr>
          <t xml:space="preserve">
Contains two disks:
- Disk-1: 60GB
- Disk-2: 40GB</t>
        </r>
      </text>
    </comment>
    <comment ref="I25" authorId="0" shapeId="0" xr:uid="{2F1ABE5A-C0CF-40A6-A8B0-F786CFD79A5C}">
      <text>
        <r>
          <rPr>
            <b/>
            <sz val="9"/>
            <color indexed="81"/>
            <rFont val="Tahoma"/>
            <family val="2"/>
          </rPr>
          <t>jarmylly:</t>
        </r>
        <r>
          <rPr>
            <sz val="9"/>
            <color indexed="81"/>
            <rFont val="Tahoma"/>
            <family val="2"/>
          </rPr>
          <t xml:space="preserve">
Contains two disks:
- Disk-1: 60GB
- Disk-2: 40GB</t>
        </r>
      </text>
    </comment>
    <comment ref="I26" authorId="0" shapeId="0" xr:uid="{3140ED77-54C8-4666-828F-8451D2CD0000}">
      <text>
        <r>
          <rPr>
            <b/>
            <sz val="9"/>
            <color indexed="81"/>
            <rFont val="Tahoma"/>
            <family val="2"/>
          </rPr>
          <t>jarmylly:</t>
        </r>
        <r>
          <rPr>
            <sz val="9"/>
            <color indexed="81"/>
            <rFont val="Tahoma"/>
            <family val="2"/>
          </rPr>
          <t xml:space="preserve">
Contains two disks:
- Disk-1: 60GB
- Disk-2: 40GB</t>
        </r>
      </text>
    </comment>
    <comment ref="Z27" authorId="0" shapeId="0" xr:uid="{48C58DFE-22BC-4EFD-BAF1-608701D4BDF4}">
      <text>
        <r>
          <rPr>
            <b/>
            <sz val="9"/>
            <color indexed="81"/>
            <rFont val="Tahoma"/>
            <family val="2"/>
          </rPr>
          <t>jarmylly:</t>
        </r>
        <r>
          <rPr>
            <sz val="9"/>
            <color indexed="81"/>
            <rFont val="Tahoma"/>
            <family val="2"/>
          </rPr>
          <t xml:space="preserve">
Contains one disk:
- vm66_REP_disk: 46,08GB
</t>
        </r>
      </text>
    </comment>
    <comment ref="AA27" authorId="3" shapeId="0" xr:uid="{0F74CE5F-E117-4F16-879C-370B4FBAAFA6}">
      <text>
        <r>
          <rPr>
            <b/>
            <sz val="9"/>
            <color indexed="81"/>
            <rFont val="Calibri"/>
            <family val="2"/>
          </rPr>
          <t>Jari Myllymaa:</t>
        </r>
        <r>
          <rPr>
            <sz val="9"/>
            <color indexed="81"/>
            <rFont val="Calibri"/>
            <family val="2"/>
          </rPr>
          <t xml:space="preserve">
PMDatastore can extend 50GB</t>
        </r>
      </text>
    </comment>
    <comment ref="Z28" authorId="0" shapeId="0" xr:uid="{92C0A921-2ABD-478A-A074-C538D06B0564}">
      <text>
        <r>
          <rPr>
            <b/>
            <sz val="9"/>
            <color indexed="81"/>
            <rFont val="Tahoma"/>
            <family val="2"/>
          </rPr>
          <t>jarmylly:</t>
        </r>
        <r>
          <rPr>
            <sz val="9"/>
            <color indexed="81"/>
            <rFont val="Tahoma"/>
            <family val="2"/>
          </rPr>
          <t xml:space="preserve">
Contains one disk:
- vm67_REP_disk: 46,08GB</t>
        </r>
      </text>
    </comment>
    <comment ref="I36" authorId="0" shapeId="0" xr:uid="{4D8C9AF1-6226-443D-8205-098B0431D7CE}">
      <text>
        <r>
          <rPr>
            <b/>
            <sz val="9"/>
            <color indexed="81"/>
            <rFont val="Tahoma"/>
            <family val="2"/>
          </rPr>
          <t>jarmylly:</t>
        </r>
        <r>
          <rPr>
            <sz val="9"/>
            <color indexed="81"/>
            <rFont val="Tahoma"/>
            <family val="2"/>
          </rPr>
          <t xml:space="preserve">
Contains two disks:
- Disk-1: 60GB
- Disk-2: 40GB</t>
        </r>
      </text>
    </comment>
    <comment ref="I37" authorId="0" shapeId="0" xr:uid="{F9B5E549-A18A-4524-AB95-BEB7F07750AD}">
      <text>
        <r>
          <rPr>
            <b/>
            <sz val="9"/>
            <color indexed="81"/>
            <rFont val="Tahoma"/>
            <family val="2"/>
          </rPr>
          <t>jarmylly:</t>
        </r>
        <r>
          <rPr>
            <sz val="9"/>
            <color indexed="81"/>
            <rFont val="Tahoma"/>
            <family val="2"/>
          </rPr>
          <t xml:space="preserve">
Contains two disks:
- Disk-1: 60GB
- Disk-2: 40GB</t>
        </r>
      </text>
    </comment>
    <comment ref="I38" authorId="0" shapeId="0" xr:uid="{3BFA9B0F-7103-4C18-AE7E-189ADBCDE4A8}">
      <text>
        <r>
          <rPr>
            <b/>
            <sz val="9"/>
            <color indexed="81"/>
            <rFont val="Tahoma"/>
            <family val="2"/>
          </rPr>
          <t>jarmylly:</t>
        </r>
        <r>
          <rPr>
            <sz val="9"/>
            <color indexed="81"/>
            <rFont val="Tahoma"/>
            <family val="2"/>
          </rPr>
          <t xml:space="preserve">
Contains two disks:
- Disk-1: 60GB
- Disk-2: 40GB</t>
        </r>
      </text>
    </comment>
    <comment ref="I39" authorId="0" shapeId="0" xr:uid="{4B2FF0A9-4A24-4F64-88F7-FE4507C12DCC}">
      <text>
        <r>
          <rPr>
            <b/>
            <sz val="9"/>
            <color indexed="81"/>
            <rFont val="Tahoma"/>
            <family val="2"/>
          </rPr>
          <t>jarmylly:</t>
        </r>
        <r>
          <rPr>
            <sz val="9"/>
            <color indexed="81"/>
            <rFont val="Tahoma"/>
            <family val="2"/>
          </rPr>
          <t xml:space="preserve">
Contains two disks:
- Disk-1: 60GB
- Disk-2: 40GB</t>
        </r>
      </text>
    </comment>
    <comment ref="I45" authorId="0" shapeId="0" xr:uid="{48368B00-787C-4D7B-BA2D-4FD9399A791E}">
      <text>
        <r>
          <rPr>
            <b/>
            <sz val="9"/>
            <color indexed="81"/>
            <rFont val="Tahoma"/>
            <family val="2"/>
          </rPr>
          <t>jarmylly:</t>
        </r>
        <r>
          <rPr>
            <sz val="9"/>
            <color indexed="81"/>
            <rFont val="Tahoma"/>
            <family val="2"/>
          </rPr>
          <t xml:space="preserve">
Contains two disks:
- Disk-1: 30GB
- Disk-2: 80GB</t>
        </r>
      </text>
    </comment>
    <comment ref="I50" authorId="4" shapeId="0" xr:uid="{C5D46C5D-38C5-4120-B9A8-EE7310B7B4CF}">
      <text>
        <r>
          <rPr>
            <b/>
            <sz val="9"/>
            <color indexed="81"/>
            <rFont val="Tahoma"/>
            <family val="2"/>
          </rPr>
          <t>Thippeswamy, Suresh (Nokia - IN/Bangalore):</t>
        </r>
        <r>
          <rPr>
            <sz val="9"/>
            <color indexed="81"/>
            <rFont val="Tahoma"/>
            <family val="2"/>
          </rPr>
          <t xml:space="preserve">
OS disk: 50GB
Data Disk:2048GB</t>
        </r>
      </text>
    </comment>
    <comment ref="E61" authorId="0" shapeId="0" xr:uid="{E045D864-457C-4D5B-802F-3ED52B3EC357}">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
In case NetAct virtual cluster contains only G8 servers, there can be only one BTSMED VM.</t>
        </r>
      </text>
    </comment>
    <comment ref="E62" authorId="0" shapeId="0" xr:uid="{FAA616BA-6107-4C08-B4F3-31CBAD8CAEB7}">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
In case NetAct virtual cluster contains only G8 servers, there can be only one BTSMED VM.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jarmylly</author>
    <author>Rastogi, Alok (Nokia - IN/Bangalore)</author>
    <author>tc={614204BF-E8B8-4904-9183-31EB6C504695}</author>
    <author>Thippeswamy, Suresh (Nokia - IN/Bangalore)</author>
  </authors>
  <commentList>
    <comment ref="K7" authorId="0" shapeId="0" xr:uid="{755E43F0-E87E-4325-9C52-E4BF595B332B}">
      <text>
        <r>
          <rPr>
            <b/>
            <sz val="9"/>
            <color indexed="81"/>
            <rFont val="Tahoma"/>
            <family val="2"/>
          </rPr>
          <t>jarmylly:</t>
        </r>
        <r>
          <rPr>
            <sz val="9"/>
            <color indexed="81"/>
            <rFont val="Tahoma"/>
            <family val="2"/>
          </rPr>
          <t xml:space="preserve">
Only if Airframe Hardware used</t>
        </r>
      </text>
    </comment>
    <comment ref="O7" authorId="0" shapeId="0" xr:uid="{FAD74D30-BC0E-4C4C-9BA6-1B63420464E9}">
      <text>
        <r>
          <rPr>
            <b/>
            <sz val="9"/>
            <color indexed="81"/>
            <rFont val="Tahoma"/>
            <family val="2"/>
          </rPr>
          <t>jarmylly:</t>
        </r>
        <r>
          <rPr>
            <sz val="9"/>
            <color indexed="81"/>
            <rFont val="Tahoma"/>
            <family val="2"/>
          </rPr>
          <t xml:space="preserve">
Only if Airframe Hardware used</t>
        </r>
      </text>
    </comment>
    <comment ref="S7" authorId="0" shapeId="0" xr:uid="{50A141D0-4355-4CDD-AEB1-103ABAA053FB}">
      <text>
        <r>
          <rPr>
            <b/>
            <sz val="9"/>
            <color indexed="81"/>
            <rFont val="Tahoma"/>
            <family val="2"/>
          </rPr>
          <t>jarmylly:</t>
        </r>
        <r>
          <rPr>
            <sz val="9"/>
            <color indexed="81"/>
            <rFont val="Tahoma"/>
            <family val="2"/>
          </rPr>
          <t xml:space="preserve">
Only if Airframe Hardware used</t>
        </r>
      </text>
    </comment>
    <comment ref="W7" authorId="0" shapeId="0" xr:uid="{DEEA12A0-DCAC-4F46-BB1D-E2F27B7618F2}">
      <text>
        <r>
          <rPr>
            <b/>
            <sz val="9"/>
            <color indexed="81"/>
            <rFont val="Tahoma"/>
            <family val="2"/>
          </rPr>
          <t>jarmylly:</t>
        </r>
        <r>
          <rPr>
            <sz val="9"/>
            <color indexed="81"/>
            <rFont val="Tahoma"/>
            <family val="2"/>
          </rPr>
          <t xml:space="preserve">
Only if Airframe Hardware used</t>
        </r>
      </text>
    </comment>
    <comment ref="AA7" authorId="0" shapeId="0" xr:uid="{87223627-2C79-4FA2-B84D-C4C8DC1F0E29}">
      <text>
        <r>
          <rPr>
            <b/>
            <sz val="9"/>
            <color indexed="81"/>
            <rFont val="Tahoma"/>
            <family val="2"/>
          </rPr>
          <t>jarmylly:</t>
        </r>
        <r>
          <rPr>
            <sz val="9"/>
            <color indexed="81"/>
            <rFont val="Tahoma"/>
            <family val="2"/>
          </rPr>
          <t xml:space="preserve">
Only if Airframe Hardware used</t>
        </r>
      </text>
    </comment>
    <comment ref="AE7" authorId="0" shapeId="0" xr:uid="{3642BA3F-D125-4EC7-B6D2-077C06165503}">
      <text>
        <r>
          <rPr>
            <b/>
            <sz val="9"/>
            <color indexed="81"/>
            <rFont val="Tahoma"/>
            <family val="2"/>
          </rPr>
          <t>jarmylly:</t>
        </r>
        <r>
          <rPr>
            <sz val="9"/>
            <color indexed="81"/>
            <rFont val="Tahoma"/>
            <family val="2"/>
          </rPr>
          <t xml:space="preserve">
Only if Airframe Hardware used</t>
        </r>
      </text>
    </comment>
    <comment ref="AI7" authorId="0" shapeId="0" xr:uid="{922D04BC-2BE5-4814-A008-D18594867391}">
      <text>
        <r>
          <rPr>
            <b/>
            <sz val="9"/>
            <color indexed="81"/>
            <rFont val="Tahoma"/>
            <family val="2"/>
          </rPr>
          <t>jarmylly:</t>
        </r>
        <r>
          <rPr>
            <sz val="9"/>
            <color indexed="81"/>
            <rFont val="Tahoma"/>
            <family val="2"/>
          </rPr>
          <t xml:space="preserve">
Only if Airframe Hardware used</t>
        </r>
      </text>
    </comment>
    <comment ref="AM7" authorId="0" shapeId="0" xr:uid="{5E36746A-0BC9-4678-B3D6-143BFF786EF0}">
      <text>
        <r>
          <rPr>
            <b/>
            <sz val="9"/>
            <color indexed="81"/>
            <rFont val="Tahoma"/>
            <family val="2"/>
          </rPr>
          <t>jarmylly:</t>
        </r>
        <r>
          <rPr>
            <sz val="9"/>
            <color indexed="81"/>
            <rFont val="Tahoma"/>
            <family val="2"/>
          </rPr>
          <t xml:space="preserve">
Only if Airframe Hardware used</t>
        </r>
      </text>
    </comment>
    <comment ref="AQ7" authorId="0" shapeId="0" xr:uid="{E93BC038-D9FB-4342-867A-8AAB5850FF83}">
      <text>
        <r>
          <rPr>
            <b/>
            <sz val="9"/>
            <color indexed="81"/>
            <rFont val="Tahoma"/>
            <family val="2"/>
          </rPr>
          <t>jarmylly:</t>
        </r>
        <r>
          <rPr>
            <sz val="9"/>
            <color indexed="81"/>
            <rFont val="Tahoma"/>
            <family val="2"/>
          </rPr>
          <t xml:space="preserve">
Only if Airframe Hardware used</t>
        </r>
      </text>
    </comment>
    <comment ref="AU7" authorId="0" shapeId="0" xr:uid="{0D2FF9E5-7CE8-441A-9577-0AAEA03EA074}">
      <text>
        <r>
          <rPr>
            <b/>
            <sz val="9"/>
            <color indexed="81"/>
            <rFont val="Tahoma"/>
            <family val="2"/>
          </rPr>
          <t>jarmylly:</t>
        </r>
        <r>
          <rPr>
            <sz val="9"/>
            <color indexed="81"/>
            <rFont val="Tahoma"/>
            <family val="2"/>
          </rPr>
          <t xml:space="preserve">
Only if Airframe Hardware used</t>
        </r>
      </text>
    </comment>
    <comment ref="AY7" authorId="0" shapeId="0" xr:uid="{231B9702-B769-48B3-B1DF-CEB7D33FE36D}">
      <text>
        <r>
          <rPr>
            <b/>
            <sz val="9"/>
            <color indexed="81"/>
            <rFont val="Tahoma"/>
            <family val="2"/>
          </rPr>
          <t>jarmylly:</t>
        </r>
        <r>
          <rPr>
            <sz val="9"/>
            <color indexed="81"/>
            <rFont val="Tahoma"/>
            <family val="2"/>
          </rPr>
          <t xml:space="preserve">
Only if Airframe Hardware used</t>
        </r>
      </text>
    </comment>
    <comment ref="L8" authorId="0" shapeId="0" xr:uid="{991B9625-7F6A-4A08-87ED-DAA23BB3B86E}">
      <text>
        <r>
          <rPr>
            <b/>
            <sz val="9"/>
            <color indexed="81"/>
            <rFont val="Tahoma"/>
            <family val="2"/>
          </rPr>
          <t>jarmylly:</t>
        </r>
        <r>
          <rPr>
            <sz val="9"/>
            <color indexed="81"/>
            <rFont val="Tahoma"/>
            <family val="2"/>
          </rPr>
          <t xml:space="preserve">
Images name: rhel7_insteng</t>
        </r>
      </text>
    </comment>
    <comment ref="L9" authorId="0" shapeId="0" xr:uid="{5F6824D8-B343-4EB0-8505-DBB1E104E914}">
      <text>
        <r>
          <rPr>
            <b/>
            <sz val="9"/>
            <color indexed="81"/>
            <rFont val="Tahoma"/>
            <family val="2"/>
          </rPr>
          <t>jarmylly:</t>
        </r>
        <r>
          <rPr>
            <sz val="9"/>
            <color indexed="81"/>
            <rFont val="Tahoma"/>
            <family val="2"/>
          </rPr>
          <t xml:space="preserve">
Image name: administration_server</t>
        </r>
      </text>
    </comment>
    <comment ref="L10" authorId="0" shapeId="0" xr:uid="{C90F3429-BDF3-4022-B240-CA060F958ABF}">
      <text>
        <r>
          <rPr>
            <b/>
            <sz val="9"/>
            <color indexed="81"/>
            <rFont val="Tahoma"/>
            <family val="2"/>
          </rPr>
          <t>jarmylly:</t>
        </r>
        <r>
          <rPr>
            <sz val="9"/>
            <color indexed="81"/>
            <rFont val="Tahoma"/>
            <family val="2"/>
          </rPr>
          <t xml:space="preserve">
Image name: netact_rhel_base</t>
        </r>
      </text>
    </comment>
    <comment ref="L11" authorId="0" shapeId="0" xr:uid="{278B4770-3C54-460E-85F5-B6445BE9F34A}">
      <text>
        <r>
          <rPr>
            <b/>
            <sz val="9"/>
            <color indexed="81"/>
            <rFont val="Tahoma"/>
            <family val="2"/>
          </rPr>
          <t>jarmylly:</t>
        </r>
        <r>
          <rPr>
            <sz val="9"/>
            <color indexed="81"/>
            <rFont val="Tahoma"/>
            <family val="2"/>
          </rPr>
          <t xml:space="preserve">
Image name: netact_rhel_base</t>
        </r>
      </text>
    </comment>
    <comment ref="P11" authorId="0" shapeId="0" xr:uid="{7D8AB0C6-4134-4BE1-A723-BA89502FA86A}">
      <text>
        <r>
          <rPr>
            <b/>
            <sz val="9"/>
            <color indexed="81"/>
            <rFont val="Tahoma"/>
            <family val="2"/>
          </rPr>
          <t>jarmylly:</t>
        </r>
        <r>
          <rPr>
            <sz val="9"/>
            <color indexed="81"/>
            <rFont val="Tahoma"/>
            <family val="2"/>
          </rPr>
          <t xml:space="preserve">
Image name: vgredo</t>
        </r>
      </text>
    </comment>
    <comment ref="T11" authorId="0" shapeId="0" xr:uid="{62E46EC5-8972-4D72-BB6C-273055FA7635}">
      <text>
        <r>
          <rPr>
            <b/>
            <sz val="9"/>
            <color indexed="81"/>
            <rFont val="Tahoma"/>
            <family val="2"/>
          </rPr>
          <t>jarmylly:</t>
        </r>
        <r>
          <rPr>
            <sz val="9"/>
            <color indexed="81"/>
            <rFont val="Tahoma"/>
            <family val="2"/>
          </rPr>
          <t xml:space="preserve">
Image name: vgdb</t>
        </r>
      </text>
    </comment>
    <comment ref="X11" authorId="0" shapeId="0" xr:uid="{D67965E4-0914-4385-8F52-F3ABB882ADAC}">
      <text>
        <r>
          <rPr>
            <b/>
            <sz val="9"/>
            <color indexed="81"/>
            <rFont val="Tahoma"/>
            <family val="2"/>
          </rPr>
          <t>jarmylly:</t>
        </r>
        <r>
          <rPr>
            <sz val="9"/>
            <color indexed="81"/>
            <rFont val="Tahoma"/>
            <family val="2"/>
          </rPr>
          <t xml:space="preserve">
Image name: vgarc</t>
        </r>
      </text>
    </comment>
    <comment ref="AZ11" authorId="1" shapeId="0" xr:uid="{06F483DA-A160-4A7D-ADF9-2793C17397ED}">
      <text>
        <r>
          <rPr>
            <b/>
            <sz val="9"/>
            <color indexed="81"/>
            <rFont val="Tahoma"/>
            <family val="2"/>
          </rPr>
          <t xml:space="preserve"> Alok :name
</t>
        </r>
        <r>
          <rPr>
            <sz val="9"/>
            <color indexed="81"/>
            <rFont val="Tahoma"/>
            <family val="2"/>
          </rPr>
          <t>vgdbfb</t>
        </r>
      </text>
    </comment>
    <comment ref="BA11" authorId="1" shapeId="0" xr:uid="{C16ADA9F-6261-4910-B364-22FFCD8E3589}">
      <text>
        <r>
          <rPr>
            <b/>
            <sz val="9"/>
            <color indexed="81"/>
            <rFont val="Tahoma"/>
            <family val="2"/>
          </rPr>
          <t>Rastogi, Alok (Nokia - IN/Bangalore):</t>
        </r>
        <r>
          <rPr>
            <sz val="9"/>
            <color indexed="81"/>
            <rFont val="Tahoma"/>
            <family val="2"/>
          </rPr>
          <t xml:space="preserve">
with FB enable 6 else 5</t>
        </r>
      </text>
    </comment>
    <comment ref="L12" authorId="0" shapeId="0" xr:uid="{AB136C49-8ECA-43F2-A904-C9757A7672BC}">
      <text>
        <r>
          <rPr>
            <b/>
            <sz val="9"/>
            <color indexed="81"/>
            <rFont val="Tahoma"/>
            <family val="2"/>
          </rPr>
          <t>jarmylly:</t>
        </r>
        <r>
          <rPr>
            <sz val="9"/>
            <color indexed="81"/>
            <rFont val="Tahoma"/>
            <family val="2"/>
          </rPr>
          <t xml:space="preserve">
Image name: netact_rhel_base</t>
        </r>
      </text>
    </comment>
    <comment ref="Y12" authorId="1" shapeId="0" xr:uid="{D306B686-5A0F-47C2-97D2-77527BECEABF}">
      <text>
        <r>
          <rPr>
            <b/>
            <sz val="9"/>
            <color indexed="81"/>
            <rFont val="Tahoma"/>
            <family val="2"/>
          </rPr>
          <t>Rastogi, Alok (Nokia - IN/Bangalore):</t>
        </r>
        <r>
          <rPr>
            <sz val="9"/>
            <color indexed="81"/>
            <rFont val="Tahoma"/>
            <family val="2"/>
          </rPr>
          <t xml:space="preserve">
Contains three disks:
NFS Global :209920 MB
NFS Home :12288 MB
NFS WAS dump: 25600 MB</t>
        </r>
      </text>
    </comment>
    <comment ref="AB12" authorId="0" shapeId="0" xr:uid="{8B836659-783D-46EC-82E1-C14879EDF9BF}">
      <text>
        <r>
          <rPr>
            <b/>
            <sz val="9"/>
            <color indexed="81"/>
            <rFont val="Tahoma"/>
            <family val="2"/>
          </rPr>
          <t>jarmylly:</t>
        </r>
        <r>
          <rPr>
            <sz val="9"/>
            <color indexed="81"/>
            <rFont val="Tahoma"/>
            <family val="2"/>
          </rPr>
          <t xml:space="preserve">
Image names:
- vgglobal
- vghome</t>
        </r>
      </text>
    </comment>
    <comment ref="AC12" authorId="0" shapeId="0" xr:uid="{D4BDF6AB-2892-45A0-AD1C-894A0246D2C1}">
      <text>
        <r>
          <rPr>
            <b/>
            <sz val="9"/>
            <color indexed="81"/>
            <rFont val="Tahoma"/>
            <family val="2"/>
          </rPr>
          <t>jarmylly:</t>
        </r>
        <r>
          <rPr>
            <sz val="9"/>
            <color indexed="81"/>
            <rFont val="Tahoma"/>
            <family val="2"/>
          </rPr>
          <t xml:space="preserve">
Reserved for customer own data.</t>
        </r>
      </text>
    </comment>
    <comment ref="AG12" authorId="2" shapeId="0" xr:uid="{614204BF-E8B8-4904-9183-31EB6C504695}">
      <text>
        <t>[Threaded comment]
Your version of Excel allows you to read this threaded comment; however, any edits to it will get removed if the file is opened in a newer version of Excel. Learn more: https://go.microsoft.com/fwlink/?linkid=870924
Comment:
    CRSR218: 20GB added</t>
      </text>
    </comment>
    <comment ref="L13" authorId="0" shapeId="0" xr:uid="{81AC187C-3277-443C-B132-57E90E27DDE6}">
      <text>
        <r>
          <rPr>
            <b/>
            <sz val="9"/>
            <color indexed="81"/>
            <rFont val="Tahoma"/>
            <family val="2"/>
          </rPr>
          <t>jarmylly:</t>
        </r>
        <r>
          <rPr>
            <sz val="9"/>
            <color indexed="81"/>
            <rFont val="Tahoma"/>
            <family val="2"/>
          </rPr>
          <t xml:space="preserve">
Image name: netact_rhel_base</t>
        </r>
      </text>
    </comment>
    <comment ref="L14" authorId="0" shapeId="0" xr:uid="{180CF9E2-966A-49E0-A648-CDA7793572C2}">
      <text>
        <r>
          <rPr>
            <b/>
            <sz val="9"/>
            <color indexed="81"/>
            <rFont val="Tahoma"/>
            <family val="2"/>
          </rPr>
          <t>jarmylly:</t>
        </r>
        <r>
          <rPr>
            <sz val="9"/>
            <color indexed="81"/>
            <rFont val="Tahoma"/>
            <family val="2"/>
          </rPr>
          <t xml:space="preserve">
Image name: netact_rhel_base</t>
        </r>
      </text>
    </comment>
    <comment ref="L15" authorId="0" shapeId="0" xr:uid="{C0EB9B7B-6C66-4F7A-8FC7-ECCCA07D23AA}">
      <text>
        <r>
          <rPr>
            <b/>
            <sz val="9"/>
            <color indexed="81"/>
            <rFont val="Tahoma"/>
            <family val="2"/>
          </rPr>
          <t>jarmylly:</t>
        </r>
        <r>
          <rPr>
            <sz val="9"/>
            <color indexed="81"/>
            <rFont val="Tahoma"/>
            <family val="2"/>
          </rPr>
          <t xml:space="preserve">
Image name: netact_rhel_base</t>
        </r>
      </text>
    </comment>
    <comment ref="L16" authorId="0" shapeId="0" xr:uid="{010D71D5-6A50-4CAF-A0E7-1DA7E3A6F1F0}">
      <text>
        <r>
          <rPr>
            <b/>
            <sz val="9"/>
            <color indexed="81"/>
            <rFont val="Tahoma"/>
            <family val="2"/>
          </rPr>
          <t>jarmylly:</t>
        </r>
        <r>
          <rPr>
            <sz val="9"/>
            <color indexed="81"/>
            <rFont val="Tahoma"/>
            <family val="2"/>
          </rPr>
          <t xml:space="preserve">
Image name: netact_rhel_base</t>
        </r>
      </text>
    </comment>
    <comment ref="L17" authorId="0" shapeId="0" xr:uid="{2C9A4809-E6EF-41D9-B409-A42E96A27A57}">
      <text>
        <r>
          <rPr>
            <b/>
            <sz val="9"/>
            <color indexed="81"/>
            <rFont val="Tahoma"/>
            <family val="2"/>
          </rPr>
          <t>jarmylly:</t>
        </r>
        <r>
          <rPr>
            <sz val="9"/>
            <color indexed="81"/>
            <rFont val="Tahoma"/>
            <family val="2"/>
          </rPr>
          <t xml:space="preserve">
Image name: netact_rhel_base</t>
        </r>
      </text>
    </comment>
    <comment ref="L18" authorId="0" shapeId="0" xr:uid="{0A65BE07-E8B1-4E92-A7D0-BD6B56D957A0}">
      <text>
        <r>
          <rPr>
            <b/>
            <sz val="9"/>
            <color indexed="81"/>
            <rFont val="Tahoma"/>
            <family val="2"/>
          </rPr>
          <t>jarmylly:</t>
        </r>
        <r>
          <rPr>
            <sz val="9"/>
            <color indexed="81"/>
            <rFont val="Tahoma"/>
            <family val="2"/>
          </rPr>
          <t xml:space="preserve">
Image name: netact_rhel_base</t>
        </r>
      </text>
    </comment>
    <comment ref="L19" authorId="0" shapeId="0" xr:uid="{90DAF166-DD6E-4D82-A606-750B3244C64E}">
      <text>
        <r>
          <rPr>
            <b/>
            <sz val="9"/>
            <color indexed="81"/>
            <rFont val="Tahoma"/>
            <family val="2"/>
          </rPr>
          <t>jarmylly:</t>
        </r>
        <r>
          <rPr>
            <sz val="9"/>
            <color indexed="81"/>
            <rFont val="Tahoma"/>
            <family val="2"/>
          </rPr>
          <t xml:space="preserve">
Image name: netact_rhel_base</t>
        </r>
      </text>
    </comment>
    <comment ref="AR19" authorId="1" shapeId="0" xr:uid="{13E3F59C-9D00-45D1-90AD-E20EB76AF0C4}">
      <text>
        <r>
          <rPr>
            <b/>
            <sz val="9"/>
            <color indexed="81"/>
            <rFont val="Tahoma"/>
            <family val="2"/>
          </rPr>
          <t xml:space="preserve"> Alok :name
</t>
        </r>
        <r>
          <rPr>
            <sz val="9"/>
            <color indexed="81"/>
            <rFont val="Tahoma"/>
            <family val="2"/>
          </rPr>
          <t>vgadm</t>
        </r>
      </text>
    </comment>
    <comment ref="L20" authorId="0" shapeId="0" xr:uid="{A02D5562-0BF3-4383-802B-85F64C2EB223}">
      <text>
        <r>
          <rPr>
            <b/>
            <sz val="9"/>
            <color indexed="81"/>
            <rFont val="Tahoma"/>
            <family val="2"/>
          </rPr>
          <t>jarmylly:</t>
        </r>
        <r>
          <rPr>
            <sz val="9"/>
            <color indexed="81"/>
            <rFont val="Tahoma"/>
            <family val="2"/>
          </rPr>
          <t xml:space="preserve">
Image name: netact_rhel_base</t>
        </r>
      </text>
    </comment>
    <comment ref="L21" authorId="0" shapeId="0" xr:uid="{D1E3D4CE-67CB-47A8-8983-F1CAF0622A6A}">
      <text>
        <r>
          <rPr>
            <b/>
            <sz val="9"/>
            <color indexed="81"/>
            <rFont val="Tahoma"/>
            <family val="2"/>
          </rPr>
          <t>jarmylly:</t>
        </r>
        <r>
          <rPr>
            <sz val="9"/>
            <color indexed="81"/>
            <rFont val="Tahoma"/>
            <family val="2"/>
          </rPr>
          <t xml:space="preserve">
Image name: netact_rhel_base</t>
        </r>
      </text>
    </comment>
    <comment ref="AV21" authorId="3" shapeId="0" xr:uid="{6B75843E-B871-4DA5-B480-8094747F06E7}">
      <text>
        <r>
          <rPr>
            <b/>
            <sz val="9"/>
            <color indexed="81"/>
            <rFont val="Tahoma"/>
            <family val="2"/>
          </rPr>
          <t>Thippeswamy, Suresh (Nokia - IN/Bangalore):</t>
        </r>
        <r>
          <rPr>
            <sz val="9"/>
            <color indexed="81"/>
            <rFont val="Tahoma"/>
            <family val="2"/>
          </rPr>
          <t xml:space="preserve">
Image Name:vgisdk</t>
        </r>
      </text>
    </comment>
    <comment ref="L22" authorId="0" shapeId="0" xr:uid="{2D77EDC8-62FC-4128-AAAD-BEEF8F1EB251}">
      <text>
        <r>
          <rPr>
            <b/>
            <sz val="9"/>
            <color indexed="81"/>
            <rFont val="Tahoma"/>
            <family val="2"/>
          </rPr>
          <t>jarmylly:</t>
        </r>
        <r>
          <rPr>
            <sz val="9"/>
            <color indexed="81"/>
            <rFont val="Tahoma"/>
            <family val="2"/>
          </rPr>
          <t xml:space="preserve">
Image name: netact_rhel_base</t>
        </r>
      </text>
    </comment>
    <comment ref="L23" authorId="0" shapeId="0" xr:uid="{EFD97E19-B387-4FE5-A034-15FB92A257D9}">
      <text>
        <r>
          <rPr>
            <b/>
            <sz val="9"/>
            <color indexed="81"/>
            <rFont val="Tahoma"/>
            <family val="2"/>
          </rPr>
          <t>jarmylly:</t>
        </r>
        <r>
          <rPr>
            <sz val="9"/>
            <color indexed="81"/>
            <rFont val="Tahoma"/>
            <family val="2"/>
          </rPr>
          <t xml:space="preserve">
Image name: netact_rhel_base</t>
        </r>
      </text>
    </comment>
    <comment ref="L24" authorId="0" shapeId="0" xr:uid="{A044E584-AFC8-43EC-9FA3-786D999DA76F}">
      <text>
        <r>
          <rPr>
            <b/>
            <sz val="9"/>
            <color indexed="81"/>
            <rFont val="Tahoma"/>
            <family val="2"/>
          </rPr>
          <t>jarmylly:</t>
        </r>
        <r>
          <rPr>
            <sz val="9"/>
            <color indexed="81"/>
            <rFont val="Tahoma"/>
            <family val="2"/>
          </rPr>
          <t xml:space="preserve">
Image name: netact_rhel_base</t>
        </r>
      </text>
    </comment>
    <comment ref="H25" authorId="0" shapeId="0" xr:uid="{2CF0F68D-1CE7-4D02-AD2B-097B837A2421}">
      <text>
        <r>
          <rPr>
            <b/>
            <sz val="9"/>
            <color indexed="81"/>
            <rFont val="Tahoma"/>
            <family val="2"/>
          </rPr>
          <t>jarmylly:</t>
        </r>
        <r>
          <rPr>
            <sz val="9"/>
            <color indexed="81"/>
            <rFont val="Tahoma"/>
            <family val="2"/>
          </rPr>
          <t xml:space="preserve">
Contains two disks:
- Disk-1: 61GB
- Disk-2: 41GB</t>
        </r>
      </text>
    </comment>
    <comment ref="L25" authorId="0" shapeId="0" xr:uid="{EEA4D86F-A951-4E17-80CE-22E0E3551A54}">
      <text>
        <r>
          <rPr>
            <b/>
            <sz val="9"/>
            <color indexed="81"/>
            <rFont val="Tahoma"/>
            <family val="2"/>
          </rPr>
          <t>jarmylly:</t>
        </r>
        <r>
          <rPr>
            <sz val="9"/>
            <color indexed="81"/>
            <rFont val="Tahoma"/>
            <family val="2"/>
          </rPr>
          <t xml:space="preserve">
Image name: 
- NMS_DC_disk1
- NMS_DC_disk2</t>
        </r>
      </text>
    </comment>
    <comment ref="H26" authorId="0" shapeId="0" xr:uid="{91494B8A-1630-4E16-B6DD-03A0B90EAEB4}">
      <text>
        <r>
          <rPr>
            <b/>
            <sz val="9"/>
            <color indexed="81"/>
            <rFont val="Tahoma"/>
            <family val="2"/>
          </rPr>
          <t>jarmylly:</t>
        </r>
        <r>
          <rPr>
            <sz val="9"/>
            <color indexed="81"/>
            <rFont val="Tahoma"/>
            <family val="2"/>
          </rPr>
          <t xml:space="preserve">
Contains two disks:
- Disk-1: 61GB
- Disk-2: 41GB</t>
        </r>
      </text>
    </comment>
    <comment ref="L26" authorId="0" shapeId="0" xr:uid="{735ED774-6A59-4631-87C1-6520CCC17500}">
      <text>
        <r>
          <rPr>
            <b/>
            <sz val="9"/>
            <color indexed="81"/>
            <rFont val="Tahoma"/>
            <family val="2"/>
          </rPr>
          <t>jarmylly:</t>
        </r>
        <r>
          <rPr>
            <sz val="9"/>
            <color indexed="81"/>
            <rFont val="Tahoma"/>
            <family val="2"/>
          </rPr>
          <t xml:space="preserve">
Image name:
- NMS_VDA_disk1
- NMS_VDA_disk2</t>
        </r>
      </text>
    </comment>
    <comment ref="H27" authorId="0" shapeId="0" xr:uid="{5AABAE72-4FAD-4A63-8F2D-28058223C8F7}">
      <text>
        <r>
          <rPr>
            <b/>
            <sz val="9"/>
            <color indexed="81"/>
            <rFont val="Tahoma"/>
            <family val="2"/>
          </rPr>
          <t>jarmylly:</t>
        </r>
        <r>
          <rPr>
            <sz val="9"/>
            <color indexed="81"/>
            <rFont val="Tahoma"/>
            <family val="2"/>
          </rPr>
          <t xml:space="preserve">
Contains two disks:
- Disk-1: 61GB
- Disk-2: 41GB</t>
        </r>
      </text>
    </comment>
    <comment ref="L27" authorId="0" shapeId="0" xr:uid="{FDC8779E-128D-4268-B1AA-E6D8D254E450}">
      <text>
        <r>
          <rPr>
            <b/>
            <sz val="9"/>
            <color indexed="81"/>
            <rFont val="Tahoma"/>
            <family val="2"/>
          </rPr>
          <t>jarmylly:</t>
        </r>
        <r>
          <rPr>
            <sz val="9"/>
            <color indexed="81"/>
            <rFont val="Tahoma"/>
            <family val="2"/>
          </rPr>
          <t xml:space="preserve">
Image name:
- NMS_CTXDC_disk1
- NMS_CTXDC_disk2</t>
        </r>
      </text>
    </comment>
    <comment ref="L28" authorId="0" shapeId="0" xr:uid="{215F9091-9BFE-4685-BE48-EC06DF9F78AA}">
      <text>
        <r>
          <rPr>
            <b/>
            <sz val="9"/>
            <color indexed="81"/>
            <rFont val="Tahoma"/>
            <family val="2"/>
          </rPr>
          <t>jarmylly:</t>
        </r>
        <r>
          <rPr>
            <sz val="9"/>
            <color indexed="81"/>
            <rFont val="Tahoma"/>
            <family val="2"/>
          </rPr>
          <t xml:space="preserve">
Image name: netact_rhel_base</t>
        </r>
      </text>
    </comment>
    <comment ref="AN28" authorId="0" shapeId="0" xr:uid="{1B250F46-04D8-4397-A5E9-B11C14C125CB}">
      <text>
        <r>
          <rPr>
            <b/>
            <sz val="9"/>
            <color indexed="81"/>
            <rFont val="Tahoma"/>
            <family val="2"/>
          </rPr>
          <t>jarmylly:</t>
        </r>
        <r>
          <rPr>
            <sz val="9"/>
            <color indexed="81"/>
            <rFont val="Tahoma"/>
            <family val="2"/>
          </rPr>
          <t xml:space="preserve">
Image name: vgrep</t>
        </r>
      </text>
    </comment>
    <comment ref="AR28" authorId="0" shapeId="0" xr:uid="{D4B593B7-479D-448C-806A-71E77C9E81D8}">
      <text>
        <r>
          <rPr>
            <b/>
            <sz val="9"/>
            <color indexed="81"/>
            <rFont val="Tahoma"/>
            <family val="2"/>
          </rPr>
          <t>jarmylly:</t>
        </r>
        <r>
          <rPr>
            <sz val="9"/>
            <color indexed="81"/>
            <rFont val="Tahoma"/>
            <family val="2"/>
          </rPr>
          <t xml:space="preserve">
Image name: vgrep</t>
        </r>
      </text>
    </comment>
    <comment ref="L29" authorId="0" shapeId="0" xr:uid="{6328605B-1C76-46E0-A2F2-63B337C3AD32}">
      <text>
        <r>
          <rPr>
            <b/>
            <sz val="9"/>
            <color indexed="81"/>
            <rFont val="Tahoma"/>
            <family val="2"/>
          </rPr>
          <t>jarmylly:</t>
        </r>
        <r>
          <rPr>
            <sz val="9"/>
            <color indexed="81"/>
            <rFont val="Tahoma"/>
            <family val="2"/>
          </rPr>
          <t xml:space="preserve">
Image name: netact_rhel_base</t>
        </r>
      </text>
    </comment>
    <comment ref="AN29" authorId="0" shapeId="0" xr:uid="{1EEDB11C-2D51-4CF7-AB46-7C1E1398FFAF}">
      <text>
        <r>
          <rPr>
            <b/>
            <sz val="9"/>
            <color indexed="81"/>
            <rFont val="Tahoma"/>
            <family val="2"/>
          </rPr>
          <t>jarmylly:</t>
        </r>
        <r>
          <rPr>
            <sz val="9"/>
            <color indexed="81"/>
            <rFont val="Tahoma"/>
            <family val="2"/>
          </rPr>
          <t xml:space="preserve">
Image name: vgrep</t>
        </r>
      </text>
    </comment>
    <comment ref="AR29" authorId="0" shapeId="0" xr:uid="{266BCE0F-73BC-46CF-95CF-59EC20904963}">
      <text>
        <r>
          <rPr>
            <b/>
            <sz val="9"/>
            <color indexed="81"/>
            <rFont val="Tahoma"/>
            <family val="2"/>
          </rPr>
          <t>jarmylly:</t>
        </r>
        <r>
          <rPr>
            <sz val="9"/>
            <color indexed="81"/>
            <rFont val="Tahoma"/>
            <family val="2"/>
          </rPr>
          <t xml:space="preserve">
Image name: vgrep</t>
        </r>
      </text>
    </comment>
    <comment ref="L30" authorId="0" shapeId="0" xr:uid="{48F13C86-A72C-4EBF-BACF-BDB4C4281C74}">
      <text>
        <r>
          <rPr>
            <b/>
            <sz val="9"/>
            <color indexed="81"/>
            <rFont val="Tahoma"/>
            <family val="2"/>
          </rPr>
          <t>jarmylly:</t>
        </r>
        <r>
          <rPr>
            <sz val="9"/>
            <color indexed="81"/>
            <rFont val="Tahoma"/>
            <family val="2"/>
          </rPr>
          <t xml:space="preserve">
Image name: netact_rhel_base</t>
        </r>
      </text>
    </comment>
    <comment ref="L31" authorId="0" shapeId="0" xr:uid="{1106A1B3-ECC0-4400-A20B-986A4CBA2B14}">
      <text>
        <r>
          <rPr>
            <b/>
            <sz val="9"/>
            <color indexed="81"/>
            <rFont val="Tahoma"/>
            <family val="2"/>
          </rPr>
          <t>jarmylly:</t>
        </r>
        <r>
          <rPr>
            <sz val="9"/>
            <color indexed="81"/>
            <rFont val="Tahoma"/>
            <family val="2"/>
          </rPr>
          <t xml:space="preserve">
Image name: netact_rhel_base</t>
        </r>
      </text>
    </comment>
    <comment ref="BI32" authorId="0" shapeId="0" xr:uid="{630D313F-03B4-4CD2-B62A-064A8D66C31C}">
      <text>
        <r>
          <rPr>
            <b/>
            <sz val="9"/>
            <color indexed="81"/>
            <rFont val="Tahoma"/>
            <family val="2"/>
          </rPr>
          <t>jarmylly:</t>
        </r>
        <r>
          <rPr>
            <sz val="9"/>
            <color indexed="81"/>
            <rFont val="Tahoma"/>
            <family val="2"/>
          </rPr>
          <t xml:space="preserve">
IPv4: 3
IPv4/IPv6: 5</t>
        </r>
      </text>
    </comment>
    <comment ref="L36" authorId="0" shapeId="0" xr:uid="{D5E61002-E9FB-403F-953B-D424D793E516}">
      <text>
        <r>
          <rPr>
            <b/>
            <sz val="9"/>
            <color indexed="81"/>
            <rFont val="Tahoma"/>
            <family val="2"/>
          </rPr>
          <t>jarmylly:</t>
        </r>
        <r>
          <rPr>
            <sz val="9"/>
            <color indexed="81"/>
            <rFont val="Tahoma"/>
            <family val="2"/>
          </rPr>
          <t xml:space="preserve">
Image name: netact_rhel_base</t>
        </r>
      </text>
    </comment>
    <comment ref="H37" authorId="0" shapeId="0" xr:uid="{848FC3FE-F019-4E2B-A067-177D357DD5FD}">
      <text>
        <r>
          <rPr>
            <b/>
            <sz val="9"/>
            <color indexed="81"/>
            <rFont val="Tahoma"/>
            <family val="2"/>
          </rPr>
          <t>jarmylly:</t>
        </r>
        <r>
          <rPr>
            <sz val="9"/>
            <color indexed="81"/>
            <rFont val="Tahoma"/>
            <family val="2"/>
          </rPr>
          <t xml:space="preserve">
Contains two disks:
- Disk-1: 61GB
- Disk-2: 41GB</t>
        </r>
      </text>
    </comment>
    <comment ref="L37" authorId="0" shapeId="0" xr:uid="{E4441525-8A10-4EDB-9445-962B09111624}">
      <text>
        <r>
          <rPr>
            <b/>
            <sz val="9"/>
            <color indexed="81"/>
            <rFont val="Tahoma"/>
            <family val="2"/>
          </rPr>
          <t>jarmylly:</t>
        </r>
        <r>
          <rPr>
            <sz val="9"/>
            <color indexed="81"/>
            <rFont val="Tahoma"/>
            <family val="2"/>
          </rPr>
          <t xml:space="preserve">
Image name: 
- NMS_DC_disk1
- NMS_DC_disk2</t>
        </r>
      </text>
    </comment>
    <comment ref="H38" authorId="0" shapeId="0" xr:uid="{CC825B0C-02B9-436B-821C-97C6BD677F7A}">
      <text>
        <r>
          <rPr>
            <b/>
            <sz val="9"/>
            <color indexed="81"/>
            <rFont val="Tahoma"/>
            <family val="2"/>
          </rPr>
          <t>jarmylly:</t>
        </r>
        <r>
          <rPr>
            <sz val="9"/>
            <color indexed="81"/>
            <rFont val="Tahoma"/>
            <family val="2"/>
          </rPr>
          <t xml:space="preserve">
Contains two disks:
- Disk-1: 61GB
- Disk-2: 41GB</t>
        </r>
      </text>
    </comment>
    <comment ref="L38" authorId="0" shapeId="0" xr:uid="{FF8A8CC1-2384-4DEB-8F64-EDBAE01C4FB2}">
      <text>
        <r>
          <rPr>
            <b/>
            <sz val="9"/>
            <color indexed="81"/>
            <rFont val="Tahoma"/>
            <family val="2"/>
          </rPr>
          <t>jarmylly:</t>
        </r>
        <r>
          <rPr>
            <sz val="9"/>
            <color indexed="81"/>
            <rFont val="Tahoma"/>
            <family val="2"/>
          </rPr>
          <t xml:space="preserve">
Image name:
- NMS_VDA_disk1
- NMS_VDA_disk2</t>
        </r>
      </text>
    </comment>
    <comment ref="H39" authorId="0" shapeId="0" xr:uid="{01218529-19AD-44B1-AD9C-83FB2EEB6E88}">
      <text>
        <r>
          <rPr>
            <b/>
            <sz val="9"/>
            <color indexed="81"/>
            <rFont val="Tahoma"/>
            <family val="2"/>
          </rPr>
          <t>jarmylly:</t>
        </r>
        <r>
          <rPr>
            <sz val="9"/>
            <color indexed="81"/>
            <rFont val="Tahoma"/>
            <family val="2"/>
          </rPr>
          <t xml:space="preserve">
Contains two disks:
- Disk-1: 61GB
- Disk-2: 41GB</t>
        </r>
      </text>
    </comment>
    <comment ref="L39" authorId="0" shapeId="0" xr:uid="{50C074CD-491F-4E14-A47B-406F05E46CC8}">
      <text>
        <r>
          <rPr>
            <b/>
            <sz val="9"/>
            <color indexed="81"/>
            <rFont val="Tahoma"/>
            <family val="2"/>
          </rPr>
          <t>jarmylly:</t>
        </r>
        <r>
          <rPr>
            <sz val="9"/>
            <color indexed="81"/>
            <rFont val="Tahoma"/>
            <family val="2"/>
          </rPr>
          <t xml:space="preserve">
Image name:
- NMS_VDA_disk1
- NMS_VDA_disk2</t>
        </r>
      </text>
    </comment>
    <comment ref="H40" authorId="0" shapeId="0" xr:uid="{DA74296A-6FE0-4A79-BCD4-2F33CA046CD5}">
      <text>
        <r>
          <rPr>
            <b/>
            <sz val="9"/>
            <color indexed="81"/>
            <rFont val="Tahoma"/>
            <family val="2"/>
          </rPr>
          <t>jarmylly:</t>
        </r>
        <r>
          <rPr>
            <sz val="9"/>
            <color indexed="81"/>
            <rFont val="Tahoma"/>
            <family val="2"/>
          </rPr>
          <t xml:space="preserve">
Contains two disks:
- Disk-1: 61GB
- Disk-2: 41GB</t>
        </r>
      </text>
    </comment>
    <comment ref="L40" authorId="0" shapeId="0" xr:uid="{C1373C84-DD34-4DEE-BFAC-7C1ECF159AA4}">
      <text>
        <r>
          <rPr>
            <b/>
            <sz val="9"/>
            <color indexed="81"/>
            <rFont val="Tahoma"/>
            <family val="2"/>
          </rPr>
          <t>jarmylly:</t>
        </r>
        <r>
          <rPr>
            <sz val="9"/>
            <color indexed="81"/>
            <rFont val="Tahoma"/>
            <family val="2"/>
          </rPr>
          <t xml:space="preserve">
Image name:
- NMS_CTXDC_disk1
- NMS_CTXDC_disk2</t>
        </r>
      </text>
    </comment>
    <comment ref="L41" authorId="0" shapeId="0" xr:uid="{7E483B30-EB3D-4A60-B81E-7B174F16A526}">
      <text>
        <r>
          <rPr>
            <b/>
            <sz val="9"/>
            <color indexed="81"/>
            <rFont val="Tahoma"/>
            <family val="2"/>
          </rPr>
          <t>jarmylly:</t>
        </r>
        <r>
          <rPr>
            <sz val="9"/>
            <color indexed="81"/>
            <rFont val="Tahoma"/>
            <family val="2"/>
          </rPr>
          <t xml:space="preserve">
Image name: netact_rhel_base</t>
        </r>
      </text>
    </comment>
    <comment ref="L42" authorId="0" shapeId="0" xr:uid="{39E4DB17-CC7E-42B3-BE7D-A5099DAD731D}">
      <text>
        <r>
          <rPr>
            <b/>
            <sz val="9"/>
            <color indexed="81"/>
            <rFont val="Tahoma"/>
            <family val="2"/>
          </rPr>
          <t>jarmylly:</t>
        </r>
        <r>
          <rPr>
            <sz val="9"/>
            <color indexed="81"/>
            <rFont val="Tahoma"/>
            <family val="2"/>
          </rPr>
          <t xml:space="preserve">
Image name: netact_rhel_base</t>
        </r>
      </text>
    </comment>
    <comment ref="L43" authorId="0" shapeId="0" xr:uid="{D7E1ABBA-FC7E-4C70-8F9D-C1B2A1F02C68}">
      <text>
        <r>
          <rPr>
            <b/>
            <sz val="9"/>
            <color indexed="81"/>
            <rFont val="Tahoma"/>
            <family val="2"/>
          </rPr>
          <t>jarmylly:</t>
        </r>
        <r>
          <rPr>
            <sz val="9"/>
            <color indexed="81"/>
            <rFont val="Tahoma"/>
            <family val="2"/>
          </rPr>
          <t xml:space="preserve">
Image name: netact_rhel_base</t>
        </r>
      </text>
    </comment>
    <comment ref="L44" authorId="0" shapeId="0" xr:uid="{3C1A39F1-D1CE-4770-8A84-99D021030527}">
      <text>
        <r>
          <rPr>
            <b/>
            <sz val="9"/>
            <color indexed="81"/>
            <rFont val="Tahoma"/>
            <family val="2"/>
          </rPr>
          <t>jarmylly:</t>
        </r>
        <r>
          <rPr>
            <sz val="9"/>
            <color indexed="81"/>
            <rFont val="Tahoma"/>
            <family val="2"/>
          </rPr>
          <t xml:space="preserve">
Image name: netact_rhel_base</t>
        </r>
      </text>
    </comment>
    <comment ref="L45" authorId="0" shapeId="0" xr:uid="{6C8EB8AE-1B9D-4543-97BE-7DE7CB1C6AFE}">
      <text>
        <r>
          <rPr>
            <b/>
            <sz val="9"/>
            <color indexed="81"/>
            <rFont val="Tahoma"/>
            <family val="2"/>
          </rPr>
          <t>jarmylly:</t>
        </r>
        <r>
          <rPr>
            <sz val="9"/>
            <color indexed="81"/>
            <rFont val="Tahoma"/>
            <family val="2"/>
          </rPr>
          <t xml:space="preserve">
Image name: netact_rhel_base</t>
        </r>
      </text>
    </comment>
    <comment ref="H46" authorId="0" shapeId="0" xr:uid="{A581A8F1-AE08-450A-8E05-7537441AEE1F}">
      <text>
        <r>
          <rPr>
            <b/>
            <sz val="9"/>
            <color indexed="81"/>
            <rFont val="Tahoma"/>
            <family val="2"/>
          </rPr>
          <t>jarmylly:</t>
        </r>
        <r>
          <rPr>
            <sz val="9"/>
            <color indexed="81"/>
            <rFont val="Tahoma"/>
            <family val="2"/>
          </rPr>
          <t xml:space="preserve">
Contains two disks:
- Disk-1: 30,720GB
- Disk-2: 81,920GB</t>
        </r>
      </text>
    </comment>
    <comment ref="L46" authorId="0" shapeId="0" xr:uid="{C354FA7F-3164-4B56-8995-7133218D5707}">
      <text>
        <r>
          <rPr>
            <b/>
            <sz val="9"/>
            <color indexed="81"/>
            <rFont val="Tahoma"/>
            <family val="2"/>
          </rPr>
          <t>jarmylly:</t>
        </r>
        <r>
          <rPr>
            <sz val="9"/>
            <color indexed="81"/>
            <rFont val="Tahoma"/>
            <family val="2"/>
          </rPr>
          <t xml:space="preserve">
Image name: netact_rhel_base</t>
        </r>
      </text>
    </comment>
    <comment ref="L47" authorId="0" shapeId="0" xr:uid="{8740C7BE-62BC-46BC-819A-ABB5CDF60BE9}">
      <text>
        <r>
          <rPr>
            <b/>
            <sz val="9"/>
            <color indexed="81"/>
            <rFont val="Tahoma"/>
            <family val="2"/>
          </rPr>
          <t>jarmylly:</t>
        </r>
        <r>
          <rPr>
            <sz val="9"/>
            <color indexed="81"/>
            <rFont val="Tahoma"/>
            <family val="2"/>
          </rPr>
          <t xml:space="preserve">
Image name: netact_rhel_base</t>
        </r>
      </text>
    </comment>
    <comment ref="L48" authorId="0" shapeId="0" xr:uid="{DC9B0C99-18FE-44CC-81EE-AC8E7B54E4D7}">
      <text>
        <r>
          <rPr>
            <b/>
            <sz val="9"/>
            <color indexed="81"/>
            <rFont val="Tahoma"/>
            <family val="2"/>
          </rPr>
          <t>jarmylly:</t>
        </r>
        <r>
          <rPr>
            <sz val="9"/>
            <color indexed="81"/>
            <rFont val="Tahoma"/>
            <family val="2"/>
          </rPr>
          <t xml:space="preserve">
Image name: netact_rhel_base</t>
        </r>
      </text>
    </comment>
    <comment ref="L49" authorId="0" shapeId="0" xr:uid="{22F62EDB-E9CF-4CE1-BA23-4944A4D520BD}">
      <text>
        <r>
          <rPr>
            <b/>
            <sz val="9"/>
            <color indexed="81"/>
            <rFont val="Tahoma"/>
            <family val="2"/>
          </rPr>
          <t>jarmylly:</t>
        </r>
        <r>
          <rPr>
            <sz val="9"/>
            <color indexed="81"/>
            <rFont val="Tahoma"/>
            <family val="2"/>
          </rPr>
          <t xml:space="preserve">
Image name: netact_rhel_base</t>
        </r>
      </text>
    </comment>
    <comment ref="L50" authorId="0" shapeId="0" xr:uid="{5CB78D3F-968A-4BB6-9F98-9F14B63A0CA7}">
      <text>
        <r>
          <rPr>
            <b/>
            <sz val="9"/>
            <color indexed="81"/>
            <rFont val="Tahoma"/>
            <family val="2"/>
          </rPr>
          <t>jarmylly:</t>
        </r>
        <r>
          <rPr>
            <sz val="9"/>
            <color indexed="81"/>
            <rFont val="Tahoma"/>
            <family val="2"/>
          </rPr>
          <t xml:space="preserve">
Image name: netact_rhel_base</t>
        </r>
      </text>
    </comment>
    <comment ref="BI51" authorId="0" shapeId="0" xr:uid="{8913FA38-A2AE-4C67-93BD-C714C4E4A60A}">
      <text>
        <r>
          <rPr>
            <b/>
            <sz val="9"/>
            <color indexed="81"/>
            <rFont val="Tahoma"/>
            <family val="2"/>
          </rPr>
          <t>jarmylly:</t>
        </r>
        <r>
          <rPr>
            <sz val="9"/>
            <color indexed="81"/>
            <rFont val="Tahoma"/>
            <family val="2"/>
          </rPr>
          <t xml:space="preserve">
IPv4: 3
IPv4/IPv6: 5</t>
        </r>
      </text>
    </comment>
    <comment ref="L55" authorId="0" shapeId="0" xr:uid="{FCF29800-4C2B-41BA-A625-81A18B196194}">
      <text>
        <r>
          <rPr>
            <b/>
            <sz val="9"/>
            <color indexed="81"/>
            <rFont val="Tahoma"/>
            <family val="2"/>
          </rPr>
          <t>jarmylly:</t>
        </r>
        <r>
          <rPr>
            <sz val="9"/>
            <color indexed="81"/>
            <rFont val="Tahoma"/>
            <family val="2"/>
          </rPr>
          <t xml:space="preserve">
Image name: netact_rhel_base</t>
        </r>
      </text>
    </comment>
    <comment ref="L56" authorId="0" shapeId="0" xr:uid="{B0E31C45-9DDD-4B32-A538-62FCE5EEAA34}">
      <text>
        <r>
          <rPr>
            <b/>
            <sz val="9"/>
            <color indexed="81"/>
            <rFont val="Tahoma"/>
            <family val="2"/>
          </rPr>
          <t>jarmylly:</t>
        </r>
        <r>
          <rPr>
            <sz val="9"/>
            <color indexed="81"/>
            <rFont val="Tahoma"/>
            <family val="2"/>
          </rPr>
          <t xml:space="preserve">
Image name: netact_rhel_base</t>
        </r>
      </text>
    </comment>
    <comment ref="L57" authorId="0" shapeId="0" xr:uid="{80A41B44-5259-403A-B478-F7349DB8B22C}">
      <text>
        <r>
          <rPr>
            <b/>
            <sz val="9"/>
            <color indexed="81"/>
            <rFont val="Tahoma"/>
            <family val="2"/>
          </rPr>
          <t>jarmylly:</t>
        </r>
        <r>
          <rPr>
            <sz val="9"/>
            <color indexed="81"/>
            <rFont val="Tahoma"/>
            <family val="2"/>
          </rPr>
          <t xml:space="preserve">
Image name: netact_rhel_base</t>
        </r>
      </text>
    </comment>
    <comment ref="L58" authorId="0" shapeId="0" xr:uid="{0EB99FA1-9645-46CE-BF15-07589A8423BA}">
      <text>
        <r>
          <rPr>
            <b/>
            <sz val="9"/>
            <color indexed="81"/>
            <rFont val="Tahoma"/>
            <family val="2"/>
          </rPr>
          <t>jarmylly:</t>
        </r>
        <r>
          <rPr>
            <sz val="9"/>
            <color indexed="81"/>
            <rFont val="Tahoma"/>
            <family val="2"/>
          </rPr>
          <t xml:space="preserve">
Image name: netact_rhel_base</t>
        </r>
      </text>
    </comment>
    <comment ref="L59" authorId="0" shapeId="0" xr:uid="{17A91C60-3A5D-4EE6-B8B2-976E8D70A392}">
      <text>
        <r>
          <rPr>
            <b/>
            <sz val="9"/>
            <color indexed="81"/>
            <rFont val="Tahoma"/>
            <family val="2"/>
          </rPr>
          <t>jarmylly:</t>
        </r>
        <r>
          <rPr>
            <sz val="9"/>
            <color indexed="81"/>
            <rFont val="Tahoma"/>
            <family val="2"/>
          </rPr>
          <t xml:space="preserve">
Image name: netact_rhel_base</t>
        </r>
      </text>
    </comment>
    <comment ref="L60" authorId="0" shapeId="0" xr:uid="{BD181E91-A014-4042-803B-3E8048C28FB6}">
      <text>
        <r>
          <rPr>
            <b/>
            <sz val="9"/>
            <color indexed="81"/>
            <rFont val="Tahoma"/>
            <family val="2"/>
          </rPr>
          <t>jarmylly:</t>
        </r>
        <r>
          <rPr>
            <sz val="9"/>
            <color indexed="81"/>
            <rFont val="Tahoma"/>
            <family val="2"/>
          </rPr>
          <t xml:space="preserve">
Image name: netact_rhel_base</t>
        </r>
      </text>
    </comment>
    <comment ref="BI61" authorId="0" shapeId="0" xr:uid="{313227E8-7E84-4BD5-B070-0BCC28B47C87}">
      <text>
        <r>
          <rPr>
            <b/>
            <sz val="9"/>
            <color indexed="81"/>
            <rFont val="Tahoma"/>
            <family val="2"/>
          </rPr>
          <t>jarmylly:</t>
        </r>
        <r>
          <rPr>
            <sz val="9"/>
            <color indexed="81"/>
            <rFont val="Tahoma"/>
            <family val="2"/>
          </rPr>
          <t xml:space="preserve">
IPv4: 3
IPv4/IPv6: 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jarmylly</author>
    <author>Goyal, Mayank (Nokia - IN/Bangalore)</author>
    <author>Rastogi, Alok (Nokia - IN/Bangalore)</author>
    <author>Jari Myllymaa</author>
    <author>Thippeswamy, Suresh (Nokia - IN/Bangalore)</author>
  </authors>
  <commentList>
    <comment ref="L10" authorId="0" shapeId="0" xr:uid="{45036400-E802-4477-8A50-304E903D5490}">
      <text>
        <r>
          <rPr>
            <b/>
            <sz val="9"/>
            <color indexed="81"/>
            <rFont val="Tahoma"/>
            <family val="2"/>
          </rPr>
          <t>jarmylly:</t>
        </r>
        <r>
          <rPr>
            <sz val="9"/>
            <color indexed="81"/>
            <rFont val="Tahoma"/>
            <family val="2"/>
          </rPr>
          <t xml:space="preserve">
Contains one disk:
DB_redo: 60,825GB</t>
        </r>
      </text>
    </comment>
    <comment ref="N10" authorId="0" shapeId="0" xr:uid="{EF6FA458-1DA5-4AD5-998F-A04843F3943E}">
      <text>
        <r>
          <rPr>
            <b/>
            <sz val="9"/>
            <color indexed="81"/>
            <rFont val="Tahoma"/>
            <family val="2"/>
          </rPr>
          <t>jarmylly:</t>
        </r>
        <r>
          <rPr>
            <sz val="9"/>
            <color indexed="81"/>
            <rFont val="Tahoma"/>
            <family val="2"/>
          </rPr>
          <t xml:space="preserve">
Contains one disk, either: 
- DB_data: 1382,4GB
OR
- DB_data: 1900,33GB</t>
        </r>
      </text>
    </comment>
    <comment ref="P10" authorId="0" shapeId="0" xr:uid="{74EB25C9-2845-4D2C-B0FB-C3A0084747BD}">
      <text>
        <r>
          <rPr>
            <b/>
            <sz val="9"/>
            <color indexed="81"/>
            <rFont val="Tahoma"/>
            <family val="2"/>
          </rPr>
          <t>jarmylly:</t>
        </r>
        <r>
          <rPr>
            <sz val="9"/>
            <color indexed="81"/>
            <rFont val="Tahoma"/>
            <family val="2"/>
          </rPr>
          <t xml:space="preserve">
Contains one disk:
DB_arc: 2073,6GB</t>
        </r>
      </text>
    </comment>
    <comment ref="X10" authorId="0" shapeId="0" xr:uid="{561F49B6-4BA5-4597-B908-B7E5CAB061DA}">
      <text>
        <r>
          <rPr>
            <b/>
            <sz val="9"/>
            <color indexed="81"/>
            <rFont val="Tahoma"/>
            <family val="2"/>
          </rPr>
          <t>jarmylly:</t>
        </r>
        <r>
          <rPr>
            <sz val="9"/>
            <color indexed="81"/>
            <rFont val="Tahoma"/>
            <family val="2"/>
          </rPr>
          <t xml:space="preserve">
Contains one disk:
- DB_backup: 6013,44GB</t>
        </r>
      </text>
    </comment>
    <comment ref="AF10" authorId="1" shapeId="0" xr:uid="{2E943901-EFE6-466C-8D47-CE7E002F2946}">
      <text>
        <r>
          <rPr>
            <b/>
            <sz val="9"/>
            <color indexed="81"/>
            <rFont val="Tahoma"/>
            <family val="2"/>
          </rPr>
          <t>Goyal, Mayank (Nokia - IN/Bangalore):</t>
        </r>
        <r>
          <rPr>
            <sz val="9"/>
            <color indexed="81"/>
            <rFont val="Tahoma"/>
            <family val="2"/>
          </rPr>
          <t xml:space="preserve">
Contains one disk:
- db-fb_disk : 2048 GB </t>
        </r>
      </text>
    </comment>
    <comment ref="R11" authorId="0" shapeId="0" xr:uid="{D96E7233-BE51-4919-B1C6-E8482CAE4DFC}">
      <text>
        <r>
          <rPr>
            <b/>
            <sz val="9"/>
            <color indexed="81"/>
            <rFont val="Tahoma"/>
            <family val="2"/>
          </rPr>
          <t>jarmylly:</t>
        </r>
        <r>
          <rPr>
            <sz val="9"/>
            <color indexed="81"/>
            <rFont val="Tahoma"/>
            <family val="2"/>
          </rPr>
          <t xml:space="preserve">
Contains three disks:
- NFS global: 266240 MB
- NFS home: 18432 MB
- NFS WAS dump: 46080 MB</t>
        </r>
      </text>
    </comment>
    <comment ref="T11" authorId="0" shapeId="0" xr:uid="{1A1FAFB6-47DE-45B1-9745-99DC183F3864}">
      <text>
        <r>
          <rPr>
            <b/>
            <sz val="9"/>
            <color indexed="81"/>
            <rFont val="Tahoma"/>
            <family val="2"/>
          </rPr>
          <t>jarmylly:</t>
        </r>
        <r>
          <rPr>
            <sz val="9"/>
            <color indexed="81"/>
            <rFont val="Tahoma"/>
            <family val="2"/>
          </rPr>
          <t xml:space="preserve">
Reserved for customer own data.</t>
        </r>
      </text>
    </comment>
    <comment ref="X11" authorId="0" shapeId="0" xr:uid="{91DAF5C3-76D6-4301-9220-521471B74498}">
      <text>
        <r>
          <rPr>
            <b/>
            <sz val="9"/>
            <color indexed="81"/>
            <rFont val="Tahoma"/>
            <family val="2"/>
          </rPr>
          <t>jarmylly:</t>
        </r>
        <r>
          <rPr>
            <sz val="9"/>
            <color indexed="81"/>
            <rFont val="Tahoma"/>
            <family val="2"/>
          </rPr>
          <t xml:space="preserve">
Contains one disk:
- NFS_backup: 304,128GB</t>
        </r>
      </text>
    </comment>
    <comment ref="I18" authorId="2" shapeId="0" xr:uid="{C21436F7-CB80-4A53-8E12-F0FD10BA6E9D}">
      <text>
        <r>
          <rPr>
            <b/>
            <sz val="9"/>
            <color indexed="81"/>
            <rFont val="Tahoma"/>
            <family val="2"/>
          </rPr>
          <t>Rastogi, Alok (Nokia - IN/Bangalore):</t>
        </r>
        <r>
          <rPr>
            <sz val="9"/>
            <color indexed="81"/>
            <rFont val="Tahoma"/>
            <family val="2"/>
          </rPr>
          <t xml:space="preserve">
Disk2:50 GB VMguestDisk3</t>
        </r>
      </text>
    </comment>
    <comment ref="I30" authorId="0" shapeId="0" xr:uid="{503BD812-8205-4CF6-9A1B-24381D6F1401}">
      <text>
        <r>
          <rPr>
            <b/>
            <sz val="9"/>
            <color indexed="81"/>
            <rFont val="Tahoma"/>
            <family val="2"/>
          </rPr>
          <t>jarmylly:</t>
        </r>
        <r>
          <rPr>
            <sz val="9"/>
            <color indexed="81"/>
            <rFont val="Tahoma"/>
            <family val="2"/>
          </rPr>
          <t xml:space="preserve">
Contains two disks:
- Disk-1: 60GB
- Disk-2: 40GB</t>
        </r>
      </text>
    </comment>
    <comment ref="I31" authorId="0" shapeId="0" xr:uid="{67CFE22B-3A4D-4884-836E-22CC827DED3C}">
      <text>
        <r>
          <rPr>
            <b/>
            <sz val="9"/>
            <color indexed="81"/>
            <rFont val="Tahoma"/>
            <family val="2"/>
          </rPr>
          <t>jarmylly:</t>
        </r>
        <r>
          <rPr>
            <sz val="9"/>
            <color indexed="81"/>
            <rFont val="Tahoma"/>
            <family val="2"/>
          </rPr>
          <t xml:space="preserve">
Contains two disks:
- Disk-1: 60GB
- Disk-2: 50GB</t>
        </r>
      </text>
    </comment>
    <comment ref="I32" authorId="0" shapeId="0" xr:uid="{D0C64A69-E226-414A-83ED-28053B6A9FC9}">
      <text>
        <r>
          <rPr>
            <b/>
            <sz val="9"/>
            <color indexed="81"/>
            <rFont val="Tahoma"/>
            <family val="2"/>
          </rPr>
          <t>jarmylly:</t>
        </r>
        <r>
          <rPr>
            <sz val="9"/>
            <color indexed="81"/>
            <rFont val="Tahoma"/>
            <family val="2"/>
          </rPr>
          <t xml:space="preserve">
Contains two disks:
- Disk-1: 60GB
- Disk-2: 40GB</t>
        </r>
      </text>
    </comment>
    <comment ref="Z33" authorId="0" shapeId="0" xr:uid="{9DA7144F-5024-4ED3-979C-EC85F612F443}">
      <text>
        <r>
          <rPr>
            <b/>
            <sz val="9"/>
            <color indexed="81"/>
            <rFont val="Tahoma"/>
            <family val="2"/>
          </rPr>
          <t>jarmylly:</t>
        </r>
        <r>
          <rPr>
            <sz val="9"/>
            <color indexed="81"/>
            <rFont val="Tahoma"/>
            <family val="2"/>
          </rPr>
          <t xml:space="preserve">
Contains one disk:
- vm66_REP_disk: 46,08GB
</t>
        </r>
      </text>
    </comment>
    <comment ref="AA33" authorId="3" shapeId="0" xr:uid="{265F0AEB-32C0-4690-A9D8-10C7BF82ABE6}">
      <text>
        <r>
          <rPr>
            <b/>
            <sz val="9"/>
            <color indexed="81"/>
            <rFont val="Calibri"/>
            <family val="2"/>
          </rPr>
          <t>Jari Myllymaa:</t>
        </r>
        <r>
          <rPr>
            <sz val="9"/>
            <color indexed="81"/>
            <rFont val="Calibri"/>
            <family val="2"/>
          </rPr>
          <t xml:space="preserve">
PMDatastore can extend 100GB</t>
        </r>
      </text>
    </comment>
    <comment ref="Z34" authorId="0" shapeId="0" xr:uid="{EC0A4C7B-7777-483C-B99A-4AD39E27DC0B}">
      <text>
        <r>
          <rPr>
            <b/>
            <sz val="9"/>
            <color indexed="81"/>
            <rFont val="Tahoma"/>
            <family val="2"/>
          </rPr>
          <t>jarmylly:</t>
        </r>
        <r>
          <rPr>
            <sz val="9"/>
            <color indexed="81"/>
            <rFont val="Tahoma"/>
            <family val="2"/>
          </rPr>
          <t xml:space="preserve">
Contains one disk:
- vm67_REP_disk: 46,08GB</t>
        </r>
      </text>
    </comment>
    <comment ref="I42" authorId="0" shapeId="0" xr:uid="{6220431F-A30F-40D7-A1C9-429E6B173144}">
      <text>
        <r>
          <rPr>
            <b/>
            <sz val="9"/>
            <color indexed="81"/>
            <rFont val="Tahoma"/>
            <family val="2"/>
          </rPr>
          <t>jarmylly:</t>
        </r>
        <r>
          <rPr>
            <sz val="9"/>
            <color indexed="81"/>
            <rFont val="Tahoma"/>
            <family val="2"/>
          </rPr>
          <t xml:space="preserve">
Contains two disks:
- Disk-1: 60GB
- Disk-2: 40GB</t>
        </r>
      </text>
    </comment>
    <comment ref="I43" authorId="0" shapeId="0" xr:uid="{E05AF686-91F7-4C6B-BBA4-E5687754815A}">
      <text>
        <r>
          <rPr>
            <b/>
            <sz val="9"/>
            <color indexed="81"/>
            <rFont val="Tahoma"/>
            <family val="2"/>
          </rPr>
          <t>jarmylly:</t>
        </r>
        <r>
          <rPr>
            <sz val="9"/>
            <color indexed="81"/>
            <rFont val="Tahoma"/>
            <family val="2"/>
          </rPr>
          <t xml:space="preserve">
Contains two disks:
- Disk-1: 60GB
- Disk-2: 40GB</t>
        </r>
      </text>
    </comment>
    <comment ref="I44" authorId="0" shapeId="0" xr:uid="{3C289688-2DEE-4D02-824B-CC69E42F5B24}">
      <text>
        <r>
          <rPr>
            <b/>
            <sz val="9"/>
            <color indexed="81"/>
            <rFont val="Tahoma"/>
            <family val="2"/>
          </rPr>
          <t>jarmylly:</t>
        </r>
        <r>
          <rPr>
            <sz val="9"/>
            <color indexed="81"/>
            <rFont val="Tahoma"/>
            <family val="2"/>
          </rPr>
          <t xml:space="preserve">
Contains two disks:
- Disk-1: 60GB
- Disk-2: 40GB</t>
        </r>
      </text>
    </comment>
    <comment ref="I45" authorId="0" shapeId="0" xr:uid="{99B6D663-412A-466D-858D-AC8E75AAD187}">
      <text>
        <r>
          <rPr>
            <b/>
            <sz val="9"/>
            <color indexed="81"/>
            <rFont val="Tahoma"/>
            <family val="2"/>
          </rPr>
          <t>jarmylly:</t>
        </r>
        <r>
          <rPr>
            <sz val="9"/>
            <color indexed="81"/>
            <rFont val="Tahoma"/>
            <family val="2"/>
          </rPr>
          <t xml:space="preserve">
Contains two disks:
- Disk-1: 60GB
- Disk-2: 40GB</t>
        </r>
      </text>
    </comment>
    <comment ref="I46" authorId="0" shapeId="0" xr:uid="{E69714CA-B3C7-47A8-8DDF-EB20F1EA2508}">
      <text>
        <r>
          <rPr>
            <b/>
            <sz val="9"/>
            <color indexed="81"/>
            <rFont val="Tahoma"/>
            <family val="2"/>
          </rPr>
          <t>jarmylly:</t>
        </r>
        <r>
          <rPr>
            <sz val="9"/>
            <color indexed="81"/>
            <rFont val="Tahoma"/>
            <family val="2"/>
          </rPr>
          <t xml:space="preserve">
Contains two disks:
- Disk-1: 60GB
- Disk-2: 40GB</t>
        </r>
      </text>
    </comment>
    <comment ref="I47" authorId="0" shapeId="0" xr:uid="{3A006FDB-6945-4D39-BC5B-2C5E8E77B313}">
      <text>
        <r>
          <rPr>
            <b/>
            <sz val="9"/>
            <color indexed="81"/>
            <rFont val="Tahoma"/>
            <family val="2"/>
          </rPr>
          <t>jarmylly:</t>
        </r>
        <r>
          <rPr>
            <sz val="9"/>
            <color indexed="81"/>
            <rFont val="Tahoma"/>
            <family val="2"/>
          </rPr>
          <t xml:space="preserve">
Contains two disks:
- Disk-1: 60GB
- Disk-2: 40GB</t>
        </r>
      </text>
    </comment>
    <comment ref="I55" authorId="0" shapeId="0" xr:uid="{EB97F78F-BD55-40B9-935F-B197FC2C09D0}">
      <text>
        <r>
          <rPr>
            <b/>
            <sz val="9"/>
            <color indexed="81"/>
            <rFont val="Tahoma"/>
            <family val="2"/>
          </rPr>
          <t>jarmylly:</t>
        </r>
        <r>
          <rPr>
            <sz val="9"/>
            <color indexed="81"/>
            <rFont val="Tahoma"/>
            <family val="2"/>
          </rPr>
          <t xml:space="preserve">
Contains two disks:
- Disk-1: 30GB
- Disk-2: 80GB</t>
        </r>
      </text>
    </comment>
    <comment ref="I60" authorId="4" shapeId="0" xr:uid="{674B134C-C02B-42A1-8C10-DA24180A3BA9}">
      <text>
        <r>
          <rPr>
            <b/>
            <sz val="9"/>
            <color indexed="81"/>
            <rFont val="Tahoma"/>
            <family val="2"/>
          </rPr>
          <t>Thippeswamy, Suresh (Nokia - IN/Bangalore):</t>
        </r>
        <r>
          <rPr>
            <sz val="9"/>
            <color indexed="81"/>
            <rFont val="Tahoma"/>
            <family val="2"/>
          </rPr>
          <t xml:space="preserve">
OS disk: 50GB
Data Disk:2048GB</t>
        </r>
      </text>
    </comment>
    <comment ref="E71" authorId="0" shapeId="0" xr:uid="{01A29576-7F4C-4BBA-8611-ADEFC43B13A3}">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E72" authorId="0" shapeId="0" xr:uid="{FCF1B504-C3C7-412F-8C80-F9C1FAC812A7}">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jarmylly</author>
    <author>Rastogi, Alok (Nokia - IN/Bangalore)</author>
    <author>tc={27D8890A-C5F8-4B83-81EF-62071238B2E9}</author>
    <author>Thippeswamy, Suresh (Nokia - IN/Bangalore)</author>
  </authors>
  <commentList>
    <comment ref="K7" authorId="0" shapeId="0" xr:uid="{7C50CC54-EDFF-41A0-A7D3-7DCFB61F0AD3}">
      <text>
        <r>
          <rPr>
            <b/>
            <sz val="9"/>
            <color indexed="81"/>
            <rFont val="Tahoma"/>
            <family val="2"/>
          </rPr>
          <t>jarmylly:</t>
        </r>
        <r>
          <rPr>
            <sz val="9"/>
            <color indexed="81"/>
            <rFont val="Tahoma"/>
            <family val="2"/>
          </rPr>
          <t xml:space="preserve">
Only if Airframe Hardware used</t>
        </r>
      </text>
    </comment>
    <comment ref="O7" authorId="0" shapeId="0" xr:uid="{61A3D9EF-87BD-474F-8B1C-97B07DBA80F8}">
      <text>
        <r>
          <rPr>
            <b/>
            <sz val="9"/>
            <color indexed="81"/>
            <rFont val="Tahoma"/>
            <family val="2"/>
          </rPr>
          <t>jarmylly:</t>
        </r>
        <r>
          <rPr>
            <sz val="9"/>
            <color indexed="81"/>
            <rFont val="Tahoma"/>
            <family val="2"/>
          </rPr>
          <t xml:space="preserve">
Only if Airframe Hardware used</t>
        </r>
      </text>
    </comment>
    <comment ref="S7" authorId="0" shapeId="0" xr:uid="{16A1FBD0-470C-4FA2-BAAB-35CC5F249E71}">
      <text>
        <r>
          <rPr>
            <b/>
            <sz val="9"/>
            <color indexed="81"/>
            <rFont val="Tahoma"/>
            <family val="2"/>
          </rPr>
          <t>jarmylly:</t>
        </r>
        <r>
          <rPr>
            <sz val="9"/>
            <color indexed="81"/>
            <rFont val="Tahoma"/>
            <family val="2"/>
          </rPr>
          <t xml:space="preserve">
Only if Airframe Hardware used</t>
        </r>
      </text>
    </comment>
    <comment ref="W7" authorId="0" shapeId="0" xr:uid="{DA7CB94D-4D33-4EC0-B217-2BEF8F920804}">
      <text>
        <r>
          <rPr>
            <b/>
            <sz val="9"/>
            <color indexed="81"/>
            <rFont val="Tahoma"/>
            <family val="2"/>
          </rPr>
          <t>jarmylly:</t>
        </r>
        <r>
          <rPr>
            <sz val="9"/>
            <color indexed="81"/>
            <rFont val="Tahoma"/>
            <family val="2"/>
          </rPr>
          <t xml:space="preserve">
Only if Airframe Hardware used</t>
        </r>
      </text>
    </comment>
    <comment ref="AA7" authorId="0" shapeId="0" xr:uid="{E84CF914-9B07-413F-8D1D-9EA8889B70D3}">
      <text>
        <r>
          <rPr>
            <b/>
            <sz val="9"/>
            <color indexed="81"/>
            <rFont val="Tahoma"/>
            <family val="2"/>
          </rPr>
          <t>jarmylly:</t>
        </r>
        <r>
          <rPr>
            <sz val="9"/>
            <color indexed="81"/>
            <rFont val="Tahoma"/>
            <family val="2"/>
          </rPr>
          <t xml:space="preserve">
Only if Airframe Hardware used</t>
        </r>
      </text>
    </comment>
    <comment ref="AE7" authorId="0" shapeId="0" xr:uid="{CE27EE22-957C-4793-BBF0-3A1A7BF73B2D}">
      <text>
        <r>
          <rPr>
            <b/>
            <sz val="9"/>
            <color indexed="81"/>
            <rFont val="Tahoma"/>
            <family val="2"/>
          </rPr>
          <t>jarmylly:</t>
        </r>
        <r>
          <rPr>
            <sz val="9"/>
            <color indexed="81"/>
            <rFont val="Tahoma"/>
            <family val="2"/>
          </rPr>
          <t xml:space="preserve">
Only if Airframe Hardware used</t>
        </r>
      </text>
    </comment>
    <comment ref="AI7" authorId="0" shapeId="0" xr:uid="{9207CE11-1A0F-485E-89DA-718C298EFA99}">
      <text>
        <r>
          <rPr>
            <b/>
            <sz val="9"/>
            <color indexed="81"/>
            <rFont val="Tahoma"/>
            <family val="2"/>
          </rPr>
          <t>jarmylly:</t>
        </r>
        <r>
          <rPr>
            <sz val="9"/>
            <color indexed="81"/>
            <rFont val="Tahoma"/>
            <family val="2"/>
          </rPr>
          <t xml:space="preserve">
Only if Airframe Hardware used</t>
        </r>
      </text>
    </comment>
    <comment ref="AM7" authorId="0" shapeId="0" xr:uid="{034006E4-E5D0-4754-9D29-0CF0210AA168}">
      <text>
        <r>
          <rPr>
            <b/>
            <sz val="9"/>
            <color indexed="81"/>
            <rFont val="Tahoma"/>
            <family val="2"/>
          </rPr>
          <t>jarmylly:</t>
        </r>
        <r>
          <rPr>
            <sz val="9"/>
            <color indexed="81"/>
            <rFont val="Tahoma"/>
            <family val="2"/>
          </rPr>
          <t xml:space="preserve">
Only if Airframe Hardware used</t>
        </r>
      </text>
    </comment>
    <comment ref="AQ7" authorId="0" shapeId="0" xr:uid="{038B202F-0240-4ECF-8A67-2D31660661BC}">
      <text>
        <r>
          <rPr>
            <b/>
            <sz val="9"/>
            <color indexed="81"/>
            <rFont val="Tahoma"/>
            <family val="2"/>
          </rPr>
          <t>jarmylly:</t>
        </r>
        <r>
          <rPr>
            <sz val="9"/>
            <color indexed="81"/>
            <rFont val="Tahoma"/>
            <family val="2"/>
          </rPr>
          <t xml:space="preserve">
Only if Airframe Hardware used</t>
        </r>
      </text>
    </comment>
    <comment ref="AU7" authorId="0" shapeId="0" xr:uid="{AE5E2F54-F49F-486E-8ADC-D07BA02ED698}">
      <text>
        <r>
          <rPr>
            <b/>
            <sz val="9"/>
            <color indexed="81"/>
            <rFont val="Tahoma"/>
            <family val="2"/>
          </rPr>
          <t>jarmylly:</t>
        </r>
        <r>
          <rPr>
            <sz val="9"/>
            <color indexed="81"/>
            <rFont val="Tahoma"/>
            <family val="2"/>
          </rPr>
          <t xml:space="preserve">
Only if Airframe Hardware used</t>
        </r>
      </text>
    </comment>
    <comment ref="AY7" authorId="0" shapeId="0" xr:uid="{96D4F8D1-1E7C-43ED-9F0F-2EDA3416093E}">
      <text>
        <r>
          <rPr>
            <b/>
            <sz val="9"/>
            <color indexed="81"/>
            <rFont val="Tahoma"/>
            <family val="2"/>
          </rPr>
          <t>jarmylly:</t>
        </r>
        <r>
          <rPr>
            <sz val="9"/>
            <color indexed="81"/>
            <rFont val="Tahoma"/>
            <family val="2"/>
          </rPr>
          <t xml:space="preserve">
Only if Airframe Hardware used</t>
        </r>
      </text>
    </comment>
    <comment ref="L8" authorId="0" shapeId="0" xr:uid="{4AE968E6-54AD-4071-A67B-C0249F2F3D37}">
      <text>
        <r>
          <rPr>
            <b/>
            <sz val="9"/>
            <color indexed="81"/>
            <rFont val="Tahoma"/>
            <family val="2"/>
          </rPr>
          <t>jarmylly:</t>
        </r>
        <r>
          <rPr>
            <sz val="9"/>
            <color indexed="81"/>
            <rFont val="Tahoma"/>
            <family val="2"/>
          </rPr>
          <t xml:space="preserve">
Images name: rhel7_insteng</t>
        </r>
      </text>
    </comment>
    <comment ref="L9" authorId="0" shapeId="0" xr:uid="{FD28FB8D-C409-4DC5-8287-8B7029933DCE}">
      <text>
        <r>
          <rPr>
            <b/>
            <sz val="9"/>
            <color indexed="81"/>
            <rFont val="Tahoma"/>
            <family val="2"/>
          </rPr>
          <t>jarmylly:</t>
        </r>
        <r>
          <rPr>
            <sz val="9"/>
            <color indexed="81"/>
            <rFont val="Tahoma"/>
            <family val="2"/>
          </rPr>
          <t xml:space="preserve">
Image name: administration_server</t>
        </r>
      </text>
    </comment>
    <comment ref="L10" authorId="0" shapeId="0" xr:uid="{618FF4A3-8B03-4141-9209-0C514E81E5F2}">
      <text>
        <r>
          <rPr>
            <b/>
            <sz val="9"/>
            <color indexed="81"/>
            <rFont val="Tahoma"/>
            <family val="2"/>
          </rPr>
          <t>jarmylly:</t>
        </r>
        <r>
          <rPr>
            <sz val="9"/>
            <color indexed="81"/>
            <rFont val="Tahoma"/>
            <family val="2"/>
          </rPr>
          <t xml:space="preserve">
Image name: netact_rhel_base</t>
        </r>
      </text>
    </comment>
    <comment ref="L11" authorId="0" shapeId="0" xr:uid="{9BAD729B-6661-431F-B5E9-DCC4D443F561}">
      <text>
        <r>
          <rPr>
            <b/>
            <sz val="9"/>
            <color indexed="81"/>
            <rFont val="Tahoma"/>
            <family val="2"/>
          </rPr>
          <t>jarmylly:</t>
        </r>
        <r>
          <rPr>
            <sz val="9"/>
            <color indexed="81"/>
            <rFont val="Tahoma"/>
            <family val="2"/>
          </rPr>
          <t xml:space="preserve">
Image name: netact_rhel_base</t>
        </r>
      </text>
    </comment>
    <comment ref="P11" authorId="0" shapeId="0" xr:uid="{C5F54912-2162-4147-B05A-17C341B811B1}">
      <text>
        <r>
          <rPr>
            <b/>
            <sz val="9"/>
            <color indexed="81"/>
            <rFont val="Tahoma"/>
            <family val="2"/>
          </rPr>
          <t>jarmylly:</t>
        </r>
        <r>
          <rPr>
            <sz val="9"/>
            <color indexed="81"/>
            <rFont val="Tahoma"/>
            <family val="2"/>
          </rPr>
          <t xml:space="preserve">
Image name: vgredo</t>
        </r>
      </text>
    </comment>
    <comment ref="T11" authorId="0" shapeId="0" xr:uid="{E5B5F269-DF8C-42E4-933A-625D1E419611}">
      <text>
        <r>
          <rPr>
            <b/>
            <sz val="9"/>
            <color indexed="81"/>
            <rFont val="Tahoma"/>
            <family val="2"/>
          </rPr>
          <t>jarmylly:</t>
        </r>
        <r>
          <rPr>
            <sz val="9"/>
            <color indexed="81"/>
            <rFont val="Tahoma"/>
            <family val="2"/>
          </rPr>
          <t xml:space="preserve">
Image name: vgdb</t>
        </r>
      </text>
    </comment>
    <comment ref="X11" authorId="0" shapeId="0" xr:uid="{008780F5-1721-4C65-BF07-4B7A54138F0F}">
      <text>
        <r>
          <rPr>
            <b/>
            <sz val="9"/>
            <color indexed="81"/>
            <rFont val="Tahoma"/>
            <family val="2"/>
          </rPr>
          <t>jarmylly:</t>
        </r>
        <r>
          <rPr>
            <sz val="9"/>
            <color indexed="81"/>
            <rFont val="Tahoma"/>
            <family val="2"/>
          </rPr>
          <t xml:space="preserve">
Image name: vgarc</t>
        </r>
      </text>
    </comment>
    <comment ref="AZ11" authorId="1" shapeId="0" xr:uid="{40D0FFBB-1C9F-46FB-A8A7-8F2FC5D2871B}">
      <text>
        <r>
          <rPr>
            <b/>
            <sz val="9"/>
            <color indexed="81"/>
            <rFont val="Tahoma"/>
            <family val="2"/>
          </rPr>
          <t xml:space="preserve"> Alok :name
</t>
        </r>
        <r>
          <rPr>
            <sz val="9"/>
            <color indexed="81"/>
            <rFont val="Tahoma"/>
            <family val="2"/>
          </rPr>
          <t>vgdbfb</t>
        </r>
      </text>
    </comment>
    <comment ref="BA11" authorId="1" shapeId="0" xr:uid="{5623A740-D6EF-4386-9CF2-B94392190CFF}">
      <text>
        <r>
          <rPr>
            <b/>
            <sz val="9"/>
            <color indexed="81"/>
            <rFont val="Tahoma"/>
            <family val="2"/>
          </rPr>
          <t>Rastogi, Alok (Nokia - IN/Bangalore):</t>
        </r>
        <r>
          <rPr>
            <sz val="9"/>
            <color indexed="81"/>
            <rFont val="Tahoma"/>
            <family val="2"/>
          </rPr>
          <t xml:space="preserve">
6 with FB else 5</t>
        </r>
      </text>
    </comment>
    <comment ref="L12" authorId="0" shapeId="0" xr:uid="{0CD00591-B54A-42B1-8AE3-0243B5ADB94D}">
      <text>
        <r>
          <rPr>
            <b/>
            <sz val="9"/>
            <color indexed="81"/>
            <rFont val="Tahoma"/>
            <family val="2"/>
          </rPr>
          <t>jarmylly:</t>
        </r>
        <r>
          <rPr>
            <sz val="9"/>
            <color indexed="81"/>
            <rFont val="Tahoma"/>
            <family val="2"/>
          </rPr>
          <t xml:space="preserve">
Image name: netact_rhel_base</t>
        </r>
      </text>
    </comment>
    <comment ref="Y12" authorId="1" shapeId="0" xr:uid="{A3671841-83C7-4A25-A7B0-F531287A2D8D}">
      <text>
        <r>
          <rPr>
            <b/>
            <sz val="9"/>
            <color indexed="81"/>
            <rFont val="Tahoma"/>
            <family val="2"/>
          </rPr>
          <t>Rastogi, Alok (Nokia - IN/Bangalore):</t>
        </r>
        <r>
          <rPr>
            <sz val="9"/>
            <color indexed="81"/>
            <rFont val="Tahoma"/>
            <family val="2"/>
          </rPr>
          <t xml:space="preserve">
Contains three disks:
NFS Global :266240 MB
NFS Home :18432 MB
NFS WAS dump:46080 MB
</t>
        </r>
      </text>
    </comment>
    <comment ref="AB12" authorId="0" shapeId="0" xr:uid="{D3442446-81EF-4BD3-B745-9F0FBC98412E}">
      <text>
        <r>
          <rPr>
            <b/>
            <sz val="9"/>
            <color indexed="81"/>
            <rFont val="Tahoma"/>
            <family val="2"/>
          </rPr>
          <t>jarmylly:</t>
        </r>
        <r>
          <rPr>
            <sz val="9"/>
            <color indexed="81"/>
            <rFont val="Tahoma"/>
            <family val="2"/>
          </rPr>
          <t xml:space="preserve">
Image names:
- vgglobal
- vghome</t>
        </r>
      </text>
    </comment>
    <comment ref="AC12" authorId="0" shapeId="0" xr:uid="{A05EBAF3-91B3-4C2A-A050-AA44A42CBC65}">
      <text>
        <r>
          <rPr>
            <b/>
            <sz val="9"/>
            <color indexed="81"/>
            <rFont val="Tahoma"/>
            <family val="2"/>
          </rPr>
          <t>jarmylly:</t>
        </r>
        <r>
          <rPr>
            <sz val="9"/>
            <color indexed="81"/>
            <rFont val="Tahoma"/>
            <family val="2"/>
          </rPr>
          <t xml:space="preserve">
Reserved for customer own data.</t>
        </r>
      </text>
    </comment>
    <comment ref="AG12" authorId="2" shapeId="0" xr:uid="{27D8890A-C5F8-4B83-81EF-62071238B2E9}">
      <text>
        <t>[Threaded comment]
Your version of Excel allows you to read this threaded comment; however, any edits to it will get removed if the file is opened in a newer version of Excel. Learn more: https://go.microsoft.com/fwlink/?linkid=870924
Comment:
    CRSR218: 20GB added</t>
      </text>
    </comment>
    <comment ref="L13" authorId="0" shapeId="0" xr:uid="{C0ECD09D-F181-437D-A018-A27E3264E8F7}">
      <text>
        <r>
          <rPr>
            <b/>
            <sz val="9"/>
            <color indexed="81"/>
            <rFont val="Tahoma"/>
            <family val="2"/>
          </rPr>
          <t>jarmylly:</t>
        </r>
        <r>
          <rPr>
            <sz val="9"/>
            <color indexed="81"/>
            <rFont val="Tahoma"/>
            <family val="2"/>
          </rPr>
          <t xml:space="preserve">
Image name: netact_rhel_base</t>
        </r>
      </text>
    </comment>
    <comment ref="L14" authorId="0" shapeId="0" xr:uid="{16CE447A-DB52-4382-8DF1-589E1893E8CC}">
      <text>
        <r>
          <rPr>
            <b/>
            <sz val="9"/>
            <color indexed="81"/>
            <rFont val="Tahoma"/>
            <family val="2"/>
          </rPr>
          <t>jarmylly:</t>
        </r>
        <r>
          <rPr>
            <sz val="9"/>
            <color indexed="81"/>
            <rFont val="Tahoma"/>
            <family val="2"/>
          </rPr>
          <t xml:space="preserve">
Image name: netact_rhel_base</t>
        </r>
      </text>
    </comment>
    <comment ref="L15" authorId="0" shapeId="0" xr:uid="{3C3F772E-3A1D-4A0C-81B9-7386A77B9AD7}">
      <text>
        <r>
          <rPr>
            <b/>
            <sz val="9"/>
            <color indexed="81"/>
            <rFont val="Tahoma"/>
            <family val="2"/>
          </rPr>
          <t>jarmylly:</t>
        </r>
        <r>
          <rPr>
            <sz val="9"/>
            <color indexed="81"/>
            <rFont val="Tahoma"/>
            <family val="2"/>
          </rPr>
          <t xml:space="preserve">
Image name: netact_rhel_base</t>
        </r>
      </text>
    </comment>
    <comment ref="L16" authorId="0" shapeId="0" xr:uid="{72EE357F-9040-445B-9CC1-B60EF0094244}">
      <text>
        <r>
          <rPr>
            <b/>
            <sz val="9"/>
            <color indexed="81"/>
            <rFont val="Tahoma"/>
            <family val="2"/>
          </rPr>
          <t>jarmylly:</t>
        </r>
        <r>
          <rPr>
            <sz val="9"/>
            <color indexed="81"/>
            <rFont val="Tahoma"/>
            <family val="2"/>
          </rPr>
          <t xml:space="preserve">
Image name: netact_rhel_base</t>
        </r>
      </text>
    </comment>
    <comment ref="L17" authorId="0" shapeId="0" xr:uid="{4B02EADD-955A-46E2-BEDA-DF7A03BEAEE8}">
      <text>
        <r>
          <rPr>
            <b/>
            <sz val="9"/>
            <color indexed="81"/>
            <rFont val="Tahoma"/>
            <family val="2"/>
          </rPr>
          <t>jarmylly:</t>
        </r>
        <r>
          <rPr>
            <sz val="9"/>
            <color indexed="81"/>
            <rFont val="Tahoma"/>
            <family val="2"/>
          </rPr>
          <t xml:space="preserve">
Image name: netact_rhel_base</t>
        </r>
      </text>
    </comment>
    <comment ref="L18" authorId="0" shapeId="0" xr:uid="{0A731497-8056-4206-95ED-7F59F024CEB5}">
      <text>
        <r>
          <rPr>
            <b/>
            <sz val="9"/>
            <color indexed="81"/>
            <rFont val="Tahoma"/>
            <family val="2"/>
          </rPr>
          <t>jarmylly:</t>
        </r>
        <r>
          <rPr>
            <sz val="9"/>
            <color indexed="81"/>
            <rFont val="Tahoma"/>
            <family val="2"/>
          </rPr>
          <t xml:space="preserve">
Image name: netact_rhel_base</t>
        </r>
      </text>
    </comment>
    <comment ref="L19" authorId="0" shapeId="0" xr:uid="{576069A9-56F9-4B6C-BCEE-C3DE99F53469}">
      <text>
        <r>
          <rPr>
            <b/>
            <sz val="9"/>
            <color indexed="81"/>
            <rFont val="Tahoma"/>
            <family val="2"/>
          </rPr>
          <t>jarmylly:</t>
        </r>
        <r>
          <rPr>
            <sz val="9"/>
            <color indexed="81"/>
            <rFont val="Tahoma"/>
            <family val="2"/>
          </rPr>
          <t xml:space="preserve">
Image name: netact_rhel_base</t>
        </r>
      </text>
    </comment>
    <comment ref="AR19" authorId="1" shapeId="0" xr:uid="{C2798895-2A53-4F2E-91B3-0421AFC1CF4E}">
      <text>
        <r>
          <rPr>
            <b/>
            <sz val="9"/>
            <color indexed="81"/>
            <rFont val="Tahoma"/>
            <family val="2"/>
          </rPr>
          <t xml:space="preserve"> Alok :name
</t>
        </r>
        <r>
          <rPr>
            <sz val="9"/>
            <color indexed="81"/>
            <rFont val="Tahoma"/>
            <family val="2"/>
          </rPr>
          <t>vgadm</t>
        </r>
      </text>
    </comment>
    <comment ref="L20" authorId="0" shapeId="0" xr:uid="{7703F508-5358-4999-BE3A-7B5A158D0DB0}">
      <text>
        <r>
          <rPr>
            <b/>
            <sz val="9"/>
            <color indexed="81"/>
            <rFont val="Tahoma"/>
            <family val="2"/>
          </rPr>
          <t>jarmylly:</t>
        </r>
        <r>
          <rPr>
            <sz val="9"/>
            <color indexed="81"/>
            <rFont val="Tahoma"/>
            <family val="2"/>
          </rPr>
          <t xml:space="preserve">
Image name: netact_rhel_base</t>
        </r>
      </text>
    </comment>
    <comment ref="L21" authorId="0" shapeId="0" xr:uid="{9BC825B3-0E36-4491-8F51-517997719C8B}">
      <text>
        <r>
          <rPr>
            <b/>
            <sz val="9"/>
            <color indexed="81"/>
            <rFont val="Tahoma"/>
            <family val="2"/>
          </rPr>
          <t>jarmylly:</t>
        </r>
        <r>
          <rPr>
            <sz val="9"/>
            <color indexed="81"/>
            <rFont val="Tahoma"/>
            <family val="2"/>
          </rPr>
          <t xml:space="preserve">
Image name: netact_rhel_base</t>
        </r>
      </text>
    </comment>
    <comment ref="L22" authorId="0" shapeId="0" xr:uid="{3B9825B9-823E-4B53-95E7-D8EB67C66679}">
      <text>
        <r>
          <rPr>
            <b/>
            <sz val="9"/>
            <color indexed="81"/>
            <rFont val="Tahoma"/>
            <family val="2"/>
          </rPr>
          <t>jarmylly:</t>
        </r>
        <r>
          <rPr>
            <sz val="9"/>
            <color indexed="81"/>
            <rFont val="Tahoma"/>
            <family val="2"/>
          </rPr>
          <t xml:space="preserve">
Image name: netact_rhel_base</t>
        </r>
      </text>
    </comment>
    <comment ref="L23" authorId="0" shapeId="0" xr:uid="{7E0ECD3D-A24E-4D5D-8DE2-BD65B2643AB9}">
      <text>
        <r>
          <rPr>
            <b/>
            <sz val="9"/>
            <color indexed="81"/>
            <rFont val="Tahoma"/>
            <family val="2"/>
          </rPr>
          <t>jarmylly:</t>
        </r>
        <r>
          <rPr>
            <sz val="9"/>
            <color indexed="81"/>
            <rFont val="Tahoma"/>
            <family val="2"/>
          </rPr>
          <t xml:space="preserve">
Image name: netact_rhel_base</t>
        </r>
      </text>
    </comment>
    <comment ref="AV23" authorId="3" shapeId="0" xr:uid="{EFD278E7-CBD1-4D05-97FB-3DB60308B5F0}">
      <text>
        <r>
          <rPr>
            <b/>
            <sz val="9"/>
            <color indexed="81"/>
            <rFont val="Tahoma"/>
            <family val="2"/>
          </rPr>
          <t>Thippeswamy, Suresh (Nokia - IN/Bangalore):</t>
        </r>
        <r>
          <rPr>
            <sz val="9"/>
            <color indexed="81"/>
            <rFont val="Tahoma"/>
            <family val="2"/>
          </rPr>
          <t xml:space="preserve">
Image name: vgisdk</t>
        </r>
      </text>
    </comment>
    <comment ref="L24" authorId="0" shapeId="0" xr:uid="{CB60CA69-42C8-4476-9732-EB13733E9380}">
      <text>
        <r>
          <rPr>
            <b/>
            <sz val="9"/>
            <color indexed="81"/>
            <rFont val="Tahoma"/>
            <family val="2"/>
          </rPr>
          <t>jarmylly:</t>
        </r>
        <r>
          <rPr>
            <sz val="9"/>
            <color indexed="81"/>
            <rFont val="Tahoma"/>
            <family val="2"/>
          </rPr>
          <t xml:space="preserve">
Image name: netact_rhel_base</t>
        </r>
      </text>
    </comment>
    <comment ref="AV24" authorId="3" shapeId="0" xr:uid="{2C420158-9952-4D10-A581-D5082FC7EE2D}">
      <text>
        <r>
          <rPr>
            <b/>
            <sz val="9"/>
            <color indexed="81"/>
            <rFont val="Tahoma"/>
            <family val="2"/>
          </rPr>
          <t>Thippeswamy, Suresh (Nokia - IN/Bangalore):</t>
        </r>
        <r>
          <rPr>
            <sz val="9"/>
            <color indexed="81"/>
            <rFont val="Tahoma"/>
            <family val="2"/>
          </rPr>
          <t xml:space="preserve">
Image name: vgisdk</t>
        </r>
      </text>
    </comment>
    <comment ref="L25" authorId="0" shapeId="0" xr:uid="{462E8837-931F-46F6-8532-6733FF1FDFD6}">
      <text>
        <r>
          <rPr>
            <b/>
            <sz val="9"/>
            <color indexed="81"/>
            <rFont val="Tahoma"/>
            <family val="2"/>
          </rPr>
          <t>jarmylly:</t>
        </r>
        <r>
          <rPr>
            <sz val="9"/>
            <color indexed="81"/>
            <rFont val="Tahoma"/>
            <family val="2"/>
          </rPr>
          <t xml:space="preserve">
Image name: netact_rhel_base</t>
        </r>
      </text>
    </comment>
    <comment ref="L26" authorId="0" shapeId="0" xr:uid="{DD3972CB-8728-4330-8112-FED7B0A096B6}">
      <text>
        <r>
          <rPr>
            <b/>
            <sz val="9"/>
            <color indexed="81"/>
            <rFont val="Tahoma"/>
            <family val="2"/>
          </rPr>
          <t>jarmylly:</t>
        </r>
        <r>
          <rPr>
            <sz val="9"/>
            <color indexed="81"/>
            <rFont val="Tahoma"/>
            <family val="2"/>
          </rPr>
          <t xml:space="preserve">
Image name: netact_rhel_base</t>
        </r>
      </text>
    </comment>
    <comment ref="L27" authorId="0" shapeId="0" xr:uid="{F67680EE-AE8D-4421-B84B-855D4BAE4C77}">
      <text>
        <r>
          <rPr>
            <b/>
            <sz val="9"/>
            <color indexed="81"/>
            <rFont val="Tahoma"/>
            <family val="2"/>
          </rPr>
          <t>jarmylly:</t>
        </r>
        <r>
          <rPr>
            <sz val="9"/>
            <color indexed="81"/>
            <rFont val="Tahoma"/>
            <family val="2"/>
          </rPr>
          <t xml:space="preserve">
Image name: netact_rhel_base</t>
        </r>
      </text>
    </comment>
    <comment ref="L28" authorId="0" shapeId="0" xr:uid="{C790EACA-051C-4148-A880-82CE497B182E}">
      <text>
        <r>
          <rPr>
            <b/>
            <sz val="9"/>
            <color indexed="81"/>
            <rFont val="Tahoma"/>
            <family val="2"/>
          </rPr>
          <t>jarmylly:</t>
        </r>
        <r>
          <rPr>
            <sz val="9"/>
            <color indexed="81"/>
            <rFont val="Tahoma"/>
            <family val="2"/>
          </rPr>
          <t xml:space="preserve">
Image name: netact_rhel_base</t>
        </r>
      </text>
    </comment>
    <comment ref="L29" authorId="0" shapeId="0" xr:uid="{C67E2CDA-6DFF-4551-8FBE-E065200B239E}">
      <text>
        <r>
          <rPr>
            <b/>
            <sz val="9"/>
            <color indexed="81"/>
            <rFont val="Tahoma"/>
            <family val="2"/>
          </rPr>
          <t>jarmylly:</t>
        </r>
        <r>
          <rPr>
            <sz val="9"/>
            <color indexed="81"/>
            <rFont val="Tahoma"/>
            <family val="2"/>
          </rPr>
          <t xml:space="preserve">
Image name: netact_rhel_base</t>
        </r>
      </text>
    </comment>
    <comment ref="L30" authorId="0" shapeId="0" xr:uid="{C13B39CF-A1AF-4454-B4CA-B442F77EBF1F}">
      <text>
        <r>
          <rPr>
            <b/>
            <sz val="9"/>
            <color indexed="81"/>
            <rFont val="Tahoma"/>
            <family val="2"/>
          </rPr>
          <t>jarmylly:</t>
        </r>
        <r>
          <rPr>
            <sz val="9"/>
            <color indexed="81"/>
            <rFont val="Tahoma"/>
            <family val="2"/>
          </rPr>
          <t xml:space="preserve">
Image name: netact_rhel_base</t>
        </r>
      </text>
    </comment>
    <comment ref="H31" authorId="0" shapeId="0" xr:uid="{5C3CA6A6-53FC-4C43-BDD8-C16B62A67D77}">
      <text>
        <r>
          <rPr>
            <b/>
            <sz val="9"/>
            <color indexed="81"/>
            <rFont val="Tahoma"/>
            <family val="2"/>
          </rPr>
          <t>jarmylly:</t>
        </r>
        <r>
          <rPr>
            <sz val="9"/>
            <color indexed="81"/>
            <rFont val="Tahoma"/>
            <family val="2"/>
          </rPr>
          <t xml:space="preserve">
Contains two disks:
- Disk-1: 61GB
- Disk-2: 41GB</t>
        </r>
      </text>
    </comment>
    <comment ref="L31" authorId="0" shapeId="0" xr:uid="{B9696AFD-D226-4DAC-AC5F-FD6E29B0C402}">
      <text>
        <r>
          <rPr>
            <b/>
            <sz val="9"/>
            <color indexed="81"/>
            <rFont val="Tahoma"/>
            <family val="2"/>
          </rPr>
          <t>jarmylly:</t>
        </r>
        <r>
          <rPr>
            <sz val="9"/>
            <color indexed="81"/>
            <rFont val="Tahoma"/>
            <family val="2"/>
          </rPr>
          <t xml:space="preserve">
Image name: 
- NMS_DC_disk1
- NMS_DC_disk2
- cdrom_nms</t>
        </r>
      </text>
    </comment>
    <comment ref="H32" authorId="0" shapeId="0" xr:uid="{4F03A82E-6FA2-44B2-B380-C06523F4B6E0}">
      <text>
        <r>
          <rPr>
            <b/>
            <sz val="9"/>
            <color indexed="81"/>
            <rFont val="Tahoma"/>
            <family val="2"/>
          </rPr>
          <t>jarmylly:</t>
        </r>
        <r>
          <rPr>
            <sz val="9"/>
            <color indexed="81"/>
            <rFont val="Tahoma"/>
            <family val="2"/>
          </rPr>
          <t xml:space="preserve">
Contains two disks:
- Disk-1: 61GB
- Disk-2: 41GB</t>
        </r>
      </text>
    </comment>
    <comment ref="L32" authorId="0" shapeId="0" xr:uid="{CA6D2A52-DB7D-4D2A-8CA4-214E3FBFD325}">
      <text>
        <r>
          <rPr>
            <b/>
            <sz val="9"/>
            <color indexed="81"/>
            <rFont val="Tahoma"/>
            <family val="2"/>
          </rPr>
          <t>jarmylly:</t>
        </r>
        <r>
          <rPr>
            <sz val="9"/>
            <color indexed="81"/>
            <rFont val="Tahoma"/>
            <family val="2"/>
          </rPr>
          <t xml:space="preserve">
Image name:
- NMS_VDA_disk1
- NMS_VDA_disk2</t>
        </r>
      </text>
    </comment>
    <comment ref="H33" authorId="0" shapeId="0" xr:uid="{71618115-0DA5-421F-A0D0-861C0988DBA6}">
      <text>
        <r>
          <rPr>
            <b/>
            <sz val="9"/>
            <color indexed="81"/>
            <rFont val="Tahoma"/>
            <family val="2"/>
          </rPr>
          <t>jarmylly:</t>
        </r>
        <r>
          <rPr>
            <sz val="9"/>
            <color indexed="81"/>
            <rFont val="Tahoma"/>
            <family val="2"/>
          </rPr>
          <t xml:space="preserve">
Contains two disks:
- Disk-1: 61GB
- Disk-2: 41GB</t>
        </r>
      </text>
    </comment>
    <comment ref="L33" authorId="0" shapeId="0" xr:uid="{67184A42-B9A9-436F-AEB7-99903EBBB8E5}">
      <text>
        <r>
          <rPr>
            <b/>
            <sz val="9"/>
            <color indexed="81"/>
            <rFont val="Tahoma"/>
            <family val="2"/>
          </rPr>
          <t>jarmylly:</t>
        </r>
        <r>
          <rPr>
            <sz val="9"/>
            <color indexed="81"/>
            <rFont val="Tahoma"/>
            <family val="2"/>
          </rPr>
          <t xml:space="preserve">
Image name:
- NMS_CTXDC_disk1
- NMS_CTXDC_disk2</t>
        </r>
      </text>
    </comment>
    <comment ref="L34" authorId="0" shapeId="0" xr:uid="{8D4F7FF8-995D-4783-B7E3-EA60379C64A5}">
      <text>
        <r>
          <rPr>
            <b/>
            <sz val="9"/>
            <color indexed="81"/>
            <rFont val="Tahoma"/>
            <family val="2"/>
          </rPr>
          <t>jarmylly:</t>
        </r>
        <r>
          <rPr>
            <sz val="9"/>
            <color indexed="81"/>
            <rFont val="Tahoma"/>
            <family val="2"/>
          </rPr>
          <t xml:space="preserve">
Image name: netact_rhel_base</t>
        </r>
      </text>
    </comment>
    <comment ref="AN34" authorId="0" shapeId="0" xr:uid="{A4E6BAA1-9E5C-4C83-AABA-4E165B95D6FC}">
      <text>
        <r>
          <rPr>
            <b/>
            <sz val="9"/>
            <color indexed="81"/>
            <rFont val="Tahoma"/>
            <family val="2"/>
          </rPr>
          <t>jarmylly:</t>
        </r>
        <r>
          <rPr>
            <sz val="9"/>
            <color indexed="81"/>
            <rFont val="Tahoma"/>
            <family val="2"/>
          </rPr>
          <t xml:space="preserve">
Image name: vgrep</t>
        </r>
      </text>
    </comment>
    <comment ref="L35" authorId="0" shapeId="0" xr:uid="{B56D7358-8DDA-4DA1-A2BA-0EE5C8A74520}">
      <text>
        <r>
          <rPr>
            <b/>
            <sz val="9"/>
            <color indexed="81"/>
            <rFont val="Tahoma"/>
            <family val="2"/>
          </rPr>
          <t>jarmylly:</t>
        </r>
        <r>
          <rPr>
            <sz val="9"/>
            <color indexed="81"/>
            <rFont val="Tahoma"/>
            <family val="2"/>
          </rPr>
          <t xml:space="preserve">
Image name: netact_rhel_base</t>
        </r>
      </text>
    </comment>
    <comment ref="AN35" authorId="0" shapeId="0" xr:uid="{A6BCA06D-5CB6-43CA-B806-B17C27F1C5F1}">
      <text>
        <r>
          <rPr>
            <b/>
            <sz val="9"/>
            <color indexed="81"/>
            <rFont val="Tahoma"/>
            <family val="2"/>
          </rPr>
          <t>jarmylly:</t>
        </r>
        <r>
          <rPr>
            <sz val="9"/>
            <color indexed="81"/>
            <rFont val="Tahoma"/>
            <family val="2"/>
          </rPr>
          <t xml:space="preserve">
Image name: vgrep</t>
        </r>
      </text>
    </comment>
    <comment ref="L36" authorId="0" shapeId="0" xr:uid="{41A04C16-5796-422E-8963-DD60A4A94859}">
      <text>
        <r>
          <rPr>
            <b/>
            <sz val="9"/>
            <color indexed="81"/>
            <rFont val="Tahoma"/>
            <family val="2"/>
          </rPr>
          <t>jarmylly:</t>
        </r>
        <r>
          <rPr>
            <sz val="9"/>
            <color indexed="81"/>
            <rFont val="Tahoma"/>
            <family val="2"/>
          </rPr>
          <t xml:space="preserve">
Image name: netact_rhel_base</t>
        </r>
      </text>
    </comment>
    <comment ref="L37" authorId="0" shapeId="0" xr:uid="{F24F3F9C-BBD1-4463-BE85-A7C8195593D3}">
      <text>
        <r>
          <rPr>
            <b/>
            <sz val="9"/>
            <color indexed="81"/>
            <rFont val="Tahoma"/>
            <family val="2"/>
          </rPr>
          <t>jarmylly:</t>
        </r>
        <r>
          <rPr>
            <sz val="9"/>
            <color indexed="81"/>
            <rFont val="Tahoma"/>
            <family val="2"/>
          </rPr>
          <t xml:space="preserve">
Image name: netact_rhel_base</t>
        </r>
      </text>
    </comment>
    <comment ref="AR38" authorId="1" shapeId="0" xr:uid="{390D1916-52EC-41FF-ACB6-D55C7637EEDA}">
      <text>
        <r>
          <rPr>
            <b/>
            <sz val="9"/>
            <color indexed="81"/>
            <rFont val="Tahoma"/>
            <family val="2"/>
          </rPr>
          <t xml:space="preserve"> Alok :name
</t>
        </r>
        <r>
          <rPr>
            <sz val="9"/>
            <color indexed="81"/>
            <rFont val="Tahoma"/>
            <family val="2"/>
          </rPr>
          <t>vgfastpass</t>
        </r>
      </text>
    </comment>
    <comment ref="BI38" authorId="0" shapeId="0" xr:uid="{C9E44888-FC80-4D87-B25A-267D890EFCDA}">
      <text>
        <r>
          <rPr>
            <b/>
            <sz val="9"/>
            <color indexed="81"/>
            <rFont val="Tahoma"/>
            <family val="2"/>
          </rPr>
          <t>jarmylly:</t>
        </r>
        <r>
          <rPr>
            <sz val="9"/>
            <color indexed="81"/>
            <rFont val="Tahoma"/>
            <family val="2"/>
          </rPr>
          <t xml:space="preserve">
IPv4: 3
IPv4/IPv6: 5</t>
        </r>
      </text>
    </comment>
    <comment ref="L42" authorId="0" shapeId="0" xr:uid="{1835668D-CADD-4DFC-BC29-388E1E8A855A}">
      <text>
        <r>
          <rPr>
            <b/>
            <sz val="9"/>
            <color indexed="81"/>
            <rFont val="Tahoma"/>
            <family val="2"/>
          </rPr>
          <t>jarmylly:</t>
        </r>
        <r>
          <rPr>
            <sz val="9"/>
            <color indexed="81"/>
            <rFont val="Tahoma"/>
            <family val="2"/>
          </rPr>
          <t xml:space="preserve">
Image name: netact_rhel_base</t>
        </r>
      </text>
    </comment>
    <comment ref="H43" authorId="0" shapeId="0" xr:uid="{1EB72FC9-5C4D-4E69-BE49-1908A3425C48}">
      <text>
        <r>
          <rPr>
            <b/>
            <sz val="9"/>
            <color indexed="81"/>
            <rFont val="Tahoma"/>
            <family val="2"/>
          </rPr>
          <t>jarmylly:</t>
        </r>
        <r>
          <rPr>
            <sz val="9"/>
            <color indexed="81"/>
            <rFont val="Tahoma"/>
            <family val="2"/>
          </rPr>
          <t xml:space="preserve">
Contains two disks:
- Disk-1: 61GB
- Disk-2: 41GB</t>
        </r>
      </text>
    </comment>
    <comment ref="L43" authorId="0" shapeId="0" xr:uid="{C4142546-E1BA-40E3-86C6-E3B49CAE61F7}">
      <text>
        <r>
          <rPr>
            <b/>
            <sz val="9"/>
            <color indexed="81"/>
            <rFont val="Tahoma"/>
            <family val="2"/>
          </rPr>
          <t>jarmylly:</t>
        </r>
        <r>
          <rPr>
            <sz val="9"/>
            <color indexed="81"/>
            <rFont val="Tahoma"/>
            <family val="2"/>
          </rPr>
          <t xml:space="preserve">
Image name: 
- NMS_DC_disk1
- NMS_DC_disk2</t>
        </r>
      </text>
    </comment>
    <comment ref="H44" authorId="0" shapeId="0" xr:uid="{B1CCF340-0F8E-4678-8DFD-0025203A0F01}">
      <text>
        <r>
          <rPr>
            <b/>
            <sz val="9"/>
            <color indexed="81"/>
            <rFont val="Tahoma"/>
            <family val="2"/>
          </rPr>
          <t>jarmylly:</t>
        </r>
        <r>
          <rPr>
            <sz val="9"/>
            <color indexed="81"/>
            <rFont val="Tahoma"/>
            <family val="2"/>
          </rPr>
          <t xml:space="preserve">
Contains two disks:
- Disk-1: 61GB
- Disk-2: 41GB</t>
        </r>
      </text>
    </comment>
    <comment ref="L44" authorId="0" shapeId="0" xr:uid="{3D4EF801-7EC5-472B-B37B-DC200124DD1D}">
      <text>
        <r>
          <rPr>
            <b/>
            <sz val="9"/>
            <color indexed="81"/>
            <rFont val="Tahoma"/>
            <family val="2"/>
          </rPr>
          <t>jarmylly:</t>
        </r>
        <r>
          <rPr>
            <sz val="9"/>
            <color indexed="81"/>
            <rFont val="Tahoma"/>
            <family val="2"/>
          </rPr>
          <t xml:space="preserve">
Image name:
- NMS_VDA_disk1
- NMS_VDA_disk2</t>
        </r>
      </text>
    </comment>
    <comment ref="H45" authorId="0" shapeId="0" xr:uid="{D183433F-24BB-42B8-B5F3-C0E9E836F78D}">
      <text>
        <r>
          <rPr>
            <b/>
            <sz val="9"/>
            <color indexed="81"/>
            <rFont val="Tahoma"/>
            <family val="2"/>
          </rPr>
          <t>jarmylly:</t>
        </r>
        <r>
          <rPr>
            <sz val="9"/>
            <color indexed="81"/>
            <rFont val="Tahoma"/>
            <family val="2"/>
          </rPr>
          <t xml:space="preserve">
Contains two disks:
- Disk-1: 61GB
- Disk-2: 41GB</t>
        </r>
      </text>
    </comment>
    <comment ref="L45" authorId="0" shapeId="0" xr:uid="{504FB44B-F82C-447F-9E59-9AD7AD263268}">
      <text>
        <r>
          <rPr>
            <b/>
            <sz val="9"/>
            <color indexed="81"/>
            <rFont val="Tahoma"/>
            <family val="2"/>
          </rPr>
          <t>jarmylly:</t>
        </r>
        <r>
          <rPr>
            <sz val="9"/>
            <color indexed="81"/>
            <rFont val="Tahoma"/>
            <family val="2"/>
          </rPr>
          <t xml:space="preserve">
Image name:
- NMS_VDA_disk1
- NMS_VDA_disk2</t>
        </r>
      </text>
    </comment>
    <comment ref="H46" authorId="0" shapeId="0" xr:uid="{57AB4F03-9152-48E2-8A43-749E58DA0B14}">
      <text>
        <r>
          <rPr>
            <b/>
            <sz val="9"/>
            <color indexed="81"/>
            <rFont val="Tahoma"/>
            <family val="2"/>
          </rPr>
          <t>jarmylly:</t>
        </r>
        <r>
          <rPr>
            <sz val="9"/>
            <color indexed="81"/>
            <rFont val="Tahoma"/>
            <family val="2"/>
          </rPr>
          <t xml:space="preserve">
Contains two disks:
- Disk-1: 61GB
- Disk-2: 41GB</t>
        </r>
      </text>
    </comment>
    <comment ref="L46" authorId="0" shapeId="0" xr:uid="{36324471-7A6F-4DDE-A399-7DCDBD7E0933}">
      <text>
        <r>
          <rPr>
            <b/>
            <sz val="9"/>
            <color indexed="81"/>
            <rFont val="Tahoma"/>
            <family val="2"/>
          </rPr>
          <t>jarmylly:</t>
        </r>
        <r>
          <rPr>
            <sz val="9"/>
            <color indexed="81"/>
            <rFont val="Tahoma"/>
            <family val="2"/>
          </rPr>
          <t xml:space="preserve">
Image name:
- NMS_VDA_disk1
- NMS_VDA_disk2</t>
        </r>
      </text>
    </comment>
    <comment ref="H47" authorId="0" shapeId="0" xr:uid="{F2021C05-D670-4916-8E7B-997D93428855}">
      <text>
        <r>
          <rPr>
            <b/>
            <sz val="9"/>
            <color indexed="81"/>
            <rFont val="Tahoma"/>
            <family val="2"/>
          </rPr>
          <t>jarmylly:</t>
        </r>
        <r>
          <rPr>
            <sz val="9"/>
            <color indexed="81"/>
            <rFont val="Tahoma"/>
            <family val="2"/>
          </rPr>
          <t xml:space="preserve">
Contains two disks:
- Disk-1: 61GB
- Disk-2: 41GB</t>
        </r>
      </text>
    </comment>
    <comment ref="L47" authorId="0" shapeId="0" xr:uid="{84FDDD8D-9FA0-45E8-B786-1986AC6357EE}">
      <text>
        <r>
          <rPr>
            <b/>
            <sz val="9"/>
            <color indexed="81"/>
            <rFont val="Tahoma"/>
            <family val="2"/>
          </rPr>
          <t>jarmylly:</t>
        </r>
        <r>
          <rPr>
            <sz val="9"/>
            <color indexed="81"/>
            <rFont val="Tahoma"/>
            <family val="2"/>
          </rPr>
          <t xml:space="preserve">
Image name:
- NMS_VDA_disk1
- NMS_VDA_disk2</t>
        </r>
      </text>
    </comment>
    <comment ref="H48" authorId="0" shapeId="0" xr:uid="{428C074F-3F6E-4FE4-BBA2-730A90F224E0}">
      <text>
        <r>
          <rPr>
            <b/>
            <sz val="9"/>
            <color indexed="81"/>
            <rFont val="Tahoma"/>
            <family val="2"/>
          </rPr>
          <t>jarmylly:</t>
        </r>
        <r>
          <rPr>
            <sz val="9"/>
            <color indexed="81"/>
            <rFont val="Tahoma"/>
            <family val="2"/>
          </rPr>
          <t xml:space="preserve">
Contains two disks:
- Disk-1: 61GB
- Disk-2: 41GB</t>
        </r>
      </text>
    </comment>
    <comment ref="L48" authorId="0" shapeId="0" xr:uid="{CD8CA922-26BE-455C-B4F5-0F5C19D8BDCF}">
      <text>
        <r>
          <rPr>
            <b/>
            <sz val="9"/>
            <color indexed="81"/>
            <rFont val="Tahoma"/>
            <family val="2"/>
          </rPr>
          <t>jarmylly:</t>
        </r>
        <r>
          <rPr>
            <sz val="9"/>
            <color indexed="81"/>
            <rFont val="Tahoma"/>
            <family val="2"/>
          </rPr>
          <t xml:space="preserve">
Image name:
- NMS_CTXDC_disk1
- NMS_CTXDC_disk2</t>
        </r>
      </text>
    </comment>
    <comment ref="L49" authorId="0" shapeId="0" xr:uid="{099CAAFE-9035-43B5-8672-29C6D4D10139}">
      <text>
        <r>
          <rPr>
            <b/>
            <sz val="9"/>
            <color indexed="81"/>
            <rFont val="Tahoma"/>
            <family val="2"/>
          </rPr>
          <t>jarmylly:</t>
        </r>
        <r>
          <rPr>
            <sz val="9"/>
            <color indexed="81"/>
            <rFont val="Tahoma"/>
            <family val="2"/>
          </rPr>
          <t xml:space="preserve">
Image name: netact_rhel_base</t>
        </r>
      </text>
    </comment>
    <comment ref="L50" authorId="0" shapeId="0" xr:uid="{EA832A65-600B-4297-96EF-DDA8476D3560}">
      <text>
        <r>
          <rPr>
            <b/>
            <sz val="9"/>
            <color indexed="81"/>
            <rFont val="Tahoma"/>
            <family val="2"/>
          </rPr>
          <t>jarmylly:</t>
        </r>
        <r>
          <rPr>
            <sz val="9"/>
            <color indexed="81"/>
            <rFont val="Tahoma"/>
            <family val="2"/>
          </rPr>
          <t xml:space="preserve">
Image name: netact_rhel_base</t>
        </r>
      </text>
    </comment>
    <comment ref="L51" authorId="0" shapeId="0" xr:uid="{8DDE03B1-C0AC-46BA-A904-F066A496A69D}">
      <text>
        <r>
          <rPr>
            <b/>
            <sz val="9"/>
            <color indexed="81"/>
            <rFont val="Tahoma"/>
            <family val="2"/>
          </rPr>
          <t>jarmylly:</t>
        </r>
        <r>
          <rPr>
            <sz val="9"/>
            <color indexed="81"/>
            <rFont val="Tahoma"/>
            <family val="2"/>
          </rPr>
          <t xml:space="preserve">
Image name: netact_rhel_base</t>
        </r>
      </text>
    </comment>
    <comment ref="L52" authorId="0" shapeId="0" xr:uid="{02E81E17-F089-4DFB-B47D-CD56BBFE4F83}">
      <text>
        <r>
          <rPr>
            <b/>
            <sz val="9"/>
            <color indexed="81"/>
            <rFont val="Tahoma"/>
            <family val="2"/>
          </rPr>
          <t>jarmylly:</t>
        </r>
        <r>
          <rPr>
            <sz val="9"/>
            <color indexed="81"/>
            <rFont val="Tahoma"/>
            <family val="2"/>
          </rPr>
          <t xml:space="preserve">
Image name: netact_rhel_base</t>
        </r>
      </text>
    </comment>
    <comment ref="L53" authorId="0" shapeId="0" xr:uid="{BA62E050-47A5-46DA-AA16-0DFFB933EBF7}">
      <text>
        <r>
          <rPr>
            <b/>
            <sz val="9"/>
            <color indexed="81"/>
            <rFont val="Tahoma"/>
            <family val="2"/>
          </rPr>
          <t>jarmylly:</t>
        </r>
        <r>
          <rPr>
            <sz val="9"/>
            <color indexed="81"/>
            <rFont val="Tahoma"/>
            <family val="2"/>
          </rPr>
          <t xml:space="preserve">
Image name:
- NMS_VDA_disk1
- NMS_VDA_disk2</t>
        </r>
      </text>
    </comment>
    <comment ref="L54" authorId="0" shapeId="0" xr:uid="{EEE479D3-1CF7-4800-8A9B-51350C97EC81}">
      <text>
        <r>
          <rPr>
            <b/>
            <sz val="9"/>
            <color indexed="81"/>
            <rFont val="Tahoma"/>
            <family val="2"/>
          </rPr>
          <t>jarmylly:</t>
        </r>
        <r>
          <rPr>
            <sz val="9"/>
            <color indexed="81"/>
            <rFont val="Tahoma"/>
            <family val="2"/>
          </rPr>
          <t xml:space="preserve">
Image name:
- NMS_CTXDC_disk1
- NMS_CTXDC_disk2</t>
        </r>
      </text>
    </comment>
    <comment ref="L55" authorId="0" shapeId="0" xr:uid="{2CC59461-0767-452B-8A65-30C5FE4D59FC}">
      <text>
        <r>
          <rPr>
            <b/>
            <sz val="9"/>
            <color indexed="81"/>
            <rFont val="Tahoma"/>
            <family val="2"/>
          </rPr>
          <t>jarmylly:</t>
        </r>
        <r>
          <rPr>
            <sz val="9"/>
            <color indexed="81"/>
            <rFont val="Tahoma"/>
            <family val="2"/>
          </rPr>
          <t xml:space="preserve">
Image name: netact_rhel_base</t>
        </r>
      </text>
    </comment>
    <comment ref="H56" authorId="0" shapeId="0" xr:uid="{6F773DF6-3481-4334-AE90-D9A45C7CAAE4}">
      <text>
        <r>
          <rPr>
            <b/>
            <sz val="9"/>
            <color indexed="81"/>
            <rFont val="Tahoma"/>
            <family val="2"/>
          </rPr>
          <t>jarmylly:</t>
        </r>
        <r>
          <rPr>
            <sz val="9"/>
            <color indexed="81"/>
            <rFont val="Tahoma"/>
            <family val="2"/>
          </rPr>
          <t xml:space="preserve">
Contains two disks:
- Disk-1: 30,720GB
- Disk-2: 81,920GB</t>
        </r>
      </text>
    </comment>
    <comment ref="L56" authorId="0" shapeId="0" xr:uid="{E62D0D40-98D5-4771-9FB1-46B0BAF71D3D}">
      <text>
        <r>
          <rPr>
            <b/>
            <sz val="9"/>
            <color indexed="81"/>
            <rFont val="Tahoma"/>
            <family val="2"/>
          </rPr>
          <t>jarmylly:</t>
        </r>
        <r>
          <rPr>
            <sz val="9"/>
            <color indexed="81"/>
            <rFont val="Tahoma"/>
            <family val="2"/>
          </rPr>
          <t xml:space="preserve">
Image name: netact_rhel_base</t>
        </r>
      </text>
    </comment>
    <comment ref="L57" authorId="0" shapeId="0" xr:uid="{9FECECE7-F1B9-49F8-9289-227619C3AF8B}">
      <text>
        <r>
          <rPr>
            <b/>
            <sz val="9"/>
            <color indexed="81"/>
            <rFont val="Tahoma"/>
            <family val="2"/>
          </rPr>
          <t>jarmylly:</t>
        </r>
        <r>
          <rPr>
            <sz val="9"/>
            <color indexed="81"/>
            <rFont val="Tahoma"/>
            <family val="2"/>
          </rPr>
          <t xml:space="preserve">
Image name: netact_rhel_base</t>
        </r>
      </text>
    </comment>
    <comment ref="L58" authorId="0" shapeId="0" xr:uid="{A8219795-B6DA-41E2-A503-9702EED2428D}">
      <text>
        <r>
          <rPr>
            <b/>
            <sz val="9"/>
            <color indexed="81"/>
            <rFont val="Tahoma"/>
            <family val="2"/>
          </rPr>
          <t>jarmylly:</t>
        </r>
        <r>
          <rPr>
            <sz val="9"/>
            <color indexed="81"/>
            <rFont val="Tahoma"/>
            <family val="2"/>
          </rPr>
          <t xml:space="preserve">
Image name: netact_rhel_base</t>
        </r>
      </text>
    </comment>
    <comment ref="L59" authorId="0" shapeId="0" xr:uid="{3A0FECF6-4FBB-4B3C-AEB8-09A57FF5B7A7}">
      <text>
        <r>
          <rPr>
            <b/>
            <sz val="9"/>
            <color indexed="81"/>
            <rFont val="Tahoma"/>
            <family val="2"/>
          </rPr>
          <t>jarmylly:</t>
        </r>
        <r>
          <rPr>
            <sz val="9"/>
            <color indexed="81"/>
            <rFont val="Tahoma"/>
            <family val="2"/>
          </rPr>
          <t xml:space="preserve">
Image name: netact_rhel_base</t>
        </r>
      </text>
    </comment>
    <comment ref="L60" authorId="0" shapeId="0" xr:uid="{C0F04FE9-1C5C-499D-B8FE-052BF20A4C4A}">
      <text>
        <r>
          <rPr>
            <b/>
            <sz val="9"/>
            <color indexed="81"/>
            <rFont val="Tahoma"/>
            <family val="2"/>
          </rPr>
          <t>jarmylly:</t>
        </r>
        <r>
          <rPr>
            <sz val="9"/>
            <color indexed="81"/>
            <rFont val="Tahoma"/>
            <family val="2"/>
          </rPr>
          <t xml:space="preserve">
Image name: netact_rhel_base</t>
        </r>
      </text>
    </comment>
    <comment ref="BI61" authorId="0" shapeId="0" xr:uid="{9490AAB6-0684-4C5C-99AD-18BD0FC9CC4E}">
      <text>
        <r>
          <rPr>
            <b/>
            <sz val="9"/>
            <color indexed="81"/>
            <rFont val="Tahoma"/>
            <family val="2"/>
          </rPr>
          <t>jarmylly:</t>
        </r>
        <r>
          <rPr>
            <sz val="9"/>
            <color indexed="81"/>
            <rFont val="Tahoma"/>
            <family val="2"/>
          </rPr>
          <t xml:space="preserve">
IPv4: 3
IPv4/IPv6: 5</t>
        </r>
      </text>
    </comment>
    <comment ref="L65" authorId="0" shapeId="0" xr:uid="{6834FFD2-EDC7-446A-91BA-E894047BC42B}">
      <text>
        <r>
          <rPr>
            <b/>
            <sz val="9"/>
            <color indexed="81"/>
            <rFont val="Tahoma"/>
            <family val="2"/>
          </rPr>
          <t>jarmylly:</t>
        </r>
        <r>
          <rPr>
            <sz val="9"/>
            <color indexed="81"/>
            <rFont val="Tahoma"/>
            <family val="2"/>
          </rPr>
          <t xml:space="preserve">
Image name: netact_rhel_base</t>
        </r>
      </text>
    </comment>
    <comment ref="L66" authorId="0" shapeId="0" xr:uid="{14058195-48CB-4891-B778-3A53468FC30C}">
      <text>
        <r>
          <rPr>
            <b/>
            <sz val="9"/>
            <color indexed="81"/>
            <rFont val="Tahoma"/>
            <family val="2"/>
          </rPr>
          <t>jarmylly:</t>
        </r>
        <r>
          <rPr>
            <sz val="9"/>
            <color indexed="81"/>
            <rFont val="Tahoma"/>
            <family val="2"/>
          </rPr>
          <t xml:space="preserve">
Image name: netact_rhel_base</t>
        </r>
      </text>
    </comment>
    <comment ref="L67" authorId="0" shapeId="0" xr:uid="{3F1906FC-886B-4825-9F67-32E8E2F9FEA9}">
      <text>
        <r>
          <rPr>
            <b/>
            <sz val="9"/>
            <color indexed="81"/>
            <rFont val="Tahoma"/>
            <family val="2"/>
          </rPr>
          <t>jarmylly:</t>
        </r>
        <r>
          <rPr>
            <sz val="9"/>
            <color indexed="81"/>
            <rFont val="Tahoma"/>
            <family val="2"/>
          </rPr>
          <t xml:space="preserve">
Image name: netact_rhel_base</t>
        </r>
      </text>
    </comment>
    <comment ref="L68" authorId="0" shapeId="0" xr:uid="{711EB935-AAB8-4348-8CD1-8AF7286FEC7C}">
      <text>
        <r>
          <rPr>
            <b/>
            <sz val="9"/>
            <color indexed="81"/>
            <rFont val="Tahoma"/>
            <family val="2"/>
          </rPr>
          <t>jarmylly:</t>
        </r>
        <r>
          <rPr>
            <sz val="9"/>
            <color indexed="81"/>
            <rFont val="Tahoma"/>
            <family val="2"/>
          </rPr>
          <t xml:space="preserve">
Image name: netact_rhel_base</t>
        </r>
      </text>
    </comment>
    <comment ref="L69" authorId="0" shapeId="0" xr:uid="{BDD8749B-7574-4F6B-80F7-91BF299EBA7A}">
      <text>
        <r>
          <rPr>
            <b/>
            <sz val="9"/>
            <color indexed="81"/>
            <rFont val="Tahoma"/>
            <family val="2"/>
          </rPr>
          <t>jarmylly:</t>
        </r>
        <r>
          <rPr>
            <sz val="9"/>
            <color indexed="81"/>
            <rFont val="Tahoma"/>
            <family val="2"/>
          </rPr>
          <t xml:space="preserve">
Image name: netact_rhel_base</t>
        </r>
      </text>
    </comment>
    <comment ref="L70" authorId="0" shapeId="0" xr:uid="{E6DD36DF-7CFF-48F1-9AE9-CF4F6BCDB27B}">
      <text>
        <r>
          <rPr>
            <b/>
            <sz val="9"/>
            <color indexed="81"/>
            <rFont val="Tahoma"/>
            <family val="2"/>
          </rPr>
          <t>jarmylly:</t>
        </r>
        <r>
          <rPr>
            <sz val="9"/>
            <color indexed="81"/>
            <rFont val="Tahoma"/>
            <family val="2"/>
          </rPr>
          <t xml:space="preserve">
Image name: netact_rhel_base</t>
        </r>
      </text>
    </comment>
    <comment ref="BI71" authorId="0" shapeId="0" xr:uid="{CC0BF216-031B-47CE-A749-97391C7B03D8}">
      <text>
        <r>
          <rPr>
            <b/>
            <sz val="9"/>
            <color indexed="81"/>
            <rFont val="Tahoma"/>
            <family val="2"/>
          </rPr>
          <t>jarmylly:</t>
        </r>
        <r>
          <rPr>
            <sz val="9"/>
            <color indexed="81"/>
            <rFont val="Tahoma"/>
            <family val="2"/>
          </rPr>
          <t xml:space="preserve">
IPv4: 3
IPv4/IPv6: 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Thippeswamy, Suresh (Nokia - IN/Bangalore)</author>
    <author>jarmylly</author>
    <author>Goyal, Mayank (Nokia - IN/Bangalore)</author>
    <author>Rastogi, Alok (Nokia - IN/Bangalore)</author>
    <author>Jari Myllymaa</author>
  </authors>
  <commentList>
    <comment ref="L10" authorId="0" shapeId="0" xr:uid="{4167E341-C8D9-455E-921E-2C567E79DCCE}">
      <text>
        <r>
          <rPr>
            <b/>
            <sz val="9"/>
            <color indexed="81"/>
            <rFont val="Tahoma"/>
            <family val="2"/>
          </rPr>
          <t>Thippeswamy, Suresh (Nokia - IN/Bangalore):</t>
        </r>
        <r>
          <rPr>
            <sz val="9"/>
            <color indexed="81"/>
            <rFont val="Tahoma"/>
            <family val="2"/>
          </rPr>
          <t xml:space="preserve">
Db_redo disk size:119,8GB</t>
        </r>
      </text>
    </comment>
    <comment ref="N10" authorId="1" shapeId="0" xr:uid="{A693D3B6-35C3-4CD5-9960-2C4EEC448F51}">
      <text>
        <r>
          <rPr>
            <b/>
            <sz val="9"/>
            <color indexed="81"/>
            <rFont val="Tahoma"/>
            <family val="2"/>
          </rPr>
          <t>jarmylly:</t>
        </r>
        <r>
          <rPr>
            <sz val="9"/>
            <color indexed="81"/>
            <rFont val="Tahoma"/>
            <family val="2"/>
          </rPr>
          <t xml:space="preserve">
Contains one disk, either: 
 DB_data(Std): 2304000MB
OR
 DB_data(Extended): 5667840MB</t>
        </r>
      </text>
    </comment>
    <comment ref="P10" authorId="1" shapeId="0" xr:uid="{D07F8AA8-C537-499E-A755-DBB9FDBA083E}">
      <text>
        <r>
          <rPr>
            <b/>
            <sz val="9"/>
            <color indexed="81"/>
            <rFont val="Tahoma"/>
            <family val="2"/>
          </rPr>
          <t>jarmylly:</t>
        </r>
        <r>
          <rPr>
            <sz val="9"/>
            <color indexed="81"/>
            <rFont val="Tahoma"/>
            <family val="2"/>
          </rPr>
          <t xml:space="preserve">
Contains one disk, either: 
 DB_arc(Std): 3456000MB
OR
 DB_arc(Extended): 4700160MB</t>
        </r>
      </text>
    </comment>
    <comment ref="X10" authorId="1" shapeId="0" xr:uid="{3C586EDF-FB08-418D-B23B-A4148150CBAD}">
      <text>
        <r>
          <rPr>
            <b/>
            <sz val="9"/>
            <color indexed="81"/>
            <rFont val="Tahoma"/>
            <family val="2"/>
          </rPr>
          <t>jarmylly:</t>
        </r>
        <r>
          <rPr>
            <sz val="9"/>
            <color indexed="81"/>
            <rFont val="Tahoma"/>
            <family val="2"/>
          </rPr>
          <t xml:space="preserve">
Contains one disk:
 DB_backup(Std): 10022400MB
OR
  DB_backup(Extended):17003520MB</t>
        </r>
      </text>
    </comment>
    <comment ref="AF10" authorId="2" shapeId="0" xr:uid="{F743671E-F20B-4CFE-B97C-722156A463CE}">
      <text>
        <r>
          <rPr>
            <b/>
            <sz val="9"/>
            <color indexed="81"/>
            <rFont val="Tahoma"/>
            <family val="2"/>
          </rPr>
          <t>Goyal, Mayank (Nokia - IN/Bangalore):</t>
        </r>
        <r>
          <rPr>
            <sz val="9"/>
            <color indexed="81"/>
            <rFont val="Tahoma"/>
            <family val="2"/>
          </rPr>
          <t xml:space="preserve">
Contains one disk:
- db-fb_disk : 3072 GB</t>
        </r>
      </text>
    </comment>
    <comment ref="R11" authorId="1" shapeId="0" xr:uid="{2AF8CAAB-6009-4189-8A9B-A5AC74E3470F}">
      <text>
        <r>
          <rPr>
            <b/>
            <sz val="9"/>
            <color indexed="81"/>
            <rFont val="Tahoma"/>
            <family val="2"/>
          </rPr>
          <t>jarmylly:</t>
        </r>
        <r>
          <rPr>
            <sz val="9"/>
            <color indexed="81"/>
            <rFont val="Tahoma"/>
            <family val="2"/>
          </rPr>
          <t xml:space="preserve">
Contains three disks:
- NFS_global: 378880 MB
- NFS_home: 24576 MB
- NFS WAS dumps: 87040 MB</t>
        </r>
      </text>
    </comment>
    <comment ref="T11" authorId="1" shapeId="0" xr:uid="{86BCF59A-A580-4B38-926A-82A8E18DB6B0}">
      <text>
        <r>
          <rPr>
            <b/>
            <sz val="9"/>
            <color indexed="81"/>
            <rFont val="Tahoma"/>
            <family val="2"/>
          </rPr>
          <t>jarmylly:</t>
        </r>
        <r>
          <rPr>
            <sz val="9"/>
            <color indexed="81"/>
            <rFont val="Tahoma"/>
            <family val="2"/>
          </rPr>
          <t xml:space="preserve">
Reserved for customer own data.</t>
        </r>
      </text>
    </comment>
    <comment ref="X11" authorId="1" shapeId="0" xr:uid="{7C43AAC9-AABB-468D-991D-EA25A498ACD0}">
      <text>
        <r>
          <rPr>
            <b/>
            <sz val="9"/>
            <color indexed="81"/>
            <rFont val="Tahoma"/>
            <family val="2"/>
          </rPr>
          <t>jarmylly:</t>
        </r>
        <r>
          <rPr>
            <sz val="9"/>
            <color indexed="81"/>
            <rFont val="Tahoma"/>
            <family val="2"/>
          </rPr>
          <t xml:space="preserve">
Contains one disk:
- NFS_backup: 460,6GB</t>
        </r>
      </text>
    </comment>
    <comment ref="I18" authorId="3" shapeId="0" xr:uid="{2E7BCFD1-FD2C-4C46-B41C-49810E57CC76}">
      <text>
        <r>
          <rPr>
            <b/>
            <sz val="9"/>
            <color indexed="81"/>
            <rFont val="Tahoma"/>
            <family val="2"/>
          </rPr>
          <t>Rastogi, Alok (Nokia - IN/Bangalore):</t>
        </r>
        <r>
          <rPr>
            <sz val="9"/>
            <color indexed="81"/>
            <rFont val="Tahoma"/>
            <family val="2"/>
          </rPr>
          <t xml:space="preserve">
Disk2:50 GB VMguestDisk3</t>
        </r>
      </text>
    </comment>
    <comment ref="I34" authorId="1" shapeId="0" xr:uid="{19CE0346-060E-473D-B2F1-DF0D8E36A4A2}">
      <text>
        <r>
          <rPr>
            <b/>
            <sz val="9"/>
            <color indexed="81"/>
            <rFont val="Tahoma"/>
            <family val="2"/>
          </rPr>
          <t>jarmylly:</t>
        </r>
        <r>
          <rPr>
            <sz val="9"/>
            <color indexed="81"/>
            <rFont val="Tahoma"/>
            <family val="2"/>
          </rPr>
          <t xml:space="preserve">
Contains two disks:
- Disk-1: 60GB
- Disk-2: 40GB</t>
        </r>
      </text>
    </comment>
    <comment ref="I35" authorId="1" shapeId="0" xr:uid="{74242BC5-6A39-45DB-88F5-70A19D0D33FC}">
      <text>
        <r>
          <rPr>
            <b/>
            <sz val="9"/>
            <color indexed="81"/>
            <rFont val="Tahoma"/>
            <family val="2"/>
          </rPr>
          <t>jarmylly:</t>
        </r>
        <r>
          <rPr>
            <sz val="9"/>
            <color indexed="81"/>
            <rFont val="Tahoma"/>
            <family val="2"/>
          </rPr>
          <t xml:space="preserve">
Contains two disks:
- Disk-1: 60GB
- Disk-2: 50GB</t>
        </r>
      </text>
    </comment>
    <comment ref="I36" authorId="1" shapeId="0" xr:uid="{0734A573-6C50-4BA8-A7D5-17DA0E2C14CD}">
      <text>
        <r>
          <rPr>
            <b/>
            <sz val="9"/>
            <color indexed="81"/>
            <rFont val="Tahoma"/>
            <family val="2"/>
          </rPr>
          <t>jarmylly:</t>
        </r>
        <r>
          <rPr>
            <sz val="9"/>
            <color indexed="81"/>
            <rFont val="Tahoma"/>
            <family val="2"/>
          </rPr>
          <t xml:space="preserve">
Contains two disks:
- Disk-1: 60GB
- Disk-2: 40GB</t>
        </r>
      </text>
    </comment>
    <comment ref="Z37" authorId="1" shapeId="0" xr:uid="{AC137AF2-A1BA-490D-BA2B-8378838B4804}">
      <text>
        <r>
          <rPr>
            <b/>
            <sz val="9"/>
            <color indexed="81"/>
            <rFont val="Tahoma"/>
            <family val="2"/>
          </rPr>
          <t>jarmylly:</t>
        </r>
        <r>
          <rPr>
            <sz val="9"/>
            <color indexed="81"/>
            <rFont val="Tahoma"/>
            <family val="2"/>
          </rPr>
          <t xml:space="preserve">
Contains one disk:
- vm66_REP_disk: 46,08GB
</t>
        </r>
      </text>
    </comment>
    <comment ref="AA37" authorId="4" shapeId="0" xr:uid="{724A9E54-D8ED-4F81-8A3F-09BBA435B4DE}">
      <text>
        <r>
          <rPr>
            <b/>
            <sz val="9"/>
            <color indexed="81"/>
            <rFont val="Calibri"/>
            <family val="2"/>
          </rPr>
          <t>Jari Myllymaa:</t>
        </r>
        <r>
          <rPr>
            <sz val="9"/>
            <color indexed="81"/>
            <rFont val="Calibri"/>
            <family val="2"/>
          </rPr>
          <t xml:space="preserve">
PMDatastore can extend 50GB</t>
        </r>
      </text>
    </comment>
    <comment ref="Z38" authorId="1" shapeId="0" xr:uid="{A9640AD5-142C-49B3-A116-374F0C600088}">
      <text>
        <r>
          <rPr>
            <b/>
            <sz val="9"/>
            <color indexed="81"/>
            <rFont val="Tahoma"/>
            <family val="2"/>
          </rPr>
          <t>jarmylly:</t>
        </r>
        <r>
          <rPr>
            <sz val="9"/>
            <color indexed="81"/>
            <rFont val="Tahoma"/>
            <family val="2"/>
          </rPr>
          <t xml:space="preserve">
Contains one disk:
- vm67_REP_disk: 46,08GB</t>
        </r>
      </text>
    </comment>
    <comment ref="Z39" authorId="1" shapeId="0" xr:uid="{34868A43-F380-4E99-AA82-CC1FCBA9E411}">
      <text>
        <r>
          <rPr>
            <b/>
            <sz val="9"/>
            <color indexed="81"/>
            <rFont val="Tahoma"/>
            <family val="2"/>
          </rPr>
          <t>jarmylly:</t>
        </r>
        <r>
          <rPr>
            <sz val="9"/>
            <color indexed="81"/>
            <rFont val="Tahoma"/>
            <family val="2"/>
          </rPr>
          <t xml:space="preserve">
Contains one disk:
- vm68_REP_disk: 46,08GB</t>
        </r>
      </text>
    </comment>
    <comment ref="Z40" authorId="1" shapeId="0" xr:uid="{49CD04E5-84F5-4ACA-BE89-0EE9B707918A}">
      <text>
        <r>
          <rPr>
            <b/>
            <sz val="9"/>
            <color indexed="81"/>
            <rFont val="Tahoma"/>
            <family val="2"/>
          </rPr>
          <t>jarmylly:</t>
        </r>
        <r>
          <rPr>
            <sz val="9"/>
            <color indexed="81"/>
            <rFont val="Tahoma"/>
            <family val="2"/>
          </rPr>
          <t xml:space="preserve">
Contains one disk:
- vm69_REP_disk: 46,08GB</t>
        </r>
      </text>
    </comment>
    <comment ref="I49" authorId="1" shapeId="0" xr:uid="{E4FD4950-CB73-45E7-AB4A-A75300C7CE8B}">
      <text>
        <r>
          <rPr>
            <b/>
            <sz val="9"/>
            <color indexed="81"/>
            <rFont val="Tahoma"/>
            <family val="2"/>
          </rPr>
          <t>jarmylly:</t>
        </r>
        <r>
          <rPr>
            <sz val="9"/>
            <color indexed="81"/>
            <rFont val="Tahoma"/>
            <family val="2"/>
          </rPr>
          <t xml:space="preserve">
Contains two disks:
- Disk-1: 60GB
- Disk-2: 40GB</t>
        </r>
      </text>
    </comment>
    <comment ref="I50" authorId="1" shapeId="0" xr:uid="{B99503FB-687E-4B28-8EBF-06076AB4E7AB}">
      <text>
        <r>
          <rPr>
            <b/>
            <sz val="9"/>
            <color indexed="81"/>
            <rFont val="Tahoma"/>
            <family val="2"/>
          </rPr>
          <t>jarmylly:</t>
        </r>
        <r>
          <rPr>
            <sz val="9"/>
            <color indexed="81"/>
            <rFont val="Tahoma"/>
            <family val="2"/>
          </rPr>
          <t xml:space="preserve">
Contains two disks:
- Disk-1: 60GB
- Disk-2: 40GB</t>
        </r>
      </text>
    </comment>
    <comment ref="I51" authorId="1" shapeId="0" xr:uid="{4D1BDA53-AF14-4459-BA7F-DA6F8875FDA8}">
      <text>
        <r>
          <rPr>
            <b/>
            <sz val="9"/>
            <color indexed="81"/>
            <rFont val="Tahoma"/>
            <family val="2"/>
          </rPr>
          <t>jarmylly:</t>
        </r>
        <r>
          <rPr>
            <sz val="9"/>
            <color indexed="81"/>
            <rFont val="Tahoma"/>
            <family val="2"/>
          </rPr>
          <t xml:space="preserve">
Contains two disks:
- Disk-1: 60GB
- Disk-2: 40GB</t>
        </r>
      </text>
    </comment>
    <comment ref="I52" authorId="1" shapeId="0" xr:uid="{5B46516D-A26D-4595-9D3D-B564C1599FC7}">
      <text>
        <r>
          <rPr>
            <b/>
            <sz val="9"/>
            <color indexed="81"/>
            <rFont val="Tahoma"/>
            <family val="2"/>
          </rPr>
          <t>jarmylly:</t>
        </r>
        <r>
          <rPr>
            <sz val="9"/>
            <color indexed="81"/>
            <rFont val="Tahoma"/>
            <family val="2"/>
          </rPr>
          <t xml:space="preserve">
Contains two disks:
- Disk-1: 60GB
- Disk-2: 40GB</t>
        </r>
      </text>
    </comment>
    <comment ref="I53" authorId="1" shapeId="0" xr:uid="{C67F74FC-8146-4D24-979B-1ADFF3394427}">
      <text>
        <r>
          <rPr>
            <b/>
            <sz val="9"/>
            <color indexed="81"/>
            <rFont val="Tahoma"/>
            <family val="2"/>
          </rPr>
          <t>jarmylly:</t>
        </r>
        <r>
          <rPr>
            <sz val="9"/>
            <color indexed="81"/>
            <rFont val="Tahoma"/>
            <family val="2"/>
          </rPr>
          <t xml:space="preserve">
Contains two disks:
- Disk-1: 60GB
- Disk-2: 40GB</t>
        </r>
      </text>
    </comment>
    <comment ref="I54" authorId="1" shapeId="0" xr:uid="{1ED5D553-1625-4C11-B58E-91521F28394A}">
      <text>
        <r>
          <rPr>
            <b/>
            <sz val="9"/>
            <color indexed="81"/>
            <rFont val="Tahoma"/>
            <family val="2"/>
          </rPr>
          <t>jarmylly:</t>
        </r>
        <r>
          <rPr>
            <sz val="9"/>
            <color indexed="81"/>
            <rFont val="Tahoma"/>
            <family val="2"/>
          </rPr>
          <t xml:space="preserve">
Contains two disks:
- Disk-1: 60GB
- Disk-2: 40GB</t>
        </r>
      </text>
    </comment>
    <comment ref="I55" authorId="1" shapeId="0" xr:uid="{2C3E0BD0-ED34-42CB-9639-16DC3B92091C}">
      <text>
        <r>
          <rPr>
            <b/>
            <sz val="9"/>
            <color indexed="81"/>
            <rFont val="Tahoma"/>
            <family val="2"/>
          </rPr>
          <t>jarmylly:</t>
        </r>
        <r>
          <rPr>
            <sz val="9"/>
            <color indexed="81"/>
            <rFont val="Tahoma"/>
            <family val="2"/>
          </rPr>
          <t xml:space="preserve">
Contains two disks:
- Disk-1: 60GB
- Disk-2: 40GB</t>
        </r>
      </text>
    </comment>
    <comment ref="I56" authorId="1" shapeId="0" xr:uid="{040EC4C9-C430-401D-82A2-1969B84A1C61}">
      <text>
        <r>
          <rPr>
            <b/>
            <sz val="9"/>
            <color indexed="81"/>
            <rFont val="Tahoma"/>
            <family val="2"/>
          </rPr>
          <t>jarmylly:</t>
        </r>
        <r>
          <rPr>
            <sz val="9"/>
            <color indexed="81"/>
            <rFont val="Tahoma"/>
            <family val="2"/>
          </rPr>
          <t xml:space="preserve">
Contains two disks:
- Disk-1: 60GB
- Disk-2: 40GB</t>
        </r>
      </text>
    </comment>
    <comment ref="I57" authorId="1" shapeId="0" xr:uid="{D98E8FED-71CB-400C-8842-E0CD0041A871}">
      <text>
        <r>
          <rPr>
            <b/>
            <sz val="9"/>
            <color indexed="81"/>
            <rFont val="Tahoma"/>
            <family val="2"/>
          </rPr>
          <t>jarmylly:</t>
        </r>
        <r>
          <rPr>
            <sz val="9"/>
            <color indexed="81"/>
            <rFont val="Tahoma"/>
            <family val="2"/>
          </rPr>
          <t xml:space="preserve">
Contains two disks:
- Disk-1: 60GB
- Disk-2: 40GB</t>
        </r>
      </text>
    </comment>
    <comment ref="I58" authorId="1" shapeId="0" xr:uid="{5E644E4C-280D-4EDF-B3F3-A861A190D325}">
      <text>
        <r>
          <rPr>
            <b/>
            <sz val="9"/>
            <color indexed="81"/>
            <rFont val="Tahoma"/>
            <family val="2"/>
          </rPr>
          <t>jarmylly:</t>
        </r>
        <r>
          <rPr>
            <sz val="9"/>
            <color indexed="81"/>
            <rFont val="Tahoma"/>
            <family val="2"/>
          </rPr>
          <t xml:space="preserve">
Contains two disks:
- Disk-1: 60GB
- Disk-2: 40GB</t>
        </r>
      </text>
    </comment>
    <comment ref="I66" authorId="1" shapeId="0" xr:uid="{F60EA7B1-3D93-45CE-AA17-936AA85D4CBF}">
      <text>
        <r>
          <rPr>
            <b/>
            <sz val="9"/>
            <color indexed="81"/>
            <rFont val="Tahoma"/>
            <family val="2"/>
          </rPr>
          <t>jarmylly:</t>
        </r>
        <r>
          <rPr>
            <sz val="9"/>
            <color indexed="81"/>
            <rFont val="Tahoma"/>
            <family val="2"/>
          </rPr>
          <t xml:space="preserve">
Contains two disks:
- Disk-1: 30GB
- Disk-2: 80GB</t>
        </r>
      </text>
    </comment>
    <comment ref="I67" authorId="1" shapeId="0" xr:uid="{1A2C41F3-36E7-4D91-A150-F447375A90E6}">
      <text>
        <r>
          <rPr>
            <b/>
            <sz val="9"/>
            <color indexed="81"/>
            <rFont val="Tahoma"/>
            <family val="2"/>
          </rPr>
          <t>jarmylly:</t>
        </r>
        <r>
          <rPr>
            <sz val="9"/>
            <color indexed="81"/>
            <rFont val="Tahoma"/>
            <family val="2"/>
          </rPr>
          <t xml:space="preserve">
Contains two disks:
- Disk-1: 30GB
- Disk-2: 80GB</t>
        </r>
      </text>
    </comment>
    <comment ref="I72" authorId="0" shapeId="0" xr:uid="{190C60E2-52A9-4598-B517-F88CADD2E347}">
      <text>
        <r>
          <rPr>
            <b/>
            <sz val="9"/>
            <color indexed="81"/>
            <rFont val="Tahoma"/>
            <family val="2"/>
          </rPr>
          <t>Thippeswamy, Suresh (Nokia - IN/Bangalore):</t>
        </r>
        <r>
          <rPr>
            <sz val="9"/>
            <color indexed="81"/>
            <rFont val="Tahoma"/>
            <family val="2"/>
          </rPr>
          <t xml:space="preserve">
OS disk: 50GB
Data Disk:2048GB</t>
        </r>
      </text>
    </comment>
    <comment ref="E83" authorId="1" shapeId="0" xr:uid="{667B7C63-1E54-482E-BDAF-EEFF863F3D64}">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E84" authorId="1" shapeId="0" xr:uid="{5FDC484F-C4A0-41B7-8065-B62E13E97B29}">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jarmylly</author>
    <author>Rastogi, Alok (Nokia - IN/Bangalore)</author>
    <author>tc={B5A8A195-21B4-4471-981B-DE7EEF2ECE4A}</author>
    <author>Thippeswamy, Suresh (Nokia - IN/Bangalore)</author>
  </authors>
  <commentList>
    <comment ref="K7" authorId="0" shapeId="0" xr:uid="{CDD0B4CB-DE2A-4641-A722-91025C977B27}">
      <text>
        <r>
          <rPr>
            <b/>
            <sz val="9"/>
            <color indexed="81"/>
            <rFont val="Tahoma"/>
            <family val="2"/>
          </rPr>
          <t>jarmylly:</t>
        </r>
        <r>
          <rPr>
            <sz val="9"/>
            <color indexed="81"/>
            <rFont val="Tahoma"/>
            <family val="2"/>
          </rPr>
          <t xml:space="preserve">
Only if Airframe Hardware used</t>
        </r>
      </text>
    </comment>
    <comment ref="O7" authorId="0" shapeId="0" xr:uid="{3284A237-DCFF-4496-BBB1-799A534F4766}">
      <text>
        <r>
          <rPr>
            <b/>
            <sz val="9"/>
            <color indexed="81"/>
            <rFont val="Tahoma"/>
            <family val="2"/>
          </rPr>
          <t>jarmylly:</t>
        </r>
        <r>
          <rPr>
            <sz val="9"/>
            <color indexed="81"/>
            <rFont val="Tahoma"/>
            <family val="2"/>
          </rPr>
          <t xml:space="preserve">
Only if Airframe Hardware used</t>
        </r>
      </text>
    </comment>
    <comment ref="S7" authorId="0" shapeId="0" xr:uid="{D7DE352C-7EE5-457D-82A7-44DFEC66A5CB}">
      <text>
        <r>
          <rPr>
            <b/>
            <sz val="9"/>
            <color indexed="81"/>
            <rFont val="Tahoma"/>
            <family val="2"/>
          </rPr>
          <t>jarmylly:</t>
        </r>
        <r>
          <rPr>
            <sz val="9"/>
            <color indexed="81"/>
            <rFont val="Tahoma"/>
            <family val="2"/>
          </rPr>
          <t xml:space="preserve">
Only if Airframe Hardware used</t>
        </r>
      </text>
    </comment>
    <comment ref="W7" authorId="0" shapeId="0" xr:uid="{A0955E13-E509-4E51-94DF-EC6169C0DB0A}">
      <text>
        <r>
          <rPr>
            <b/>
            <sz val="9"/>
            <color indexed="81"/>
            <rFont val="Tahoma"/>
            <family val="2"/>
          </rPr>
          <t>jarmylly:</t>
        </r>
        <r>
          <rPr>
            <sz val="9"/>
            <color indexed="81"/>
            <rFont val="Tahoma"/>
            <family val="2"/>
          </rPr>
          <t xml:space="preserve">
Only if Airframe Hardware used</t>
        </r>
      </text>
    </comment>
    <comment ref="AA7" authorId="0" shapeId="0" xr:uid="{7CECC027-2741-4F85-B558-56F9034BF408}">
      <text>
        <r>
          <rPr>
            <b/>
            <sz val="9"/>
            <color indexed="81"/>
            <rFont val="Tahoma"/>
            <family val="2"/>
          </rPr>
          <t>jarmylly:</t>
        </r>
        <r>
          <rPr>
            <sz val="9"/>
            <color indexed="81"/>
            <rFont val="Tahoma"/>
            <family val="2"/>
          </rPr>
          <t xml:space="preserve">
Only if Airframe Hardware used</t>
        </r>
      </text>
    </comment>
    <comment ref="AE7" authorId="0" shapeId="0" xr:uid="{D00AD220-CC2D-4C15-A8AA-B51DCD147F8D}">
      <text>
        <r>
          <rPr>
            <b/>
            <sz val="9"/>
            <color indexed="81"/>
            <rFont val="Tahoma"/>
            <family val="2"/>
          </rPr>
          <t>jarmylly:</t>
        </r>
        <r>
          <rPr>
            <sz val="9"/>
            <color indexed="81"/>
            <rFont val="Tahoma"/>
            <family val="2"/>
          </rPr>
          <t xml:space="preserve">
Only if Airframe Hardware used</t>
        </r>
      </text>
    </comment>
    <comment ref="AI7" authorId="0" shapeId="0" xr:uid="{177C227C-FE4A-4B0E-8D39-8F3E90E6D20E}">
      <text>
        <r>
          <rPr>
            <b/>
            <sz val="9"/>
            <color indexed="81"/>
            <rFont val="Tahoma"/>
            <family val="2"/>
          </rPr>
          <t>jarmylly:</t>
        </r>
        <r>
          <rPr>
            <sz val="9"/>
            <color indexed="81"/>
            <rFont val="Tahoma"/>
            <family val="2"/>
          </rPr>
          <t xml:space="preserve">
Only if Airframe Hardware used</t>
        </r>
      </text>
    </comment>
    <comment ref="AM7" authorId="0" shapeId="0" xr:uid="{D37ED145-A214-4848-A9E1-06CFC25EFA3D}">
      <text>
        <r>
          <rPr>
            <b/>
            <sz val="9"/>
            <color indexed="81"/>
            <rFont val="Tahoma"/>
            <family val="2"/>
          </rPr>
          <t>jarmylly:</t>
        </r>
        <r>
          <rPr>
            <sz val="9"/>
            <color indexed="81"/>
            <rFont val="Tahoma"/>
            <family val="2"/>
          </rPr>
          <t xml:space="preserve">
Only if Airframe Hardware used</t>
        </r>
      </text>
    </comment>
    <comment ref="AQ7" authorId="0" shapeId="0" xr:uid="{E52D096A-4C0E-490E-8C11-62322A94C80B}">
      <text>
        <r>
          <rPr>
            <b/>
            <sz val="9"/>
            <color indexed="81"/>
            <rFont val="Tahoma"/>
            <family val="2"/>
          </rPr>
          <t>jarmylly:</t>
        </r>
        <r>
          <rPr>
            <sz val="9"/>
            <color indexed="81"/>
            <rFont val="Tahoma"/>
            <family val="2"/>
          </rPr>
          <t xml:space="preserve">
Only if Airframe Hardware used</t>
        </r>
      </text>
    </comment>
    <comment ref="AU7" authorId="0" shapeId="0" xr:uid="{6426B2A6-E0EF-491E-8B5D-2CA5735591D1}">
      <text>
        <r>
          <rPr>
            <b/>
            <sz val="9"/>
            <color indexed="81"/>
            <rFont val="Tahoma"/>
            <family val="2"/>
          </rPr>
          <t>jarmylly:</t>
        </r>
        <r>
          <rPr>
            <sz val="9"/>
            <color indexed="81"/>
            <rFont val="Tahoma"/>
            <family val="2"/>
          </rPr>
          <t xml:space="preserve">
Only if Airframe Hardware used</t>
        </r>
      </text>
    </comment>
    <comment ref="AY7" authorId="0" shapeId="0" xr:uid="{1BE330C3-CB1D-4996-8D68-36CACA82E7ED}">
      <text>
        <r>
          <rPr>
            <b/>
            <sz val="9"/>
            <color indexed="81"/>
            <rFont val="Tahoma"/>
            <family val="2"/>
          </rPr>
          <t>jarmylly:</t>
        </r>
        <r>
          <rPr>
            <sz val="9"/>
            <color indexed="81"/>
            <rFont val="Tahoma"/>
            <family val="2"/>
          </rPr>
          <t xml:space="preserve">
Only if Airframe Hardware used</t>
        </r>
      </text>
    </comment>
    <comment ref="L8" authorId="0" shapeId="0" xr:uid="{F87BA794-11D4-42EC-ABE1-ED2A358099FA}">
      <text>
        <r>
          <rPr>
            <b/>
            <sz val="9"/>
            <color indexed="81"/>
            <rFont val="Tahoma"/>
            <family val="2"/>
          </rPr>
          <t>jarmylly:</t>
        </r>
        <r>
          <rPr>
            <sz val="9"/>
            <color indexed="81"/>
            <rFont val="Tahoma"/>
            <family val="2"/>
          </rPr>
          <t xml:space="preserve">
Images name: rhel7_insteng</t>
        </r>
      </text>
    </comment>
    <comment ref="L9" authorId="0" shapeId="0" xr:uid="{563B9720-0CC5-4EA6-BAEE-0115F6AA39D7}">
      <text>
        <r>
          <rPr>
            <b/>
            <sz val="9"/>
            <color indexed="81"/>
            <rFont val="Tahoma"/>
            <family val="2"/>
          </rPr>
          <t>jarmylly:</t>
        </r>
        <r>
          <rPr>
            <sz val="9"/>
            <color indexed="81"/>
            <rFont val="Tahoma"/>
            <family val="2"/>
          </rPr>
          <t xml:space="preserve">
Image name: administration_server</t>
        </r>
      </text>
    </comment>
    <comment ref="L10" authorId="0" shapeId="0" xr:uid="{49F71B54-83A4-4D30-8527-826CC97BC944}">
      <text>
        <r>
          <rPr>
            <b/>
            <sz val="9"/>
            <color indexed="81"/>
            <rFont val="Tahoma"/>
            <family val="2"/>
          </rPr>
          <t>jarmylly:</t>
        </r>
        <r>
          <rPr>
            <sz val="9"/>
            <color indexed="81"/>
            <rFont val="Tahoma"/>
            <family val="2"/>
          </rPr>
          <t xml:space="preserve">
Image name: netact_rhel_base</t>
        </r>
      </text>
    </comment>
    <comment ref="L11" authorId="0" shapeId="0" xr:uid="{B3FD4C8E-6AB9-4079-9CE5-7E135D0740B7}">
      <text>
        <r>
          <rPr>
            <b/>
            <sz val="9"/>
            <color indexed="81"/>
            <rFont val="Tahoma"/>
            <family val="2"/>
          </rPr>
          <t>jarmylly:</t>
        </r>
        <r>
          <rPr>
            <sz val="9"/>
            <color indexed="81"/>
            <rFont val="Tahoma"/>
            <family val="2"/>
          </rPr>
          <t xml:space="preserve">
Image name: netact_rhel_base</t>
        </r>
      </text>
    </comment>
    <comment ref="P11" authorId="0" shapeId="0" xr:uid="{24E75D18-53E0-4BA4-9225-77296DCA81EB}">
      <text>
        <r>
          <rPr>
            <b/>
            <sz val="9"/>
            <color indexed="81"/>
            <rFont val="Tahoma"/>
            <family val="2"/>
          </rPr>
          <t>jarmylly:</t>
        </r>
        <r>
          <rPr>
            <sz val="9"/>
            <color indexed="81"/>
            <rFont val="Tahoma"/>
            <family val="2"/>
          </rPr>
          <t xml:space="preserve">
Image name: vgredo</t>
        </r>
      </text>
    </comment>
    <comment ref="T11" authorId="0" shapeId="0" xr:uid="{EA55472F-EC8D-4434-ADB3-967E0D7E2BAE}">
      <text>
        <r>
          <rPr>
            <b/>
            <sz val="9"/>
            <color indexed="81"/>
            <rFont val="Tahoma"/>
            <family val="2"/>
          </rPr>
          <t>jarmylly:</t>
        </r>
        <r>
          <rPr>
            <sz val="9"/>
            <color indexed="81"/>
            <rFont val="Tahoma"/>
            <family val="2"/>
          </rPr>
          <t xml:space="preserve">
Image name: vgdb</t>
        </r>
      </text>
    </comment>
    <comment ref="X11" authorId="0" shapeId="0" xr:uid="{826D746E-024A-4AC5-ABC7-743D53B4B6C9}">
      <text>
        <r>
          <rPr>
            <b/>
            <sz val="9"/>
            <color indexed="81"/>
            <rFont val="Tahoma"/>
            <family val="2"/>
          </rPr>
          <t>jarmylly:</t>
        </r>
        <r>
          <rPr>
            <sz val="9"/>
            <color indexed="81"/>
            <rFont val="Tahoma"/>
            <family val="2"/>
          </rPr>
          <t xml:space="preserve">
Image name: vgarc</t>
        </r>
      </text>
    </comment>
    <comment ref="AZ11" authorId="1" shapeId="0" xr:uid="{73744420-1FE7-4288-A863-91505C6D9AD3}">
      <text>
        <r>
          <rPr>
            <b/>
            <sz val="9"/>
            <color indexed="81"/>
            <rFont val="Tahoma"/>
            <family val="2"/>
          </rPr>
          <t xml:space="preserve"> Alok :name
</t>
        </r>
        <r>
          <rPr>
            <sz val="9"/>
            <color indexed="81"/>
            <rFont val="Tahoma"/>
            <family val="2"/>
          </rPr>
          <t>vgdbfb</t>
        </r>
      </text>
    </comment>
    <comment ref="BA11" authorId="1" shapeId="0" xr:uid="{A170B85C-670A-4B2B-8F6C-9F34F16B380D}">
      <text>
        <r>
          <rPr>
            <b/>
            <sz val="9"/>
            <color indexed="81"/>
            <rFont val="Tahoma"/>
            <family val="2"/>
          </rPr>
          <t>Rastogi, Alok (Nokia - IN/Bangalore):</t>
        </r>
        <r>
          <rPr>
            <sz val="9"/>
            <color indexed="81"/>
            <rFont val="Tahoma"/>
            <family val="2"/>
          </rPr>
          <t xml:space="preserve">
6 with FB and 5 without FB</t>
        </r>
      </text>
    </comment>
    <comment ref="L12" authorId="0" shapeId="0" xr:uid="{70ABEB8C-C135-4FFC-9B56-3CE4C50563A5}">
      <text>
        <r>
          <rPr>
            <b/>
            <sz val="9"/>
            <color indexed="81"/>
            <rFont val="Tahoma"/>
            <family val="2"/>
          </rPr>
          <t>jarmylly:</t>
        </r>
        <r>
          <rPr>
            <sz val="9"/>
            <color indexed="81"/>
            <rFont val="Tahoma"/>
            <family val="2"/>
          </rPr>
          <t xml:space="preserve">
Image name: netact_rhel_base</t>
        </r>
      </text>
    </comment>
    <comment ref="Y12" authorId="1" shapeId="0" xr:uid="{58D0C0EE-5281-4B28-AC98-7D4D73CA1EB8}">
      <text>
        <r>
          <rPr>
            <b/>
            <sz val="9"/>
            <color indexed="81"/>
            <rFont val="Tahoma"/>
            <family val="2"/>
          </rPr>
          <t>Rastogi, Alok (Nokia - IN/Bangalore):</t>
        </r>
        <r>
          <rPr>
            <sz val="9"/>
            <color indexed="81"/>
            <rFont val="Tahoma"/>
            <family val="2"/>
          </rPr>
          <t xml:space="preserve">
contains  three disksisks
NFS Global :378880 MB
NFS Home :24576 MB
NFS WAS dump: 87040 MB</t>
        </r>
      </text>
    </comment>
    <comment ref="AB12" authorId="0" shapeId="0" xr:uid="{7D581E4B-DCDC-4AB6-935E-457560D1B773}">
      <text>
        <r>
          <rPr>
            <b/>
            <sz val="9"/>
            <color indexed="81"/>
            <rFont val="Tahoma"/>
            <family val="2"/>
          </rPr>
          <t>jarmylly:</t>
        </r>
        <r>
          <rPr>
            <sz val="9"/>
            <color indexed="81"/>
            <rFont val="Tahoma"/>
            <family val="2"/>
          </rPr>
          <t xml:space="preserve">
Image names:
- vgglobal
- vghome</t>
        </r>
      </text>
    </comment>
    <comment ref="AC12" authorId="0" shapeId="0" xr:uid="{75F7B6EF-7FDF-4F6C-97C7-47D7DC5F0002}">
      <text>
        <r>
          <rPr>
            <b/>
            <sz val="9"/>
            <color indexed="81"/>
            <rFont val="Tahoma"/>
            <family val="2"/>
          </rPr>
          <t>jarmylly:</t>
        </r>
        <r>
          <rPr>
            <sz val="9"/>
            <color indexed="81"/>
            <rFont val="Tahoma"/>
            <family val="2"/>
          </rPr>
          <t xml:space="preserve">
Reserved for customer own data.</t>
        </r>
      </text>
    </comment>
    <comment ref="AG12" authorId="2" shapeId="0" xr:uid="{B5A8A195-21B4-4471-981B-DE7EEF2ECE4A}">
      <text>
        <t>[Threaded comment]
Your version of Excel allows you to read this threaded comment; however, any edits to it will get removed if the file is opened in a newer version of Excel. Learn more: https://go.microsoft.com/fwlink/?linkid=870924
Comment:
    CRSR218: 20GB added</t>
      </text>
    </comment>
    <comment ref="L13" authorId="0" shapeId="0" xr:uid="{68D0253D-D11E-47C3-ABA9-C2F870D4727A}">
      <text>
        <r>
          <rPr>
            <b/>
            <sz val="9"/>
            <color indexed="81"/>
            <rFont val="Tahoma"/>
            <family val="2"/>
          </rPr>
          <t>jarmylly:</t>
        </r>
        <r>
          <rPr>
            <sz val="9"/>
            <color indexed="81"/>
            <rFont val="Tahoma"/>
            <family val="2"/>
          </rPr>
          <t xml:space="preserve">
Image name: netact_rhel_base</t>
        </r>
      </text>
    </comment>
    <comment ref="L14" authorId="0" shapeId="0" xr:uid="{B218834C-7D57-4325-A332-962AC55E2DB4}">
      <text>
        <r>
          <rPr>
            <b/>
            <sz val="9"/>
            <color indexed="81"/>
            <rFont val="Tahoma"/>
            <family val="2"/>
          </rPr>
          <t>jarmylly:</t>
        </r>
        <r>
          <rPr>
            <sz val="9"/>
            <color indexed="81"/>
            <rFont val="Tahoma"/>
            <family val="2"/>
          </rPr>
          <t xml:space="preserve">
Image name: netact_rhel_base</t>
        </r>
      </text>
    </comment>
    <comment ref="L15" authorId="0" shapeId="0" xr:uid="{DCBDCAB2-14FD-4279-AFC3-9EAE27FA0D10}">
      <text>
        <r>
          <rPr>
            <b/>
            <sz val="9"/>
            <color indexed="81"/>
            <rFont val="Tahoma"/>
            <family val="2"/>
          </rPr>
          <t>jarmylly:</t>
        </r>
        <r>
          <rPr>
            <sz val="9"/>
            <color indexed="81"/>
            <rFont val="Tahoma"/>
            <family val="2"/>
          </rPr>
          <t xml:space="preserve">
Image name: netact_rhel_base</t>
        </r>
      </text>
    </comment>
    <comment ref="L16" authorId="0" shapeId="0" xr:uid="{539E1FC6-4F92-40A8-B68B-A1D285796EA2}">
      <text>
        <r>
          <rPr>
            <b/>
            <sz val="9"/>
            <color indexed="81"/>
            <rFont val="Tahoma"/>
            <family val="2"/>
          </rPr>
          <t>jarmylly:</t>
        </r>
        <r>
          <rPr>
            <sz val="9"/>
            <color indexed="81"/>
            <rFont val="Tahoma"/>
            <family val="2"/>
          </rPr>
          <t xml:space="preserve">
Image name: netact_rhel_base</t>
        </r>
      </text>
    </comment>
    <comment ref="L17" authorId="0" shapeId="0" xr:uid="{B9368EA5-5214-4700-9BC5-FDC26553E946}">
      <text>
        <r>
          <rPr>
            <b/>
            <sz val="9"/>
            <color indexed="81"/>
            <rFont val="Tahoma"/>
            <family val="2"/>
          </rPr>
          <t>jarmylly:</t>
        </r>
        <r>
          <rPr>
            <sz val="9"/>
            <color indexed="81"/>
            <rFont val="Tahoma"/>
            <family val="2"/>
          </rPr>
          <t xml:space="preserve">
Image name: netact_rhel_base</t>
        </r>
      </text>
    </comment>
    <comment ref="L18" authorId="0" shapeId="0" xr:uid="{EE498E3D-ABF4-4D3A-8387-B57D250CF3E8}">
      <text>
        <r>
          <rPr>
            <b/>
            <sz val="9"/>
            <color indexed="81"/>
            <rFont val="Tahoma"/>
            <family val="2"/>
          </rPr>
          <t>jarmylly:</t>
        </r>
        <r>
          <rPr>
            <sz val="9"/>
            <color indexed="81"/>
            <rFont val="Tahoma"/>
            <family val="2"/>
          </rPr>
          <t xml:space="preserve">
Image name: netact_rhel_base</t>
        </r>
      </text>
    </comment>
    <comment ref="L19" authorId="0" shapeId="0" xr:uid="{6FA672BA-BE79-4779-AF81-7601C1D3E117}">
      <text>
        <r>
          <rPr>
            <b/>
            <sz val="9"/>
            <color indexed="81"/>
            <rFont val="Tahoma"/>
            <family val="2"/>
          </rPr>
          <t>jarmylly:</t>
        </r>
        <r>
          <rPr>
            <sz val="9"/>
            <color indexed="81"/>
            <rFont val="Tahoma"/>
            <family val="2"/>
          </rPr>
          <t xml:space="preserve">
Image name: netact_rhel_base</t>
        </r>
      </text>
    </comment>
    <comment ref="AR19" authorId="1" shapeId="0" xr:uid="{488D09D9-0D78-4B16-8C34-3450F906C3AB}">
      <text>
        <r>
          <rPr>
            <b/>
            <sz val="9"/>
            <color indexed="81"/>
            <rFont val="Tahoma"/>
            <family val="2"/>
          </rPr>
          <t xml:space="preserve"> Alok :name
</t>
        </r>
        <r>
          <rPr>
            <sz val="9"/>
            <color indexed="81"/>
            <rFont val="Tahoma"/>
            <family val="2"/>
          </rPr>
          <t>vgadm</t>
        </r>
      </text>
    </comment>
    <comment ref="L20" authorId="0" shapeId="0" xr:uid="{72A5CEC7-D289-48C0-8E8D-99C57A4325BA}">
      <text>
        <r>
          <rPr>
            <b/>
            <sz val="9"/>
            <color indexed="81"/>
            <rFont val="Tahoma"/>
            <family val="2"/>
          </rPr>
          <t>jarmylly:</t>
        </r>
        <r>
          <rPr>
            <sz val="9"/>
            <color indexed="81"/>
            <rFont val="Tahoma"/>
            <family val="2"/>
          </rPr>
          <t xml:space="preserve">
Image name: netact_rhel_base</t>
        </r>
      </text>
    </comment>
    <comment ref="L21" authorId="0" shapeId="0" xr:uid="{F699FF98-3135-40AA-B34F-A59BBF286CD3}">
      <text>
        <r>
          <rPr>
            <b/>
            <sz val="9"/>
            <color indexed="81"/>
            <rFont val="Tahoma"/>
            <family val="2"/>
          </rPr>
          <t>jarmylly:</t>
        </r>
        <r>
          <rPr>
            <sz val="9"/>
            <color indexed="81"/>
            <rFont val="Tahoma"/>
            <family val="2"/>
          </rPr>
          <t xml:space="preserve">
Image name: netact_rhel_base</t>
        </r>
      </text>
    </comment>
    <comment ref="L22" authorId="0" shapeId="0" xr:uid="{787F27A6-8293-4E7A-AD2B-A5EE104EB613}">
      <text>
        <r>
          <rPr>
            <b/>
            <sz val="9"/>
            <color indexed="81"/>
            <rFont val="Tahoma"/>
            <family val="2"/>
          </rPr>
          <t>jarmylly:</t>
        </r>
        <r>
          <rPr>
            <sz val="9"/>
            <color indexed="81"/>
            <rFont val="Tahoma"/>
            <family val="2"/>
          </rPr>
          <t xml:space="preserve">
Image name: netact_rhel_base</t>
        </r>
      </text>
    </comment>
    <comment ref="L23" authorId="0" shapeId="0" xr:uid="{21C12286-5F0B-4E87-8A8E-5C1631596F41}">
      <text>
        <r>
          <rPr>
            <b/>
            <sz val="9"/>
            <color indexed="81"/>
            <rFont val="Tahoma"/>
            <family val="2"/>
          </rPr>
          <t>jarmylly:</t>
        </r>
        <r>
          <rPr>
            <sz val="9"/>
            <color indexed="81"/>
            <rFont val="Tahoma"/>
            <family val="2"/>
          </rPr>
          <t xml:space="preserve">
Image name: netact_rhel_base</t>
        </r>
      </text>
    </comment>
    <comment ref="AV23" authorId="3" shapeId="0" xr:uid="{6EFE1A33-28A7-42D6-8E5B-2327D46FC598}">
      <text>
        <r>
          <rPr>
            <b/>
            <sz val="9"/>
            <color indexed="81"/>
            <rFont val="Tahoma"/>
            <family val="2"/>
          </rPr>
          <t>Thippeswamy, Suresh (Nokia - IN/Bangalore):</t>
        </r>
        <r>
          <rPr>
            <sz val="9"/>
            <color indexed="81"/>
            <rFont val="Tahoma"/>
            <family val="2"/>
          </rPr>
          <t xml:space="preserve">
Image name: vgisdk</t>
        </r>
      </text>
    </comment>
    <comment ref="L24" authorId="0" shapeId="0" xr:uid="{8F28513E-C65A-4E5D-B704-FC64BBD26243}">
      <text>
        <r>
          <rPr>
            <b/>
            <sz val="9"/>
            <color indexed="81"/>
            <rFont val="Tahoma"/>
            <family val="2"/>
          </rPr>
          <t>jarmylly:</t>
        </r>
        <r>
          <rPr>
            <sz val="9"/>
            <color indexed="81"/>
            <rFont val="Tahoma"/>
            <family val="2"/>
          </rPr>
          <t xml:space="preserve">
Image name: netact_rhel_base</t>
        </r>
      </text>
    </comment>
    <comment ref="AV24" authorId="3" shapeId="0" xr:uid="{A81A46B4-CE63-4CE2-9B93-9AD2E16AB794}">
      <text>
        <r>
          <rPr>
            <b/>
            <sz val="9"/>
            <color indexed="81"/>
            <rFont val="Tahoma"/>
            <family val="2"/>
          </rPr>
          <t>Thippeswamy, Suresh (Nokia - IN/Bangalore):</t>
        </r>
        <r>
          <rPr>
            <sz val="9"/>
            <color indexed="81"/>
            <rFont val="Tahoma"/>
            <family val="2"/>
          </rPr>
          <t xml:space="preserve">
Image name: vgisdk</t>
        </r>
      </text>
    </comment>
    <comment ref="L25" authorId="0" shapeId="0" xr:uid="{3AC66D74-AFCF-46B2-A152-956791B9030F}">
      <text>
        <r>
          <rPr>
            <b/>
            <sz val="9"/>
            <color indexed="81"/>
            <rFont val="Tahoma"/>
            <family val="2"/>
          </rPr>
          <t>jarmylly:</t>
        </r>
        <r>
          <rPr>
            <sz val="9"/>
            <color indexed="81"/>
            <rFont val="Tahoma"/>
            <family val="2"/>
          </rPr>
          <t xml:space="preserve">
Image name: netact_rhel_base</t>
        </r>
      </text>
    </comment>
    <comment ref="L26" authorId="0" shapeId="0" xr:uid="{7660FFD4-B121-4438-B873-D9FA3381440D}">
      <text>
        <r>
          <rPr>
            <b/>
            <sz val="9"/>
            <color indexed="81"/>
            <rFont val="Tahoma"/>
            <family val="2"/>
          </rPr>
          <t>jarmylly:</t>
        </r>
        <r>
          <rPr>
            <sz val="9"/>
            <color indexed="81"/>
            <rFont val="Tahoma"/>
            <family val="2"/>
          </rPr>
          <t xml:space="preserve">
Image name: netact_rhel_base</t>
        </r>
      </text>
    </comment>
    <comment ref="L27" authorId="0" shapeId="0" xr:uid="{2B68D40F-26AB-4F56-BF54-5E3C95D0CD54}">
      <text>
        <r>
          <rPr>
            <b/>
            <sz val="9"/>
            <color indexed="81"/>
            <rFont val="Tahoma"/>
            <family val="2"/>
          </rPr>
          <t>jarmylly:</t>
        </r>
        <r>
          <rPr>
            <sz val="9"/>
            <color indexed="81"/>
            <rFont val="Tahoma"/>
            <family val="2"/>
          </rPr>
          <t xml:space="preserve">
Image name: netact_rhel_base</t>
        </r>
      </text>
    </comment>
    <comment ref="L28" authorId="0" shapeId="0" xr:uid="{F03145D3-B770-403A-B0FC-E47DC0164269}">
      <text>
        <r>
          <rPr>
            <b/>
            <sz val="9"/>
            <color indexed="81"/>
            <rFont val="Tahoma"/>
            <family val="2"/>
          </rPr>
          <t>jarmylly:</t>
        </r>
        <r>
          <rPr>
            <sz val="9"/>
            <color indexed="81"/>
            <rFont val="Tahoma"/>
            <family val="2"/>
          </rPr>
          <t xml:space="preserve">
Image name: netact_rhel_base</t>
        </r>
      </text>
    </comment>
    <comment ref="L29" authorId="0" shapeId="0" xr:uid="{28093942-F2F3-46E7-A0EA-4E283024F45B}">
      <text>
        <r>
          <rPr>
            <b/>
            <sz val="9"/>
            <color indexed="81"/>
            <rFont val="Tahoma"/>
            <family val="2"/>
          </rPr>
          <t>jarmylly:</t>
        </r>
        <r>
          <rPr>
            <sz val="9"/>
            <color indexed="81"/>
            <rFont val="Tahoma"/>
            <family val="2"/>
          </rPr>
          <t xml:space="preserve">
Image name: netact_rhel_base</t>
        </r>
      </text>
    </comment>
    <comment ref="L30" authorId="0" shapeId="0" xr:uid="{0544F75A-6D8F-492F-9E4F-D6A2669C7623}">
      <text>
        <r>
          <rPr>
            <b/>
            <sz val="9"/>
            <color indexed="81"/>
            <rFont val="Tahoma"/>
            <family val="2"/>
          </rPr>
          <t>jarmylly:</t>
        </r>
        <r>
          <rPr>
            <sz val="9"/>
            <color indexed="81"/>
            <rFont val="Tahoma"/>
            <family val="2"/>
          </rPr>
          <t xml:space="preserve">
Image name: netact_rhel_base</t>
        </r>
      </text>
    </comment>
    <comment ref="L31" authorId="0" shapeId="0" xr:uid="{E54AEA4C-890E-486A-886A-2D83F074F57A}">
      <text>
        <r>
          <rPr>
            <b/>
            <sz val="9"/>
            <color indexed="81"/>
            <rFont val="Tahoma"/>
            <family val="2"/>
          </rPr>
          <t>jarmylly:</t>
        </r>
        <r>
          <rPr>
            <sz val="9"/>
            <color indexed="81"/>
            <rFont val="Tahoma"/>
            <family val="2"/>
          </rPr>
          <t xml:space="preserve">
Image name: netact_rhel_base</t>
        </r>
      </text>
    </comment>
    <comment ref="L32" authorId="0" shapeId="0" xr:uid="{915938D4-AA3A-419D-B281-321863FF2E0D}">
      <text>
        <r>
          <rPr>
            <b/>
            <sz val="9"/>
            <color indexed="81"/>
            <rFont val="Tahoma"/>
            <family val="2"/>
          </rPr>
          <t>jarmylly:</t>
        </r>
        <r>
          <rPr>
            <sz val="9"/>
            <color indexed="81"/>
            <rFont val="Tahoma"/>
            <family val="2"/>
          </rPr>
          <t xml:space="preserve">
Image name: netact_rhel_base</t>
        </r>
      </text>
    </comment>
    <comment ref="L33" authorId="0" shapeId="0" xr:uid="{F8903BA6-7F90-4290-8881-205B47C9A97F}">
      <text>
        <r>
          <rPr>
            <b/>
            <sz val="9"/>
            <color indexed="81"/>
            <rFont val="Tahoma"/>
            <family val="2"/>
          </rPr>
          <t>jarmylly:</t>
        </r>
        <r>
          <rPr>
            <sz val="9"/>
            <color indexed="81"/>
            <rFont val="Tahoma"/>
            <family val="2"/>
          </rPr>
          <t xml:space="preserve">
Image name: netact_rhel_base</t>
        </r>
      </text>
    </comment>
    <comment ref="L34" authorId="0" shapeId="0" xr:uid="{C3A571C0-F5B2-402E-89D8-0EEB1F9B0BAD}">
      <text>
        <r>
          <rPr>
            <b/>
            <sz val="9"/>
            <color indexed="81"/>
            <rFont val="Tahoma"/>
            <family val="2"/>
          </rPr>
          <t>jarmylly:</t>
        </r>
        <r>
          <rPr>
            <sz val="9"/>
            <color indexed="81"/>
            <rFont val="Tahoma"/>
            <family val="2"/>
          </rPr>
          <t xml:space="preserve">
Image name: netact_rhel_base</t>
        </r>
      </text>
    </comment>
    <comment ref="H35" authorId="0" shapeId="0" xr:uid="{7DE31927-4561-4ACC-B364-5321F438206C}">
      <text>
        <r>
          <rPr>
            <b/>
            <sz val="9"/>
            <color indexed="81"/>
            <rFont val="Tahoma"/>
            <family val="2"/>
          </rPr>
          <t>jarmylly:</t>
        </r>
        <r>
          <rPr>
            <sz val="9"/>
            <color indexed="81"/>
            <rFont val="Tahoma"/>
            <family val="2"/>
          </rPr>
          <t xml:space="preserve">
Contains two disks:
- Disk-1: 61GB
- Disk-2: 41GB</t>
        </r>
      </text>
    </comment>
    <comment ref="L35" authorId="0" shapeId="0" xr:uid="{C43AF8E8-1BBE-4909-B69B-0678AE8FEB75}">
      <text>
        <r>
          <rPr>
            <b/>
            <sz val="9"/>
            <color indexed="81"/>
            <rFont val="Tahoma"/>
            <family val="2"/>
          </rPr>
          <t>jarmylly:</t>
        </r>
        <r>
          <rPr>
            <sz val="9"/>
            <color indexed="81"/>
            <rFont val="Tahoma"/>
            <family val="2"/>
          </rPr>
          <t xml:space="preserve">
Image name: 
- NMS_DC_disk1
- NMS_DC_disk2
- cdrom_nms</t>
        </r>
      </text>
    </comment>
    <comment ref="H36" authorId="0" shapeId="0" xr:uid="{202F71B5-2DFB-44B2-A179-82002E7F1DCE}">
      <text>
        <r>
          <rPr>
            <b/>
            <sz val="9"/>
            <color indexed="81"/>
            <rFont val="Tahoma"/>
            <family val="2"/>
          </rPr>
          <t>jarmylly:</t>
        </r>
        <r>
          <rPr>
            <sz val="9"/>
            <color indexed="81"/>
            <rFont val="Tahoma"/>
            <family val="2"/>
          </rPr>
          <t xml:space="preserve">
Contains two disks:
- Disk-1: 61GB
- Disk-2: 41GB</t>
        </r>
      </text>
    </comment>
    <comment ref="L36" authorId="0" shapeId="0" xr:uid="{32DCE41D-6A77-422D-AADB-BA8550775FF9}">
      <text>
        <r>
          <rPr>
            <b/>
            <sz val="9"/>
            <color indexed="81"/>
            <rFont val="Tahoma"/>
            <family val="2"/>
          </rPr>
          <t>jarmylly:</t>
        </r>
        <r>
          <rPr>
            <sz val="9"/>
            <color indexed="81"/>
            <rFont val="Tahoma"/>
            <family val="2"/>
          </rPr>
          <t xml:space="preserve">
Image name:
- NMS_VDA_disk1
- NMS_VDA_disk2
- cdrom_nms</t>
        </r>
      </text>
    </comment>
    <comment ref="H37" authorId="0" shapeId="0" xr:uid="{2E0C9256-2A06-4E36-AF2B-B3BBB4A5C0C2}">
      <text>
        <r>
          <rPr>
            <b/>
            <sz val="9"/>
            <color indexed="81"/>
            <rFont val="Tahoma"/>
            <family val="2"/>
          </rPr>
          <t>jarmylly:</t>
        </r>
        <r>
          <rPr>
            <sz val="9"/>
            <color indexed="81"/>
            <rFont val="Tahoma"/>
            <family val="2"/>
          </rPr>
          <t xml:space="preserve">
Contains two disks:
- Disk-1: 61GB
- Disk-2: 41GB</t>
        </r>
      </text>
    </comment>
    <comment ref="L37" authorId="0" shapeId="0" xr:uid="{F6C7A6EF-198B-4450-AFAF-7AF54CCC7788}">
      <text>
        <r>
          <rPr>
            <b/>
            <sz val="9"/>
            <color indexed="81"/>
            <rFont val="Tahoma"/>
            <family val="2"/>
          </rPr>
          <t>jarmylly:</t>
        </r>
        <r>
          <rPr>
            <sz val="9"/>
            <color indexed="81"/>
            <rFont val="Tahoma"/>
            <family val="2"/>
          </rPr>
          <t xml:space="preserve">
Image name:
- NMS_CTXDC_disk1
- NMS_CTXDC_disk2
- cdrom_nms</t>
        </r>
      </text>
    </comment>
    <comment ref="L38" authorId="0" shapeId="0" xr:uid="{9976E10B-55F5-4A59-8E9D-4F0512B743E6}">
      <text>
        <r>
          <rPr>
            <b/>
            <sz val="9"/>
            <color indexed="81"/>
            <rFont val="Tahoma"/>
            <family val="2"/>
          </rPr>
          <t>jarmylly:</t>
        </r>
        <r>
          <rPr>
            <sz val="9"/>
            <color indexed="81"/>
            <rFont val="Tahoma"/>
            <family val="2"/>
          </rPr>
          <t xml:space="preserve">
Image name: netact_rhel_base</t>
        </r>
      </text>
    </comment>
    <comment ref="AN38" authorId="0" shapeId="0" xr:uid="{377EBFA5-693E-492C-BD71-8EEB85716584}">
      <text>
        <r>
          <rPr>
            <b/>
            <sz val="9"/>
            <color indexed="81"/>
            <rFont val="Tahoma"/>
            <family val="2"/>
          </rPr>
          <t>jarmylly:</t>
        </r>
        <r>
          <rPr>
            <sz val="9"/>
            <color indexed="81"/>
            <rFont val="Tahoma"/>
            <family val="2"/>
          </rPr>
          <t xml:space="preserve">
Image name: vgrep</t>
        </r>
      </text>
    </comment>
    <comment ref="L39" authorId="0" shapeId="0" xr:uid="{7CF0592F-2531-42C3-B05A-FA3092F32AD4}">
      <text>
        <r>
          <rPr>
            <b/>
            <sz val="9"/>
            <color indexed="81"/>
            <rFont val="Tahoma"/>
            <family val="2"/>
          </rPr>
          <t>jarmylly:</t>
        </r>
        <r>
          <rPr>
            <sz val="9"/>
            <color indexed="81"/>
            <rFont val="Tahoma"/>
            <family val="2"/>
          </rPr>
          <t xml:space="preserve">
Image name: netact_rhel_base</t>
        </r>
      </text>
    </comment>
    <comment ref="AN39" authorId="0" shapeId="0" xr:uid="{54D2C916-9FEC-4372-B8FD-CF659E4A9DD7}">
      <text>
        <r>
          <rPr>
            <b/>
            <sz val="9"/>
            <color indexed="81"/>
            <rFont val="Tahoma"/>
            <family val="2"/>
          </rPr>
          <t>jarmylly:</t>
        </r>
        <r>
          <rPr>
            <sz val="9"/>
            <color indexed="81"/>
            <rFont val="Tahoma"/>
            <family val="2"/>
          </rPr>
          <t xml:space="preserve">
Image name: vgrep</t>
        </r>
      </text>
    </comment>
    <comment ref="L40" authorId="0" shapeId="0" xr:uid="{3C60420F-A6A3-463D-A4C4-1B3B49789961}">
      <text>
        <r>
          <rPr>
            <b/>
            <sz val="9"/>
            <color indexed="81"/>
            <rFont val="Tahoma"/>
            <family val="2"/>
          </rPr>
          <t>jarmylly:</t>
        </r>
        <r>
          <rPr>
            <sz val="9"/>
            <color indexed="81"/>
            <rFont val="Tahoma"/>
            <family val="2"/>
          </rPr>
          <t xml:space="preserve">
Image name: netact_rhel_base</t>
        </r>
      </text>
    </comment>
    <comment ref="AN40" authorId="0" shapeId="0" xr:uid="{9BCFED46-8BA4-4C51-9943-68852C4B5C18}">
      <text>
        <r>
          <rPr>
            <b/>
            <sz val="9"/>
            <color indexed="81"/>
            <rFont val="Tahoma"/>
            <family val="2"/>
          </rPr>
          <t>jarmylly:</t>
        </r>
        <r>
          <rPr>
            <sz val="9"/>
            <color indexed="81"/>
            <rFont val="Tahoma"/>
            <family val="2"/>
          </rPr>
          <t xml:space="preserve">
Image name: vgrep</t>
        </r>
      </text>
    </comment>
    <comment ref="L41" authorId="0" shapeId="0" xr:uid="{6C8EEF84-8C7E-49A0-9EA5-51CC280A7C58}">
      <text>
        <r>
          <rPr>
            <b/>
            <sz val="9"/>
            <color indexed="81"/>
            <rFont val="Tahoma"/>
            <family val="2"/>
          </rPr>
          <t>jarmylly:</t>
        </r>
        <r>
          <rPr>
            <sz val="9"/>
            <color indexed="81"/>
            <rFont val="Tahoma"/>
            <family val="2"/>
          </rPr>
          <t xml:space="preserve">
Image name: netact_rhel_base</t>
        </r>
      </text>
    </comment>
    <comment ref="AN41" authorId="0" shapeId="0" xr:uid="{9B8C3940-6C54-40FE-A122-9DAD8A05450F}">
      <text>
        <r>
          <rPr>
            <b/>
            <sz val="9"/>
            <color indexed="81"/>
            <rFont val="Tahoma"/>
            <family val="2"/>
          </rPr>
          <t>jarmylly:</t>
        </r>
        <r>
          <rPr>
            <sz val="9"/>
            <color indexed="81"/>
            <rFont val="Tahoma"/>
            <family val="2"/>
          </rPr>
          <t xml:space="preserve">
Image name: vgrep</t>
        </r>
      </text>
    </comment>
    <comment ref="L42" authorId="0" shapeId="0" xr:uid="{E91C8E12-B910-4B46-823F-3D16E2999487}">
      <text>
        <r>
          <rPr>
            <b/>
            <sz val="9"/>
            <color indexed="81"/>
            <rFont val="Tahoma"/>
            <family val="2"/>
          </rPr>
          <t>jarmylly:</t>
        </r>
        <r>
          <rPr>
            <sz val="9"/>
            <color indexed="81"/>
            <rFont val="Tahoma"/>
            <family val="2"/>
          </rPr>
          <t xml:space="preserve">
Image name: netact_rhel_base</t>
        </r>
      </text>
    </comment>
    <comment ref="L43" authorId="0" shapeId="0" xr:uid="{FB4752F1-2BE3-4759-9CFA-55638570827E}">
      <text>
        <r>
          <rPr>
            <b/>
            <sz val="9"/>
            <color indexed="81"/>
            <rFont val="Tahoma"/>
            <family val="2"/>
          </rPr>
          <t>jarmylly:</t>
        </r>
        <r>
          <rPr>
            <sz val="9"/>
            <color indexed="81"/>
            <rFont val="Tahoma"/>
            <family val="2"/>
          </rPr>
          <t xml:space="preserve">
Image name: netact_rhel_base</t>
        </r>
      </text>
    </comment>
    <comment ref="AR44" authorId="1" shapeId="0" xr:uid="{0C3128DD-36D6-48CF-ABFD-A777EE71C82D}">
      <text>
        <r>
          <rPr>
            <b/>
            <sz val="9"/>
            <color indexed="81"/>
            <rFont val="Tahoma"/>
            <family val="2"/>
          </rPr>
          <t xml:space="preserve"> Alok :name
</t>
        </r>
        <r>
          <rPr>
            <sz val="9"/>
            <color indexed="81"/>
            <rFont val="Tahoma"/>
            <family val="2"/>
          </rPr>
          <t>vgfastpass</t>
        </r>
      </text>
    </comment>
    <comment ref="BI44" authorId="0" shapeId="0" xr:uid="{47DFC874-ADC3-4857-87CC-ED8B471C1935}">
      <text>
        <r>
          <rPr>
            <b/>
            <sz val="9"/>
            <color indexed="81"/>
            <rFont val="Tahoma"/>
            <family val="2"/>
          </rPr>
          <t>jarmylly:</t>
        </r>
        <r>
          <rPr>
            <sz val="9"/>
            <color indexed="81"/>
            <rFont val="Tahoma"/>
            <family val="2"/>
          </rPr>
          <t xml:space="preserve">
IPv4: 3
IPv4/IPv6: 5</t>
        </r>
      </text>
    </comment>
    <comment ref="L49" authorId="0" shapeId="0" xr:uid="{72210229-AD5E-4839-A99B-9D35A10EA6E2}">
      <text>
        <r>
          <rPr>
            <b/>
            <sz val="9"/>
            <color indexed="81"/>
            <rFont val="Tahoma"/>
            <family val="2"/>
          </rPr>
          <t>jarmylly:</t>
        </r>
        <r>
          <rPr>
            <sz val="9"/>
            <color indexed="81"/>
            <rFont val="Tahoma"/>
            <family val="2"/>
          </rPr>
          <t xml:space="preserve">
Image name: netact_rhel_base</t>
        </r>
      </text>
    </comment>
    <comment ref="H50" authorId="0" shapeId="0" xr:uid="{1BF1F923-3E2C-408B-AACD-C6F83AE4C1C7}">
      <text>
        <r>
          <rPr>
            <b/>
            <sz val="9"/>
            <color indexed="81"/>
            <rFont val="Tahoma"/>
            <family val="2"/>
          </rPr>
          <t>jarmylly:</t>
        </r>
        <r>
          <rPr>
            <sz val="9"/>
            <color indexed="81"/>
            <rFont val="Tahoma"/>
            <family val="2"/>
          </rPr>
          <t xml:space="preserve">
Contains two disks:
- Disk-1: 61GB
- Disk-2: 41GB</t>
        </r>
      </text>
    </comment>
    <comment ref="L50" authorId="0" shapeId="0" xr:uid="{B1234347-7403-46D6-9F31-D0B180A1424B}">
      <text>
        <r>
          <rPr>
            <b/>
            <sz val="9"/>
            <color indexed="81"/>
            <rFont val="Tahoma"/>
            <family val="2"/>
          </rPr>
          <t>jarmylly:</t>
        </r>
        <r>
          <rPr>
            <sz val="9"/>
            <color indexed="81"/>
            <rFont val="Tahoma"/>
            <family val="2"/>
          </rPr>
          <t xml:space="preserve">
Image name: 
- NMS_DC_disk1
- NMS_DC_disk2
- cdrom_nms</t>
        </r>
      </text>
    </comment>
    <comment ref="H51" authorId="0" shapeId="0" xr:uid="{20D981F4-399E-445D-95BE-0B3468208EFB}">
      <text>
        <r>
          <rPr>
            <b/>
            <sz val="9"/>
            <color indexed="81"/>
            <rFont val="Tahoma"/>
            <family val="2"/>
          </rPr>
          <t>jarmylly:</t>
        </r>
        <r>
          <rPr>
            <sz val="9"/>
            <color indexed="81"/>
            <rFont val="Tahoma"/>
            <family val="2"/>
          </rPr>
          <t xml:space="preserve">
Contains two disks:
- Disk-1: 61GB
- Disk-2: 41GB</t>
        </r>
      </text>
    </comment>
    <comment ref="L51" authorId="0" shapeId="0" xr:uid="{9CF4FF72-FA23-4D8F-A48D-243B64F601EF}">
      <text>
        <r>
          <rPr>
            <b/>
            <sz val="9"/>
            <color indexed="81"/>
            <rFont val="Tahoma"/>
            <family val="2"/>
          </rPr>
          <t>jarmylly:</t>
        </r>
        <r>
          <rPr>
            <sz val="9"/>
            <color indexed="81"/>
            <rFont val="Tahoma"/>
            <family val="2"/>
          </rPr>
          <t xml:space="preserve">
Image name:
- NMS_VDA_disk1
- NMS_VDA_disk2
- cdrom_nms</t>
        </r>
      </text>
    </comment>
    <comment ref="H52" authorId="0" shapeId="0" xr:uid="{A1842DF4-8F3C-448C-834E-BFBC3AE5020A}">
      <text>
        <r>
          <rPr>
            <b/>
            <sz val="9"/>
            <color indexed="81"/>
            <rFont val="Tahoma"/>
            <family val="2"/>
          </rPr>
          <t>jarmylly:</t>
        </r>
        <r>
          <rPr>
            <sz val="9"/>
            <color indexed="81"/>
            <rFont val="Tahoma"/>
            <family val="2"/>
          </rPr>
          <t xml:space="preserve">
Contains two disks:
- Disk-1: 61GB
- Disk-2: 41GB</t>
        </r>
      </text>
    </comment>
    <comment ref="L52" authorId="0" shapeId="0" xr:uid="{F9A4E554-845C-4EA6-9E74-77168BD0A5CE}">
      <text>
        <r>
          <rPr>
            <b/>
            <sz val="9"/>
            <color indexed="81"/>
            <rFont val="Tahoma"/>
            <family val="2"/>
          </rPr>
          <t>jarmylly:</t>
        </r>
        <r>
          <rPr>
            <sz val="9"/>
            <color indexed="81"/>
            <rFont val="Tahoma"/>
            <family val="2"/>
          </rPr>
          <t xml:space="preserve">
Image name:
- NMS_VDA_disk1
- NMS_VDA_disk2
- cdrom_nms</t>
        </r>
      </text>
    </comment>
    <comment ref="H53" authorId="0" shapeId="0" xr:uid="{3A455D8E-3040-4EF5-BEF1-A3D55F7321F5}">
      <text>
        <r>
          <rPr>
            <b/>
            <sz val="9"/>
            <color indexed="81"/>
            <rFont val="Tahoma"/>
            <family val="2"/>
          </rPr>
          <t>jarmylly:</t>
        </r>
        <r>
          <rPr>
            <sz val="9"/>
            <color indexed="81"/>
            <rFont val="Tahoma"/>
            <family val="2"/>
          </rPr>
          <t xml:space="preserve">
Contains two disks:
- Disk-1: 61GB
- Disk-2: 41GB</t>
        </r>
      </text>
    </comment>
    <comment ref="L53" authorId="0" shapeId="0" xr:uid="{32AC8E79-DE99-47AB-9AD6-637C2BBDBDD4}">
      <text>
        <r>
          <rPr>
            <b/>
            <sz val="9"/>
            <color indexed="81"/>
            <rFont val="Tahoma"/>
            <family val="2"/>
          </rPr>
          <t>jarmylly:</t>
        </r>
        <r>
          <rPr>
            <sz val="9"/>
            <color indexed="81"/>
            <rFont val="Tahoma"/>
            <family val="2"/>
          </rPr>
          <t xml:space="preserve">
Image name:
- NMS_VDA_disk1
- NMS_VDA_disk2
- cdrom_nms</t>
        </r>
      </text>
    </comment>
    <comment ref="H54" authorId="0" shapeId="0" xr:uid="{376C03B7-DB41-47D3-9BC0-2FE178D46CF7}">
      <text>
        <r>
          <rPr>
            <b/>
            <sz val="9"/>
            <color indexed="81"/>
            <rFont val="Tahoma"/>
            <family val="2"/>
          </rPr>
          <t>jarmylly:</t>
        </r>
        <r>
          <rPr>
            <sz val="9"/>
            <color indexed="81"/>
            <rFont val="Tahoma"/>
            <family val="2"/>
          </rPr>
          <t xml:space="preserve">
Contains two disks:
- Disk-1: 61GB
- Disk-2: 41GB</t>
        </r>
      </text>
    </comment>
    <comment ref="L54" authorId="0" shapeId="0" xr:uid="{FEDA5CB6-389E-480C-9762-4EEA09D33CF5}">
      <text>
        <r>
          <rPr>
            <b/>
            <sz val="9"/>
            <color indexed="81"/>
            <rFont val="Tahoma"/>
            <family val="2"/>
          </rPr>
          <t>jarmylly:</t>
        </r>
        <r>
          <rPr>
            <sz val="9"/>
            <color indexed="81"/>
            <rFont val="Tahoma"/>
            <family val="2"/>
          </rPr>
          <t xml:space="preserve">
Image name:
- NMS_VDA_disk1
- NMS_VDA_disk2
- cdrom_nms</t>
        </r>
      </text>
    </comment>
    <comment ref="H55" authorId="0" shapeId="0" xr:uid="{E7F1C357-71FD-462A-B9E5-E0AEC5D34533}">
      <text>
        <r>
          <rPr>
            <b/>
            <sz val="9"/>
            <color indexed="81"/>
            <rFont val="Tahoma"/>
            <family val="2"/>
          </rPr>
          <t>jarmylly:</t>
        </r>
        <r>
          <rPr>
            <sz val="9"/>
            <color indexed="81"/>
            <rFont val="Tahoma"/>
            <family val="2"/>
          </rPr>
          <t xml:space="preserve">
Contains two disks:
- Disk-1: 61GB
- Disk-2: 41GB</t>
        </r>
      </text>
    </comment>
    <comment ref="L55" authorId="0" shapeId="0" xr:uid="{6ABC836D-05FE-409C-9070-6E1AC29A884B}">
      <text>
        <r>
          <rPr>
            <b/>
            <sz val="9"/>
            <color indexed="81"/>
            <rFont val="Tahoma"/>
            <family val="2"/>
          </rPr>
          <t>jarmylly:</t>
        </r>
        <r>
          <rPr>
            <sz val="9"/>
            <color indexed="81"/>
            <rFont val="Tahoma"/>
            <family val="2"/>
          </rPr>
          <t xml:space="preserve">
Image name:
- NMS_VDA_disk1
- NMS_VDA_disk2
- cdrom_nms</t>
        </r>
      </text>
    </comment>
    <comment ref="H56" authorId="0" shapeId="0" xr:uid="{C5C4CB8B-156F-4613-84F5-868E4195CFFE}">
      <text>
        <r>
          <rPr>
            <b/>
            <sz val="9"/>
            <color indexed="81"/>
            <rFont val="Tahoma"/>
            <family val="2"/>
          </rPr>
          <t>jarmylly:</t>
        </r>
        <r>
          <rPr>
            <sz val="9"/>
            <color indexed="81"/>
            <rFont val="Tahoma"/>
            <family val="2"/>
          </rPr>
          <t xml:space="preserve">
Contains two disks:
- Disk-1: 61GB
- Disk-2: 41GB</t>
        </r>
      </text>
    </comment>
    <comment ref="L56" authorId="0" shapeId="0" xr:uid="{061ED78C-8669-4E95-A66C-CB227C6B4EA2}">
      <text>
        <r>
          <rPr>
            <b/>
            <sz val="9"/>
            <color indexed="81"/>
            <rFont val="Tahoma"/>
            <family val="2"/>
          </rPr>
          <t>jarmylly:</t>
        </r>
        <r>
          <rPr>
            <sz val="9"/>
            <color indexed="81"/>
            <rFont val="Tahoma"/>
            <family val="2"/>
          </rPr>
          <t xml:space="preserve">
Image name:
- NMS_VDA_disk1
- NMS_VDA_disk2
- cdrom_nms</t>
        </r>
      </text>
    </comment>
    <comment ref="H57" authorId="0" shapeId="0" xr:uid="{0C8A62C0-EBB0-419B-A57F-455B50C77361}">
      <text>
        <r>
          <rPr>
            <b/>
            <sz val="9"/>
            <color indexed="81"/>
            <rFont val="Tahoma"/>
            <family val="2"/>
          </rPr>
          <t>jarmylly:</t>
        </r>
        <r>
          <rPr>
            <sz val="9"/>
            <color indexed="81"/>
            <rFont val="Tahoma"/>
            <family val="2"/>
          </rPr>
          <t xml:space="preserve">
Contains two disks:
- Disk-1: 61GB
- Disk-2: 41GB</t>
        </r>
      </text>
    </comment>
    <comment ref="L57" authorId="0" shapeId="0" xr:uid="{8DA1CCDA-DAAE-4F60-BFB6-58A72FDEF1B7}">
      <text>
        <r>
          <rPr>
            <b/>
            <sz val="9"/>
            <color indexed="81"/>
            <rFont val="Tahoma"/>
            <family val="2"/>
          </rPr>
          <t>jarmylly:</t>
        </r>
        <r>
          <rPr>
            <sz val="9"/>
            <color indexed="81"/>
            <rFont val="Tahoma"/>
            <family val="2"/>
          </rPr>
          <t xml:space="preserve">
Image name:
- NMS_VDA_disk1
- NMS_VDA_disk2
- cdrom_nms</t>
        </r>
      </text>
    </comment>
    <comment ref="H58" authorId="0" shapeId="0" xr:uid="{6849BD19-05E7-4C2B-BA02-4FA5F93C77D3}">
      <text>
        <r>
          <rPr>
            <b/>
            <sz val="9"/>
            <color indexed="81"/>
            <rFont val="Tahoma"/>
            <family val="2"/>
          </rPr>
          <t>jarmylly:</t>
        </r>
        <r>
          <rPr>
            <sz val="9"/>
            <color indexed="81"/>
            <rFont val="Tahoma"/>
            <family val="2"/>
          </rPr>
          <t xml:space="preserve">
Contains two disks:
- Disk-1: 61GB
- Disk-2: 41GB</t>
        </r>
      </text>
    </comment>
    <comment ref="L58" authorId="0" shapeId="0" xr:uid="{5EBC9CB6-9A87-455D-9745-EEE8A9411DD3}">
      <text>
        <r>
          <rPr>
            <b/>
            <sz val="9"/>
            <color indexed="81"/>
            <rFont val="Tahoma"/>
            <family val="2"/>
          </rPr>
          <t>jarmylly:</t>
        </r>
        <r>
          <rPr>
            <sz val="9"/>
            <color indexed="81"/>
            <rFont val="Tahoma"/>
            <family val="2"/>
          </rPr>
          <t xml:space="preserve">
Image name:
- NMS_CTXDC_disk1
- NMS_CTXDC_disk2
- cdrom_nms</t>
        </r>
      </text>
    </comment>
    <comment ref="H59" authorId="0" shapeId="0" xr:uid="{F8598E25-A24B-47F2-846F-E17F7C3EF63E}">
      <text>
        <r>
          <rPr>
            <b/>
            <sz val="9"/>
            <color indexed="81"/>
            <rFont val="Tahoma"/>
            <family val="2"/>
          </rPr>
          <t>jarmylly:</t>
        </r>
        <r>
          <rPr>
            <sz val="9"/>
            <color indexed="81"/>
            <rFont val="Tahoma"/>
            <family val="2"/>
          </rPr>
          <t xml:space="preserve">
Contains two disks:
- Disk-1: 61GB
- Disk-2: 41GB</t>
        </r>
      </text>
    </comment>
    <comment ref="L59" authorId="0" shapeId="0" xr:uid="{06273823-060A-405C-A139-01F558B72B9F}">
      <text>
        <r>
          <rPr>
            <b/>
            <sz val="9"/>
            <color indexed="81"/>
            <rFont val="Tahoma"/>
            <family val="2"/>
          </rPr>
          <t>jarmylly:</t>
        </r>
        <r>
          <rPr>
            <sz val="9"/>
            <color indexed="81"/>
            <rFont val="Tahoma"/>
            <family val="2"/>
          </rPr>
          <t xml:space="preserve">
Image name:
- NMS_VDA_disk1
- NMS_VDA_disk2
- cdrom_nms</t>
        </r>
      </text>
    </comment>
    <comment ref="L60" authorId="0" shapeId="0" xr:uid="{481EFDAD-1CB6-4D3A-9685-56AF737E4471}">
      <text>
        <r>
          <rPr>
            <b/>
            <sz val="9"/>
            <color indexed="81"/>
            <rFont val="Tahoma"/>
            <family val="2"/>
          </rPr>
          <t>jarmylly:</t>
        </r>
        <r>
          <rPr>
            <sz val="9"/>
            <color indexed="81"/>
            <rFont val="Tahoma"/>
            <family val="2"/>
          </rPr>
          <t xml:space="preserve">
Image name: netact_rhel_base</t>
        </r>
      </text>
    </comment>
    <comment ref="L61" authorId="0" shapeId="0" xr:uid="{291AB725-542D-4CB0-9671-B0D94EE8779A}">
      <text>
        <r>
          <rPr>
            <b/>
            <sz val="9"/>
            <color indexed="81"/>
            <rFont val="Tahoma"/>
            <family val="2"/>
          </rPr>
          <t>jarmylly:</t>
        </r>
        <r>
          <rPr>
            <sz val="9"/>
            <color indexed="81"/>
            <rFont val="Tahoma"/>
            <family val="2"/>
          </rPr>
          <t xml:space="preserve">
Image name: netact_rhel_base</t>
        </r>
      </text>
    </comment>
    <comment ref="L62" authorId="0" shapeId="0" xr:uid="{8BFED773-F66A-47F2-AE49-F649E1A4CCB4}">
      <text>
        <r>
          <rPr>
            <b/>
            <sz val="9"/>
            <color indexed="81"/>
            <rFont val="Tahoma"/>
            <family val="2"/>
          </rPr>
          <t>jarmylly:</t>
        </r>
        <r>
          <rPr>
            <sz val="9"/>
            <color indexed="81"/>
            <rFont val="Tahoma"/>
            <family val="2"/>
          </rPr>
          <t xml:space="preserve">
Image name: netact_rhel_base</t>
        </r>
      </text>
    </comment>
    <comment ref="L63" authorId="0" shapeId="0" xr:uid="{6CBD9ADC-950F-46C7-9D9F-BD2F5FC459DF}">
      <text>
        <r>
          <rPr>
            <b/>
            <sz val="9"/>
            <color indexed="81"/>
            <rFont val="Tahoma"/>
            <family val="2"/>
          </rPr>
          <t>jarmylly:</t>
        </r>
        <r>
          <rPr>
            <sz val="9"/>
            <color indexed="81"/>
            <rFont val="Tahoma"/>
            <family val="2"/>
          </rPr>
          <t xml:space="preserve">
Image name: netact_rhel_base</t>
        </r>
      </text>
    </comment>
    <comment ref="L64" authorId="0" shapeId="0" xr:uid="{8A6307AF-321C-4C12-812A-0F63E7A5BEEB}">
      <text>
        <r>
          <rPr>
            <b/>
            <sz val="9"/>
            <color indexed="81"/>
            <rFont val="Tahoma"/>
            <family val="2"/>
          </rPr>
          <t>jarmylly:</t>
        </r>
        <r>
          <rPr>
            <sz val="9"/>
            <color indexed="81"/>
            <rFont val="Tahoma"/>
            <family val="2"/>
          </rPr>
          <t xml:space="preserve">
Image name: netact_rhel_base</t>
        </r>
      </text>
    </comment>
    <comment ref="L65" authorId="0" shapeId="0" xr:uid="{869C65E0-0567-433C-89E2-3D488CD19C5E}">
      <text>
        <r>
          <rPr>
            <b/>
            <sz val="9"/>
            <color indexed="81"/>
            <rFont val="Tahoma"/>
            <family val="2"/>
          </rPr>
          <t>jarmylly:</t>
        </r>
        <r>
          <rPr>
            <sz val="9"/>
            <color indexed="81"/>
            <rFont val="Tahoma"/>
            <family val="2"/>
          </rPr>
          <t xml:space="preserve">
Image name: netact_rhel_base</t>
        </r>
      </text>
    </comment>
    <comment ref="L66" authorId="0" shapeId="0" xr:uid="{5E3161A9-1751-4202-967C-97F47A909C7E}">
      <text>
        <r>
          <rPr>
            <b/>
            <sz val="9"/>
            <color indexed="81"/>
            <rFont val="Tahoma"/>
            <family val="2"/>
          </rPr>
          <t>jarmylly:</t>
        </r>
        <r>
          <rPr>
            <sz val="9"/>
            <color indexed="81"/>
            <rFont val="Tahoma"/>
            <family val="2"/>
          </rPr>
          <t xml:space="preserve">
Image name: netact_rhel_base</t>
        </r>
      </text>
    </comment>
    <comment ref="H67" authorId="0" shapeId="0" xr:uid="{1C41D90D-DFF8-430B-B6D8-44F4C1EF5524}">
      <text>
        <r>
          <rPr>
            <b/>
            <sz val="9"/>
            <color indexed="81"/>
            <rFont val="Tahoma"/>
            <family val="2"/>
          </rPr>
          <t>jarmylly:</t>
        </r>
        <r>
          <rPr>
            <sz val="9"/>
            <color indexed="81"/>
            <rFont val="Tahoma"/>
            <family val="2"/>
          </rPr>
          <t xml:space="preserve">
Contains two disks:
- Disk-1: 30,720GB
- Disk-2: 81,920GB</t>
        </r>
      </text>
    </comment>
    <comment ref="L67" authorId="0" shapeId="0" xr:uid="{65EF697E-41B2-4120-A7C5-6E38A91429A5}">
      <text>
        <r>
          <rPr>
            <b/>
            <sz val="9"/>
            <color indexed="81"/>
            <rFont val="Tahoma"/>
            <family val="2"/>
          </rPr>
          <t>jarmylly:</t>
        </r>
        <r>
          <rPr>
            <sz val="9"/>
            <color indexed="81"/>
            <rFont val="Tahoma"/>
            <family val="2"/>
          </rPr>
          <t xml:space="preserve">
Image name: netact_rhel_base</t>
        </r>
      </text>
    </comment>
    <comment ref="H68" authorId="0" shapeId="0" xr:uid="{E90C11F0-A286-401D-A314-D0458309713E}">
      <text>
        <r>
          <rPr>
            <b/>
            <sz val="9"/>
            <color indexed="81"/>
            <rFont val="Tahoma"/>
            <family val="2"/>
          </rPr>
          <t>jarmylly:</t>
        </r>
        <r>
          <rPr>
            <sz val="9"/>
            <color indexed="81"/>
            <rFont val="Tahoma"/>
            <family val="2"/>
          </rPr>
          <t xml:space="preserve">
Contains two disks:
- Disk-1: 30,720GB
- Disk-2: 81,920GB</t>
        </r>
      </text>
    </comment>
    <comment ref="L68" authorId="0" shapeId="0" xr:uid="{7ADDBEEB-C22D-460A-A33A-58ED80DABBC5}">
      <text>
        <r>
          <rPr>
            <b/>
            <sz val="9"/>
            <color indexed="81"/>
            <rFont val="Tahoma"/>
            <family val="2"/>
          </rPr>
          <t>jarmylly:</t>
        </r>
        <r>
          <rPr>
            <sz val="9"/>
            <color indexed="81"/>
            <rFont val="Tahoma"/>
            <family val="2"/>
          </rPr>
          <t xml:space="preserve">
Image name: netact_rhel_base</t>
        </r>
      </text>
    </comment>
    <comment ref="L69" authorId="0" shapeId="0" xr:uid="{6F4EEEBD-BF76-43A8-AD0D-10BB51D79DDD}">
      <text>
        <r>
          <rPr>
            <b/>
            <sz val="9"/>
            <color indexed="81"/>
            <rFont val="Tahoma"/>
            <family val="2"/>
          </rPr>
          <t>jarmylly:</t>
        </r>
        <r>
          <rPr>
            <sz val="9"/>
            <color indexed="81"/>
            <rFont val="Tahoma"/>
            <family val="2"/>
          </rPr>
          <t xml:space="preserve">
Image name: netact_rhel_base</t>
        </r>
      </text>
    </comment>
    <comment ref="L70" authorId="0" shapeId="0" xr:uid="{0E76724D-3704-40BF-B906-56492DA34A71}">
      <text>
        <r>
          <rPr>
            <b/>
            <sz val="9"/>
            <color indexed="81"/>
            <rFont val="Tahoma"/>
            <family val="2"/>
          </rPr>
          <t>jarmylly:</t>
        </r>
        <r>
          <rPr>
            <sz val="9"/>
            <color indexed="81"/>
            <rFont val="Tahoma"/>
            <family val="2"/>
          </rPr>
          <t xml:space="preserve">
Image name: netact_rhel_base</t>
        </r>
      </text>
    </comment>
    <comment ref="L71" authorId="0" shapeId="0" xr:uid="{0C7957F2-0FE2-4C48-BD08-50CFB80E50D5}">
      <text>
        <r>
          <rPr>
            <b/>
            <sz val="9"/>
            <color indexed="81"/>
            <rFont val="Tahoma"/>
            <family val="2"/>
          </rPr>
          <t>jarmylly:</t>
        </r>
        <r>
          <rPr>
            <sz val="9"/>
            <color indexed="81"/>
            <rFont val="Tahoma"/>
            <family val="2"/>
          </rPr>
          <t xml:space="preserve">
Image name: netact_rhel_base</t>
        </r>
      </text>
    </comment>
    <comment ref="L72" authorId="0" shapeId="0" xr:uid="{60418F0E-1847-4758-9940-E135BA3E3C7C}">
      <text>
        <r>
          <rPr>
            <b/>
            <sz val="9"/>
            <color indexed="81"/>
            <rFont val="Tahoma"/>
            <family val="2"/>
          </rPr>
          <t>jarmylly:</t>
        </r>
        <r>
          <rPr>
            <sz val="9"/>
            <color indexed="81"/>
            <rFont val="Tahoma"/>
            <family val="2"/>
          </rPr>
          <t xml:space="preserve">
Image name: netact_rhel_base</t>
        </r>
      </text>
    </comment>
    <comment ref="BI73" authorId="0" shapeId="0" xr:uid="{3706B23E-B5E7-494A-B129-ADE209F33B5B}">
      <text>
        <r>
          <rPr>
            <b/>
            <sz val="9"/>
            <color indexed="81"/>
            <rFont val="Tahoma"/>
            <family val="2"/>
          </rPr>
          <t>jarmylly:</t>
        </r>
        <r>
          <rPr>
            <sz val="9"/>
            <color indexed="81"/>
            <rFont val="Tahoma"/>
            <family val="2"/>
          </rPr>
          <t xml:space="preserve">
IPv4: 3
IPv4/IPv6: 5</t>
        </r>
      </text>
    </comment>
    <comment ref="L77" authorId="0" shapeId="0" xr:uid="{C47E5287-23A8-49E6-A1AA-5F59C3D9683C}">
      <text>
        <r>
          <rPr>
            <b/>
            <sz val="9"/>
            <color indexed="81"/>
            <rFont val="Tahoma"/>
            <family val="2"/>
          </rPr>
          <t>jarmylly:</t>
        </r>
        <r>
          <rPr>
            <sz val="9"/>
            <color indexed="81"/>
            <rFont val="Tahoma"/>
            <family val="2"/>
          </rPr>
          <t xml:space="preserve">
Image name: netact_rhel_base</t>
        </r>
      </text>
    </comment>
    <comment ref="L78" authorId="0" shapeId="0" xr:uid="{2C8A87E7-B24F-483D-A391-F013A919DCD3}">
      <text>
        <r>
          <rPr>
            <b/>
            <sz val="9"/>
            <color indexed="81"/>
            <rFont val="Tahoma"/>
            <family val="2"/>
          </rPr>
          <t>jarmylly:</t>
        </r>
        <r>
          <rPr>
            <sz val="9"/>
            <color indexed="81"/>
            <rFont val="Tahoma"/>
            <family val="2"/>
          </rPr>
          <t xml:space="preserve">
Image name: netact_rhel_base</t>
        </r>
      </text>
    </comment>
    <comment ref="L79" authorId="0" shapeId="0" xr:uid="{46612810-3B8C-4C89-A209-BDF227BF3B03}">
      <text>
        <r>
          <rPr>
            <b/>
            <sz val="9"/>
            <color indexed="81"/>
            <rFont val="Tahoma"/>
            <family val="2"/>
          </rPr>
          <t>jarmylly:</t>
        </r>
        <r>
          <rPr>
            <sz val="9"/>
            <color indexed="81"/>
            <rFont val="Tahoma"/>
            <family val="2"/>
          </rPr>
          <t xml:space="preserve">
Image name: netact_rhel_base</t>
        </r>
      </text>
    </comment>
    <comment ref="L80" authorId="0" shapeId="0" xr:uid="{2259B455-C052-4015-8CBD-D82C9B95FEA5}">
      <text>
        <r>
          <rPr>
            <b/>
            <sz val="9"/>
            <color indexed="81"/>
            <rFont val="Tahoma"/>
            <family val="2"/>
          </rPr>
          <t>jarmylly:</t>
        </r>
        <r>
          <rPr>
            <sz val="9"/>
            <color indexed="81"/>
            <rFont val="Tahoma"/>
            <family val="2"/>
          </rPr>
          <t xml:space="preserve">
Image name: netact_rhel_base</t>
        </r>
      </text>
    </comment>
    <comment ref="L81" authorId="0" shapeId="0" xr:uid="{D5A469BD-E0E6-4F7F-A509-1BF51A8AA4C6}">
      <text>
        <r>
          <rPr>
            <b/>
            <sz val="9"/>
            <color indexed="81"/>
            <rFont val="Tahoma"/>
            <family val="2"/>
          </rPr>
          <t>jarmylly:</t>
        </r>
        <r>
          <rPr>
            <sz val="9"/>
            <color indexed="81"/>
            <rFont val="Tahoma"/>
            <family val="2"/>
          </rPr>
          <t xml:space="preserve">
Image name: netact_rhel_base</t>
        </r>
      </text>
    </comment>
    <comment ref="L82" authorId="0" shapeId="0" xr:uid="{8EECA215-6E38-42B2-AFA4-4077F057213F}">
      <text>
        <r>
          <rPr>
            <b/>
            <sz val="9"/>
            <color indexed="81"/>
            <rFont val="Tahoma"/>
            <family val="2"/>
          </rPr>
          <t>jarmylly:</t>
        </r>
        <r>
          <rPr>
            <sz val="9"/>
            <color indexed="81"/>
            <rFont val="Tahoma"/>
            <family val="2"/>
          </rPr>
          <t xml:space="preserve">
Image name: netact_rhel_base</t>
        </r>
      </text>
    </comment>
    <comment ref="D83" authorId="0" shapeId="0" xr:uid="{18369335-AFA2-41CE-8B1D-70BAC74AD92E}">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D84" authorId="0" shapeId="0" xr:uid="{A035E5F5-3087-461F-A4AD-C9D8A5C16CB4}">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BI85" authorId="0" shapeId="0" xr:uid="{BF51D758-558E-4DEB-9EBA-23A58252DB7E}">
      <text>
        <r>
          <rPr>
            <b/>
            <sz val="9"/>
            <color indexed="81"/>
            <rFont val="Tahoma"/>
            <family val="2"/>
          </rPr>
          <t>jarmylly:</t>
        </r>
        <r>
          <rPr>
            <sz val="9"/>
            <color indexed="81"/>
            <rFont val="Tahoma"/>
            <family val="2"/>
          </rPr>
          <t xml:space="preserve">
IPv4: 3
IPv4/IPv6: 5</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jarmylly</author>
    <author>Rastogi, Alok (Nokia - IN/Bangalore)</author>
    <author>Jari Myllymaa</author>
    <author>Thippeswamy, Suresh (Nokia - IN/Bangalore)</author>
  </authors>
  <commentList>
    <comment ref="L10" authorId="0" shapeId="0" xr:uid="{FBE412F7-69B8-4492-9235-BFD67F1EE86E}">
      <text>
        <r>
          <rPr>
            <b/>
            <sz val="9"/>
            <color indexed="81"/>
            <rFont val="Tahoma"/>
            <family val="2"/>
          </rPr>
          <t xml:space="preserve">vishek:
</t>
        </r>
        <r>
          <rPr>
            <sz val="9"/>
            <color indexed="81"/>
            <rFont val="Tahoma"/>
            <family val="2"/>
          </rPr>
          <t>Contains one disk:
- DB_redo: 4,71,040MB</t>
        </r>
      </text>
    </comment>
    <comment ref="N10" authorId="0" shapeId="0" xr:uid="{C83F4982-199F-4248-BF1F-35D6C0D6861E}">
      <text>
        <r>
          <rPr>
            <b/>
            <sz val="9"/>
            <color indexed="81"/>
            <rFont val="Tahoma"/>
            <family val="2"/>
          </rPr>
          <t>jarmylly:</t>
        </r>
        <r>
          <rPr>
            <sz val="9"/>
            <color indexed="81"/>
            <rFont val="Tahoma"/>
            <family val="2"/>
          </rPr>
          <t xml:space="preserve">
Contains one disk: 
- DB_data: 8294,40GB</t>
        </r>
      </text>
    </comment>
    <comment ref="P10" authorId="0" shapeId="0" xr:uid="{880FCD3D-2C85-4C04-A656-9BED42D9FF11}">
      <text>
        <r>
          <rPr>
            <b/>
            <sz val="9"/>
            <color indexed="81"/>
            <rFont val="Tahoma"/>
            <family val="2"/>
          </rPr>
          <t>jarmylly:</t>
        </r>
        <r>
          <rPr>
            <sz val="9"/>
            <color indexed="81"/>
            <rFont val="Tahoma"/>
            <family val="2"/>
          </rPr>
          <t xml:space="preserve">
Contains one disk: 
- DB_arc: 12441,60GB</t>
        </r>
      </text>
    </comment>
    <comment ref="X10" authorId="0" shapeId="0" xr:uid="{87306D35-A622-4564-ADEB-96A1A2231CD7}">
      <text>
        <r>
          <rPr>
            <b/>
            <sz val="9"/>
            <color indexed="81"/>
            <rFont val="Tahoma"/>
            <family val="2"/>
          </rPr>
          <t>jarmylly:</t>
        </r>
        <r>
          <rPr>
            <sz val="9"/>
            <color indexed="81"/>
            <rFont val="Tahoma"/>
            <family val="2"/>
          </rPr>
          <t xml:space="preserve">
Contains one disk:
- DB_backup: 28160GB</t>
        </r>
      </text>
    </comment>
    <comment ref="R11" authorId="0" shapeId="0" xr:uid="{17BC5627-8910-418C-906E-69E2BA04F2DC}">
      <text>
        <r>
          <rPr>
            <b/>
            <sz val="9"/>
            <color indexed="81"/>
            <rFont val="Tahoma"/>
            <family val="2"/>
          </rPr>
          <t>jarmylly:</t>
        </r>
        <r>
          <rPr>
            <sz val="9"/>
            <color indexed="81"/>
            <rFont val="Tahoma"/>
            <family val="2"/>
          </rPr>
          <t xml:space="preserve">
Contains three disks:
- NFS_global: 646110 MB
- NFS_home: 50200 MB
- NFS WAS dump: 87040 MB</t>
        </r>
      </text>
    </comment>
    <comment ref="T11" authorId="0" shapeId="0" xr:uid="{1BF4B98A-C583-4708-9639-32CD1791DF3A}">
      <text>
        <r>
          <rPr>
            <b/>
            <sz val="9"/>
            <color indexed="81"/>
            <rFont val="Tahoma"/>
            <family val="2"/>
          </rPr>
          <t>jarmylly:</t>
        </r>
        <r>
          <rPr>
            <sz val="9"/>
            <color indexed="81"/>
            <rFont val="Tahoma"/>
            <family val="2"/>
          </rPr>
          <t xml:space="preserve">
Reserved for customer own data.</t>
        </r>
      </text>
    </comment>
    <comment ref="X11" authorId="0" shapeId="0" xr:uid="{5975AC17-3768-488F-A088-9E892021E0D9}">
      <text>
        <r>
          <rPr>
            <b/>
            <sz val="9"/>
            <color indexed="81"/>
            <rFont val="Tahoma"/>
            <family val="2"/>
          </rPr>
          <t>jarmylly:</t>
        </r>
        <r>
          <rPr>
            <sz val="9"/>
            <color indexed="81"/>
            <rFont val="Tahoma"/>
            <family val="2"/>
          </rPr>
          <t xml:space="preserve">
Contains one disk:
- NFS_backup: 460,6GB</t>
        </r>
      </text>
    </comment>
    <comment ref="I18" authorId="1" shapeId="0" xr:uid="{E9EF8936-3DEC-47CC-AAD1-2BED65B17C02}">
      <text>
        <r>
          <rPr>
            <b/>
            <sz val="9"/>
            <color indexed="81"/>
            <rFont val="Tahoma"/>
            <family val="2"/>
          </rPr>
          <t>Rastogi, Alok (Nokia - IN/Bangalore):</t>
        </r>
        <r>
          <rPr>
            <sz val="9"/>
            <color indexed="81"/>
            <rFont val="Tahoma"/>
            <family val="2"/>
          </rPr>
          <t xml:space="preserve">
Disk2:50GB VMGuestDisk3</t>
        </r>
      </text>
    </comment>
    <comment ref="I34" authorId="0" shapeId="0" xr:uid="{6257AE63-337E-4608-A4D1-D1430A63551F}">
      <text>
        <r>
          <rPr>
            <b/>
            <sz val="9"/>
            <color indexed="81"/>
            <rFont val="Tahoma"/>
            <family val="2"/>
          </rPr>
          <t>jarmylly:</t>
        </r>
        <r>
          <rPr>
            <sz val="9"/>
            <color indexed="81"/>
            <rFont val="Tahoma"/>
            <family val="2"/>
          </rPr>
          <t xml:space="preserve">
Contains two disks:
- Disk-1: 60GB
- Disk-2: 40GB</t>
        </r>
      </text>
    </comment>
    <comment ref="I35" authorId="0" shapeId="0" xr:uid="{B956DDA1-AE21-4291-97D2-2D990A1E04C9}">
      <text>
        <r>
          <rPr>
            <b/>
            <sz val="9"/>
            <color indexed="81"/>
            <rFont val="Tahoma"/>
            <family val="2"/>
          </rPr>
          <t>jarmylly:</t>
        </r>
        <r>
          <rPr>
            <sz val="9"/>
            <color indexed="81"/>
            <rFont val="Tahoma"/>
            <family val="2"/>
          </rPr>
          <t xml:space="preserve">
Contains two disks:
- Disk-1: 60GB
- Disk-2: 50GB</t>
        </r>
      </text>
    </comment>
    <comment ref="I36" authorId="0" shapeId="0" xr:uid="{DF05CC94-B0D2-4065-9ED1-D042BB23D4A1}">
      <text>
        <r>
          <rPr>
            <b/>
            <sz val="9"/>
            <color indexed="81"/>
            <rFont val="Tahoma"/>
            <family val="2"/>
          </rPr>
          <t>jarmylly:</t>
        </r>
        <r>
          <rPr>
            <sz val="9"/>
            <color indexed="81"/>
            <rFont val="Tahoma"/>
            <family val="2"/>
          </rPr>
          <t xml:space="preserve">
Contains two disks:
- Disk-1: 60GB
- Disk-2: 40GB</t>
        </r>
      </text>
    </comment>
    <comment ref="Z37" authorId="0" shapeId="0" xr:uid="{346F11AB-5D89-4376-A0D5-3181F985BC41}">
      <text>
        <r>
          <rPr>
            <b/>
            <sz val="9"/>
            <color indexed="81"/>
            <rFont val="Tahoma"/>
            <family val="2"/>
          </rPr>
          <t>jarmylly:</t>
        </r>
        <r>
          <rPr>
            <sz val="9"/>
            <color indexed="81"/>
            <rFont val="Tahoma"/>
            <family val="2"/>
          </rPr>
          <t xml:space="preserve">
Contains one disk:
- vm66_REP_disk: 46,08GB
</t>
        </r>
      </text>
    </comment>
    <comment ref="AA37" authorId="2" shapeId="0" xr:uid="{9C9A7B78-BB65-4D1E-9721-C2E407FF62A8}">
      <text>
        <r>
          <rPr>
            <b/>
            <sz val="9"/>
            <color indexed="81"/>
            <rFont val="Calibri"/>
            <family val="2"/>
          </rPr>
          <t>Jari Myllymaa:</t>
        </r>
        <r>
          <rPr>
            <sz val="9"/>
            <color indexed="81"/>
            <rFont val="Calibri"/>
            <family val="2"/>
          </rPr>
          <t xml:space="preserve">
PMDatastore can extend 50GB</t>
        </r>
      </text>
    </comment>
    <comment ref="Z38" authorId="0" shapeId="0" xr:uid="{D8641DD2-049D-4BF5-903E-E9AFBD3725E1}">
      <text>
        <r>
          <rPr>
            <b/>
            <sz val="9"/>
            <color indexed="81"/>
            <rFont val="Tahoma"/>
            <family val="2"/>
          </rPr>
          <t>jarmylly:</t>
        </r>
        <r>
          <rPr>
            <sz val="9"/>
            <color indexed="81"/>
            <rFont val="Tahoma"/>
            <family val="2"/>
          </rPr>
          <t xml:space="preserve">
Contains one disk:
- vm67_REP_disk: 46,08GB</t>
        </r>
      </text>
    </comment>
    <comment ref="Z39" authorId="0" shapeId="0" xr:uid="{813F6E62-4D04-45B3-B14A-6E1E6810CC3B}">
      <text>
        <r>
          <rPr>
            <b/>
            <sz val="9"/>
            <color indexed="81"/>
            <rFont val="Tahoma"/>
            <family val="2"/>
          </rPr>
          <t>jarmylly:</t>
        </r>
        <r>
          <rPr>
            <sz val="9"/>
            <color indexed="81"/>
            <rFont val="Tahoma"/>
            <family val="2"/>
          </rPr>
          <t xml:space="preserve">
Contains one disk:
- vm68_REP_disk: 46,08GB</t>
        </r>
      </text>
    </comment>
    <comment ref="Z40" authorId="0" shapeId="0" xr:uid="{F4B6D1A6-7A78-4E0B-B6F4-E55DC744D88B}">
      <text>
        <r>
          <rPr>
            <b/>
            <sz val="9"/>
            <color indexed="81"/>
            <rFont val="Tahoma"/>
            <family val="2"/>
          </rPr>
          <t>jarmylly:</t>
        </r>
        <r>
          <rPr>
            <sz val="9"/>
            <color indexed="81"/>
            <rFont val="Tahoma"/>
            <family val="2"/>
          </rPr>
          <t xml:space="preserve">
Contains one disk:
- vm69_REP_disk: 46,08GB</t>
        </r>
      </text>
    </comment>
    <comment ref="I49" authorId="0" shapeId="0" xr:uid="{467B3B33-74F6-408B-B036-2BAC9EC4D090}">
      <text>
        <r>
          <rPr>
            <b/>
            <sz val="9"/>
            <color indexed="81"/>
            <rFont val="Tahoma"/>
            <family val="2"/>
          </rPr>
          <t>jarmylly:</t>
        </r>
        <r>
          <rPr>
            <sz val="9"/>
            <color indexed="81"/>
            <rFont val="Tahoma"/>
            <family val="2"/>
          </rPr>
          <t xml:space="preserve">
Contains two disks:
- Disk-1: 60GB
- Disk-2: 40GB</t>
        </r>
      </text>
    </comment>
    <comment ref="I50" authorId="0" shapeId="0" xr:uid="{26F89349-9E0E-4833-ACBF-771D6652FD2B}">
      <text>
        <r>
          <rPr>
            <b/>
            <sz val="9"/>
            <color indexed="81"/>
            <rFont val="Tahoma"/>
            <family val="2"/>
          </rPr>
          <t>jarmylly:</t>
        </r>
        <r>
          <rPr>
            <sz val="9"/>
            <color indexed="81"/>
            <rFont val="Tahoma"/>
            <family val="2"/>
          </rPr>
          <t xml:space="preserve">
Contains two disks:
- Disk-1: 60GB
- Disk-2: 40GB</t>
        </r>
      </text>
    </comment>
    <comment ref="I51" authorId="0" shapeId="0" xr:uid="{6C35F63E-287E-4447-94A1-93D26CE7F374}">
      <text>
        <r>
          <rPr>
            <b/>
            <sz val="9"/>
            <color indexed="81"/>
            <rFont val="Tahoma"/>
            <family val="2"/>
          </rPr>
          <t>jarmylly:</t>
        </r>
        <r>
          <rPr>
            <sz val="9"/>
            <color indexed="81"/>
            <rFont val="Tahoma"/>
            <family val="2"/>
          </rPr>
          <t xml:space="preserve">
Contains two disks:
- Disk-1: 60GB
- Disk-2: 40GB</t>
        </r>
      </text>
    </comment>
    <comment ref="I52" authorId="0" shapeId="0" xr:uid="{C4CC3397-3B4C-4151-94FC-229B6B54104F}">
      <text>
        <r>
          <rPr>
            <b/>
            <sz val="9"/>
            <color indexed="81"/>
            <rFont val="Tahoma"/>
            <family val="2"/>
          </rPr>
          <t>jarmylly:</t>
        </r>
        <r>
          <rPr>
            <sz val="9"/>
            <color indexed="81"/>
            <rFont val="Tahoma"/>
            <family val="2"/>
          </rPr>
          <t xml:space="preserve">
Contains two disks:
- Disk-1: 60GB
- Disk-2: 40GB</t>
        </r>
      </text>
    </comment>
    <comment ref="I53" authorId="0" shapeId="0" xr:uid="{3963745C-A866-4226-828F-3556CB2CD024}">
      <text>
        <r>
          <rPr>
            <b/>
            <sz val="9"/>
            <color indexed="81"/>
            <rFont val="Tahoma"/>
            <family val="2"/>
          </rPr>
          <t>jarmylly:</t>
        </r>
        <r>
          <rPr>
            <sz val="9"/>
            <color indexed="81"/>
            <rFont val="Tahoma"/>
            <family val="2"/>
          </rPr>
          <t xml:space="preserve">
Contains two disks:
- Disk-1: 60GB
- Disk-2: 40GB</t>
        </r>
      </text>
    </comment>
    <comment ref="I54" authorId="0" shapeId="0" xr:uid="{1998A391-613F-4674-B594-DA58A3982116}">
      <text>
        <r>
          <rPr>
            <b/>
            <sz val="9"/>
            <color indexed="81"/>
            <rFont val="Tahoma"/>
            <family val="2"/>
          </rPr>
          <t>jarmylly:</t>
        </r>
        <r>
          <rPr>
            <sz val="9"/>
            <color indexed="81"/>
            <rFont val="Tahoma"/>
            <family val="2"/>
          </rPr>
          <t xml:space="preserve">
Contains two disks:
- Disk-1: 60GB
- Disk-2: 40GB</t>
        </r>
      </text>
    </comment>
    <comment ref="I55" authorId="0" shapeId="0" xr:uid="{C5A36311-F897-4007-A18D-568EC7E6DE3F}">
      <text>
        <r>
          <rPr>
            <b/>
            <sz val="9"/>
            <color indexed="81"/>
            <rFont val="Tahoma"/>
            <family val="2"/>
          </rPr>
          <t>jarmylly:</t>
        </r>
        <r>
          <rPr>
            <sz val="9"/>
            <color indexed="81"/>
            <rFont val="Tahoma"/>
            <family val="2"/>
          </rPr>
          <t xml:space="preserve">
Contains two disks:
- Disk-1: 60GB
- Disk-2: 40GB</t>
        </r>
      </text>
    </comment>
    <comment ref="I56" authorId="0" shapeId="0" xr:uid="{D7E1DC1B-3B35-45A3-A2F2-9DAB974C5175}">
      <text>
        <r>
          <rPr>
            <b/>
            <sz val="9"/>
            <color indexed="81"/>
            <rFont val="Tahoma"/>
            <family val="2"/>
          </rPr>
          <t>jarmylly:</t>
        </r>
        <r>
          <rPr>
            <sz val="9"/>
            <color indexed="81"/>
            <rFont val="Tahoma"/>
            <family val="2"/>
          </rPr>
          <t xml:space="preserve">
Contains two disks:
- Disk-1: 60GB
- Disk-2: 40GB</t>
        </r>
      </text>
    </comment>
    <comment ref="I57" authorId="0" shapeId="0" xr:uid="{2320C428-487A-4710-A0A4-8B3B44E7790E}">
      <text>
        <r>
          <rPr>
            <b/>
            <sz val="9"/>
            <color indexed="81"/>
            <rFont val="Tahoma"/>
            <family val="2"/>
          </rPr>
          <t>jarmylly:</t>
        </r>
        <r>
          <rPr>
            <sz val="9"/>
            <color indexed="81"/>
            <rFont val="Tahoma"/>
            <family val="2"/>
          </rPr>
          <t xml:space="preserve">
Contains two disks:
- Disk-1: 60GB
- Disk-2: 40GB</t>
        </r>
      </text>
    </comment>
    <comment ref="I58" authorId="0" shapeId="0" xr:uid="{A331C62E-6831-4E5B-B9CA-A1A0E8A0D6E6}">
      <text>
        <r>
          <rPr>
            <b/>
            <sz val="9"/>
            <color indexed="81"/>
            <rFont val="Tahoma"/>
            <family val="2"/>
          </rPr>
          <t>jarmylly:</t>
        </r>
        <r>
          <rPr>
            <sz val="9"/>
            <color indexed="81"/>
            <rFont val="Tahoma"/>
            <family val="2"/>
          </rPr>
          <t xml:space="preserve">
Contains two disks:
- Disk-1: 60GB
- Disk-2: 40GB</t>
        </r>
      </text>
    </comment>
    <comment ref="I66" authorId="0" shapeId="0" xr:uid="{8E66889B-0159-441C-93F8-1B4A2C2CF12D}">
      <text>
        <r>
          <rPr>
            <b/>
            <sz val="9"/>
            <color indexed="81"/>
            <rFont val="Tahoma"/>
            <family val="2"/>
          </rPr>
          <t>jarmylly:</t>
        </r>
        <r>
          <rPr>
            <sz val="9"/>
            <color indexed="81"/>
            <rFont val="Tahoma"/>
            <family val="2"/>
          </rPr>
          <t xml:space="preserve">
Contains two disks:
- Disk-1: 30GB
- Disk-2: 80GB</t>
        </r>
      </text>
    </comment>
    <comment ref="I67" authorId="0" shapeId="0" xr:uid="{008663AD-2DDC-40DC-9410-36F99426BF5E}">
      <text>
        <r>
          <rPr>
            <b/>
            <sz val="9"/>
            <color indexed="81"/>
            <rFont val="Tahoma"/>
            <family val="2"/>
          </rPr>
          <t>jarmylly:</t>
        </r>
        <r>
          <rPr>
            <sz val="9"/>
            <color indexed="81"/>
            <rFont val="Tahoma"/>
            <family val="2"/>
          </rPr>
          <t xml:space="preserve">
Contains two disks:
- Disk-1: 30GB
- Disk-2: 80GB</t>
        </r>
      </text>
    </comment>
    <comment ref="I72" authorId="3" shapeId="0" xr:uid="{3B95884B-25E1-45FA-94BA-18D67AD5BF00}">
      <text>
        <r>
          <rPr>
            <b/>
            <sz val="9"/>
            <color indexed="81"/>
            <rFont val="Tahoma"/>
            <family val="2"/>
          </rPr>
          <t>Thippeswamy, Suresh (Nokia - IN/Bangalore):</t>
        </r>
        <r>
          <rPr>
            <sz val="9"/>
            <color indexed="81"/>
            <rFont val="Tahoma"/>
            <family val="2"/>
          </rPr>
          <t xml:space="preserve">
OS disk: 50GB
Data Disk:2048GB</t>
        </r>
      </text>
    </comment>
    <comment ref="E83" authorId="0" shapeId="0" xr:uid="{0996BAC8-3CC1-4361-B0B8-2AF2B5FBC089}">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 ref="E84" authorId="0" shapeId="0" xr:uid="{8CF33BAD-5B8E-4A62-B216-9B106ED92817}">
      <text>
        <r>
          <rPr>
            <b/>
            <sz val="9"/>
            <color indexed="81"/>
            <rFont val="Tahoma"/>
            <family val="2"/>
          </rPr>
          <t>jarmylly:</t>
        </r>
        <r>
          <rPr>
            <sz val="9"/>
            <color indexed="81"/>
            <rFont val="Tahoma"/>
            <family val="2"/>
          </rPr>
          <t xml:space="preserve">
- SBTS Adapter and BTSMED should not co-locate in same cluster i.e. SBTS Adapter and BTSMED VM usage together is not possible.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jarmylly</author>
    <author>Rastogi, Alok (Nokia - IN/Bangalore)</author>
    <author>tc={27870D9C-D8E7-4DCA-8987-05B5D8580070}</author>
    <author>Thippeswamy, Suresh (Nokia - IN/Bangalore)</author>
  </authors>
  <commentList>
    <comment ref="K7" authorId="0" shapeId="0" xr:uid="{1E5A029E-4E0C-4097-8332-B7972CA26F43}">
      <text>
        <r>
          <rPr>
            <b/>
            <sz val="9"/>
            <color indexed="81"/>
            <rFont val="Tahoma"/>
            <family val="2"/>
          </rPr>
          <t>jarmylly:</t>
        </r>
        <r>
          <rPr>
            <sz val="9"/>
            <color indexed="81"/>
            <rFont val="Tahoma"/>
            <family val="2"/>
          </rPr>
          <t xml:space="preserve">
Only if Airframe Hardware used</t>
        </r>
      </text>
    </comment>
    <comment ref="O7" authorId="0" shapeId="0" xr:uid="{22ABF00B-E532-4AD8-B04B-F3F6394E9A47}">
      <text>
        <r>
          <rPr>
            <b/>
            <sz val="9"/>
            <color indexed="81"/>
            <rFont val="Tahoma"/>
            <family val="2"/>
          </rPr>
          <t>jarmylly:</t>
        </r>
        <r>
          <rPr>
            <sz val="9"/>
            <color indexed="81"/>
            <rFont val="Tahoma"/>
            <family val="2"/>
          </rPr>
          <t xml:space="preserve">
Only if Airframe Hardware used</t>
        </r>
      </text>
    </comment>
    <comment ref="S7" authorId="0" shapeId="0" xr:uid="{72FB54CD-AA4F-4C3F-9699-AC6C4BB16B12}">
      <text>
        <r>
          <rPr>
            <b/>
            <sz val="9"/>
            <color indexed="81"/>
            <rFont val="Tahoma"/>
            <family val="2"/>
          </rPr>
          <t>jarmylly:</t>
        </r>
        <r>
          <rPr>
            <sz val="9"/>
            <color indexed="81"/>
            <rFont val="Tahoma"/>
            <family val="2"/>
          </rPr>
          <t xml:space="preserve">
Only if Airframe Hardware used</t>
        </r>
      </text>
    </comment>
    <comment ref="W7" authorId="0" shapeId="0" xr:uid="{FC56B4AC-C878-4E52-B64E-C111020E87FF}">
      <text>
        <r>
          <rPr>
            <b/>
            <sz val="9"/>
            <color indexed="81"/>
            <rFont val="Tahoma"/>
            <family val="2"/>
          </rPr>
          <t>jarmylly:</t>
        </r>
        <r>
          <rPr>
            <sz val="9"/>
            <color indexed="81"/>
            <rFont val="Tahoma"/>
            <family val="2"/>
          </rPr>
          <t xml:space="preserve">
Only if Airframe Hardware used</t>
        </r>
      </text>
    </comment>
    <comment ref="AA7" authorId="0" shapeId="0" xr:uid="{EFC02820-9CB7-4914-AE76-10154A5CE440}">
      <text>
        <r>
          <rPr>
            <b/>
            <sz val="9"/>
            <color indexed="81"/>
            <rFont val="Tahoma"/>
            <family val="2"/>
          </rPr>
          <t>jarmylly:</t>
        </r>
        <r>
          <rPr>
            <sz val="9"/>
            <color indexed="81"/>
            <rFont val="Tahoma"/>
            <family val="2"/>
          </rPr>
          <t xml:space="preserve">
Only if Airframe Hardware used</t>
        </r>
      </text>
    </comment>
    <comment ref="AE7" authorId="0" shapeId="0" xr:uid="{F07524BF-3CB0-4463-893D-5484DD710733}">
      <text>
        <r>
          <rPr>
            <b/>
            <sz val="9"/>
            <color indexed="81"/>
            <rFont val="Tahoma"/>
            <family val="2"/>
          </rPr>
          <t>jarmylly:</t>
        </r>
        <r>
          <rPr>
            <sz val="9"/>
            <color indexed="81"/>
            <rFont val="Tahoma"/>
            <family val="2"/>
          </rPr>
          <t xml:space="preserve">
Only if Airframe Hardware used</t>
        </r>
      </text>
    </comment>
    <comment ref="AI7" authorId="0" shapeId="0" xr:uid="{DD736AFA-CC17-4250-BB7C-3E68C3F23998}">
      <text>
        <r>
          <rPr>
            <b/>
            <sz val="9"/>
            <color indexed="81"/>
            <rFont val="Tahoma"/>
            <family val="2"/>
          </rPr>
          <t>jarmylly:</t>
        </r>
        <r>
          <rPr>
            <sz val="9"/>
            <color indexed="81"/>
            <rFont val="Tahoma"/>
            <family val="2"/>
          </rPr>
          <t xml:space="preserve">
Only if Airframe Hardware used</t>
        </r>
      </text>
    </comment>
    <comment ref="AM7" authorId="0" shapeId="0" xr:uid="{8B516B17-A9FF-4BCF-A66C-7188AE6D865E}">
      <text>
        <r>
          <rPr>
            <b/>
            <sz val="9"/>
            <color indexed="81"/>
            <rFont val="Tahoma"/>
            <family val="2"/>
          </rPr>
          <t>jarmylly:</t>
        </r>
        <r>
          <rPr>
            <sz val="9"/>
            <color indexed="81"/>
            <rFont val="Tahoma"/>
            <family val="2"/>
          </rPr>
          <t xml:space="preserve">
Only if Airframe Hardware used</t>
        </r>
      </text>
    </comment>
    <comment ref="AQ7" authorId="0" shapeId="0" xr:uid="{3FF3BDFC-95DE-4EB4-B90C-3C03ACCC7823}">
      <text>
        <r>
          <rPr>
            <b/>
            <sz val="9"/>
            <color indexed="81"/>
            <rFont val="Tahoma"/>
            <family val="2"/>
          </rPr>
          <t>jarmylly:</t>
        </r>
        <r>
          <rPr>
            <sz val="9"/>
            <color indexed="81"/>
            <rFont val="Tahoma"/>
            <family val="2"/>
          </rPr>
          <t xml:space="preserve">
Only if Airframe Hardware used</t>
        </r>
      </text>
    </comment>
    <comment ref="AU7" authorId="0" shapeId="0" xr:uid="{BE5BE4D1-343F-4353-9455-3B90C28B05E2}">
      <text>
        <r>
          <rPr>
            <b/>
            <sz val="9"/>
            <color indexed="81"/>
            <rFont val="Tahoma"/>
            <family val="2"/>
          </rPr>
          <t>jarmylly:</t>
        </r>
        <r>
          <rPr>
            <sz val="9"/>
            <color indexed="81"/>
            <rFont val="Tahoma"/>
            <family val="2"/>
          </rPr>
          <t xml:space="preserve">
Only if Airframe Hardware used</t>
        </r>
      </text>
    </comment>
    <comment ref="L8" authorId="0" shapeId="0" xr:uid="{88C7F192-7717-48CC-B576-9D88CF1BA791}">
      <text>
        <r>
          <rPr>
            <b/>
            <sz val="9"/>
            <color indexed="81"/>
            <rFont val="Tahoma"/>
            <family val="2"/>
          </rPr>
          <t>jarmylly:</t>
        </r>
        <r>
          <rPr>
            <sz val="9"/>
            <color indexed="81"/>
            <rFont val="Tahoma"/>
            <family val="2"/>
          </rPr>
          <t xml:space="preserve">
Images name: rhel7_insteng</t>
        </r>
      </text>
    </comment>
    <comment ref="L9" authorId="0" shapeId="0" xr:uid="{0718DBCE-3186-4F05-90C3-D5E3F606F929}">
      <text>
        <r>
          <rPr>
            <b/>
            <sz val="9"/>
            <color indexed="81"/>
            <rFont val="Tahoma"/>
            <family val="2"/>
          </rPr>
          <t>jarmylly:</t>
        </r>
        <r>
          <rPr>
            <sz val="9"/>
            <color indexed="81"/>
            <rFont val="Tahoma"/>
            <family val="2"/>
          </rPr>
          <t xml:space="preserve">
Image name: administration_server</t>
        </r>
      </text>
    </comment>
    <comment ref="L10" authorId="0" shapeId="0" xr:uid="{5BDDA443-C1B7-4679-AF5E-7D92DC3FD8A8}">
      <text>
        <r>
          <rPr>
            <b/>
            <sz val="9"/>
            <color indexed="81"/>
            <rFont val="Tahoma"/>
            <family val="2"/>
          </rPr>
          <t>jarmylly:</t>
        </r>
        <r>
          <rPr>
            <sz val="9"/>
            <color indexed="81"/>
            <rFont val="Tahoma"/>
            <family val="2"/>
          </rPr>
          <t xml:space="preserve">
Image name: netact_rhel_base</t>
        </r>
      </text>
    </comment>
    <comment ref="L11" authorId="0" shapeId="0" xr:uid="{F2BBAB35-1386-49B7-B628-71EBA55333B2}">
      <text>
        <r>
          <rPr>
            <b/>
            <sz val="9"/>
            <color indexed="81"/>
            <rFont val="Tahoma"/>
            <family val="2"/>
          </rPr>
          <t>jarmylly:</t>
        </r>
        <r>
          <rPr>
            <sz val="9"/>
            <color indexed="81"/>
            <rFont val="Tahoma"/>
            <family val="2"/>
          </rPr>
          <t xml:space="preserve">
Image name: netact_rhel_base</t>
        </r>
      </text>
    </comment>
    <comment ref="P11" authorId="0" shapeId="0" xr:uid="{5C0FB19D-B25C-4700-AC0F-28C0C9A12B26}">
      <text>
        <r>
          <rPr>
            <b/>
            <sz val="9"/>
            <color indexed="81"/>
            <rFont val="Tahoma"/>
            <family val="2"/>
          </rPr>
          <t>jarmylly:</t>
        </r>
        <r>
          <rPr>
            <sz val="9"/>
            <color indexed="81"/>
            <rFont val="Tahoma"/>
            <family val="2"/>
          </rPr>
          <t xml:space="preserve">
Image name: vgredo</t>
        </r>
      </text>
    </comment>
    <comment ref="T11" authorId="0" shapeId="0" xr:uid="{1893F509-EDCC-431A-8E1A-66394892D040}">
      <text>
        <r>
          <rPr>
            <b/>
            <sz val="9"/>
            <color indexed="81"/>
            <rFont val="Tahoma"/>
            <family val="2"/>
          </rPr>
          <t>jarmylly:</t>
        </r>
        <r>
          <rPr>
            <sz val="9"/>
            <color indexed="81"/>
            <rFont val="Tahoma"/>
            <family val="2"/>
          </rPr>
          <t xml:space="preserve">
Image name: vgdb</t>
        </r>
      </text>
    </comment>
    <comment ref="X11" authorId="0" shapeId="0" xr:uid="{52131DA6-49C8-486F-B95F-3A93ECCE7CA0}">
      <text>
        <r>
          <rPr>
            <b/>
            <sz val="9"/>
            <color indexed="81"/>
            <rFont val="Tahoma"/>
            <family val="2"/>
          </rPr>
          <t>jarmylly:</t>
        </r>
        <r>
          <rPr>
            <sz val="9"/>
            <color indexed="81"/>
            <rFont val="Tahoma"/>
            <family val="2"/>
          </rPr>
          <t xml:space="preserve">
Image name: vgarc</t>
        </r>
      </text>
    </comment>
    <comment ref="L12" authorId="0" shapeId="0" xr:uid="{84A08C1E-C88D-4DB9-A8FB-8512C68954F1}">
      <text>
        <r>
          <rPr>
            <b/>
            <sz val="9"/>
            <color indexed="81"/>
            <rFont val="Tahoma"/>
            <family val="2"/>
          </rPr>
          <t>jarmylly:</t>
        </r>
        <r>
          <rPr>
            <sz val="9"/>
            <color indexed="81"/>
            <rFont val="Tahoma"/>
            <family val="2"/>
          </rPr>
          <t xml:space="preserve">
Image name: netact_rhel_base</t>
        </r>
      </text>
    </comment>
    <comment ref="Y12" authorId="1" shapeId="0" xr:uid="{DB0641C5-450D-498C-9166-BD46C7A33189}">
      <text>
        <r>
          <rPr>
            <b/>
            <sz val="9"/>
            <color indexed="81"/>
            <rFont val="Tahoma"/>
            <family val="2"/>
          </rPr>
          <t>Rastogi, Alok (Nokia - IN/Bangalore):</t>
        </r>
        <r>
          <rPr>
            <sz val="9"/>
            <color indexed="81"/>
            <rFont val="Tahoma"/>
            <family val="2"/>
          </rPr>
          <t xml:space="preserve">
Contains three disks;
NFS Global : 646110 MB
NFS Home: 50200 MB
NFS WAS dump: 87040 MB</t>
        </r>
      </text>
    </comment>
    <comment ref="AB12" authorId="0" shapeId="0" xr:uid="{8CA02720-217B-4F24-95EC-7259E16533CF}">
      <text>
        <r>
          <rPr>
            <b/>
            <sz val="9"/>
            <color indexed="81"/>
            <rFont val="Tahoma"/>
            <family val="2"/>
          </rPr>
          <t>jarmylly:</t>
        </r>
        <r>
          <rPr>
            <sz val="9"/>
            <color indexed="81"/>
            <rFont val="Tahoma"/>
            <family val="2"/>
          </rPr>
          <t xml:space="preserve">
Image names:
- vgglobal
- vghome</t>
        </r>
      </text>
    </comment>
    <comment ref="AC12" authorId="0" shapeId="0" xr:uid="{984A1942-589F-4276-AD87-32ACD7C5ADEF}">
      <text>
        <r>
          <rPr>
            <b/>
            <sz val="9"/>
            <color indexed="81"/>
            <rFont val="Tahoma"/>
            <family val="2"/>
          </rPr>
          <t>jarmylly:</t>
        </r>
        <r>
          <rPr>
            <sz val="9"/>
            <color indexed="81"/>
            <rFont val="Tahoma"/>
            <family val="2"/>
          </rPr>
          <t xml:space="preserve">
Reserved for customer own data.</t>
        </r>
      </text>
    </comment>
    <comment ref="AG12" authorId="2" shapeId="0" xr:uid="{27870D9C-D8E7-4DCA-8987-05B5D8580070}">
      <text>
        <t>[Threaded comment]
Your version of Excel allows you to read this threaded comment; however, any edits to it will get removed if the file is opened in a newer version of Excel. Learn more: https://go.microsoft.com/fwlink/?linkid=870924
Comment:
    CRSR218: 20GB added</t>
      </text>
    </comment>
    <comment ref="L13" authorId="0" shapeId="0" xr:uid="{DC36D463-E394-487D-A44C-C2126013E49F}">
      <text>
        <r>
          <rPr>
            <b/>
            <sz val="9"/>
            <color indexed="81"/>
            <rFont val="Tahoma"/>
            <family val="2"/>
          </rPr>
          <t>jarmylly:</t>
        </r>
        <r>
          <rPr>
            <sz val="9"/>
            <color indexed="81"/>
            <rFont val="Tahoma"/>
            <family val="2"/>
          </rPr>
          <t xml:space="preserve">
Image name: netact_rhel_base</t>
        </r>
      </text>
    </comment>
    <comment ref="L14" authorId="0" shapeId="0" xr:uid="{06C3789A-D42C-40B4-9F5C-1EB9127D0AB3}">
      <text>
        <r>
          <rPr>
            <b/>
            <sz val="9"/>
            <color indexed="81"/>
            <rFont val="Tahoma"/>
            <family val="2"/>
          </rPr>
          <t>jarmylly:</t>
        </r>
        <r>
          <rPr>
            <sz val="9"/>
            <color indexed="81"/>
            <rFont val="Tahoma"/>
            <family val="2"/>
          </rPr>
          <t xml:space="preserve">
Image name: netact_rhel_base</t>
        </r>
      </text>
    </comment>
    <comment ref="L15" authorId="0" shapeId="0" xr:uid="{9C8950F6-E1CD-4F02-8014-5D1A4A31918C}">
      <text>
        <r>
          <rPr>
            <b/>
            <sz val="9"/>
            <color indexed="81"/>
            <rFont val="Tahoma"/>
            <family val="2"/>
          </rPr>
          <t>jarmylly:</t>
        </r>
        <r>
          <rPr>
            <sz val="9"/>
            <color indexed="81"/>
            <rFont val="Tahoma"/>
            <family val="2"/>
          </rPr>
          <t xml:space="preserve">
Image name: netact_rhel_base</t>
        </r>
      </text>
    </comment>
    <comment ref="L16" authorId="0" shapeId="0" xr:uid="{6A4D1C54-BF01-4083-A120-0C7C0F3053AC}">
      <text>
        <r>
          <rPr>
            <b/>
            <sz val="9"/>
            <color indexed="81"/>
            <rFont val="Tahoma"/>
            <family val="2"/>
          </rPr>
          <t>jarmylly:</t>
        </r>
        <r>
          <rPr>
            <sz val="9"/>
            <color indexed="81"/>
            <rFont val="Tahoma"/>
            <family val="2"/>
          </rPr>
          <t xml:space="preserve">
Image name: netact_rhel_base</t>
        </r>
      </text>
    </comment>
    <comment ref="L17" authorId="0" shapeId="0" xr:uid="{F1AF9310-0412-4CB7-A90B-C61A0FFB673E}">
      <text>
        <r>
          <rPr>
            <b/>
            <sz val="9"/>
            <color indexed="81"/>
            <rFont val="Tahoma"/>
            <family val="2"/>
          </rPr>
          <t>jarmylly:</t>
        </r>
        <r>
          <rPr>
            <sz val="9"/>
            <color indexed="81"/>
            <rFont val="Tahoma"/>
            <family val="2"/>
          </rPr>
          <t xml:space="preserve">
Image name: netact_rhel_base</t>
        </r>
      </text>
    </comment>
    <comment ref="L18" authorId="0" shapeId="0" xr:uid="{40A43BC1-75EB-4E12-BCC5-F22052CE030D}">
      <text>
        <r>
          <rPr>
            <b/>
            <sz val="9"/>
            <color indexed="81"/>
            <rFont val="Tahoma"/>
            <family val="2"/>
          </rPr>
          <t>jarmylly:</t>
        </r>
        <r>
          <rPr>
            <sz val="9"/>
            <color indexed="81"/>
            <rFont val="Tahoma"/>
            <family val="2"/>
          </rPr>
          <t xml:space="preserve">
Image name: netact_rhel_base</t>
        </r>
      </text>
    </comment>
    <comment ref="L19" authorId="0" shapeId="0" xr:uid="{DAE64694-6755-45D9-AADA-1A749E4FA7DC}">
      <text>
        <r>
          <rPr>
            <b/>
            <sz val="9"/>
            <color indexed="81"/>
            <rFont val="Tahoma"/>
            <family val="2"/>
          </rPr>
          <t>jarmylly:</t>
        </r>
        <r>
          <rPr>
            <sz val="9"/>
            <color indexed="81"/>
            <rFont val="Tahoma"/>
            <family val="2"/>
          </rPr>
          <t xml:space="preserve">
Image name: netact_rhel_base</t>
        </r>
      </text>
    </comment>
    <comment ref="AR19" authorId="1" shapeId="0" xr:uid="{72B50BEB-6FD5-42CF-9A32-57C1EA4EBBCC}">
      <text>
        <r>
          <rPr>
            <b/>
            <sz val="9"/>
            <color indexed="81"/>
            <rFont val="Tahoma"/>
            <family val="2"/>
          </rPr>
          <t xml:space="preserve"> Alok :name
</t>
        </r>
        <r>
          <rPr>
            <sz val="9"/>
            <color indexed="81"/>
            <rFont val="Tahoma"/>
            <family val="2"/>
          </rPr>
          <t>vgadm</t>
        </r>
      </text>
    </comment>
    <comment ref="L20" authorId="0" shapeId="0" xr:uid="{D6A80CF7-7E51-4190-9383-5658A41B4F9E}">
      <text>
        <r>
          <rPr>
            <b/>
            <sz val="9"/>
            <color indexed="81"/>
            <rFont val="Tahoma"/>
            <family val="2"/>
          </rPr>
          <t>jarmylly:</t>
        </r>
        <r>
          <rPr>
            <sz val="9"/>
            <color indexed="81"/>
            <rFont val="Tahoma"/>
            <family val="2"/>
          </rPr>
          <t xml:space="preserve">
Image name: netact_rhel_base</t>
        </r>
      </text>
    </comment>
    <comment ref="L21" authorId="0" shapeId="0" xr:uid="{AC7F41B2-0D6E-4258-BF92-379BD0008D8C}">
      <text>
        <r>
          <rPr>
            <b/>
            <sz val="9"/>
            <color indexed="81"/>
            <rFont val="Tahoma"/>
            <family val="2"/>
          </rPr>
          <t>jarmylly:</t>
        </r>
        <r>
          <rPr>
            <sz val="9"/>
            <color indexed="81"/>
            <rFont val="Tahoma"/>
            <family val="2"/>
          </rPr>
          <t xml:space="preserve">
Image name: netact_rhel_base</t>
        </r>
      </text>
    </comment>
    <comment ref="L22" authorId="0" shapeId="0" xr:uid="{B0FF4F9C-CEBA-4319-8294-BE27C61D59E3}">
      <text>
        <r>
          <rPr>
            <b/>
            <sz val="9"/>
            <color indexed="81"/>
            <rFont val="Tahoma"/>
            <family val="2"/>
          </rPr>
          <t>jarmylly:</t>
        </r>
        <r>
          <rPr>
            <sz val="9"/>
            <color indexed="81"/>
            <rFont val="Tahoma"/>
            <family val="2"/>
          </rPr>
          <t xml:space="preserve">
Image name: netact_rhel_base</t>
        </r>
      </text>
    </comment>
    <comment ref="L23" authorId="0" shapeId="0" xr:uid="{4A7618EA-6B0F-4C1F-9F1B-472700D07092}">
      <text>
        <r>
          <rPr>
            <b/>
            <sz val="9"/>
            <color indexed="81"/>
            <rFont val="Tahoma"/>
            <family val="2"/>
          </rPr>
          <t>jarmylly:</t>
        </r>
        <r>
          <rPr>
            <sz val="9"/>
            <color indexed="81"/>
            <rFont val="Tahoma"/>
            <family val="2"/>
          </rPr>
          <t xml:space="preserve">
Image name: netact_rhel_base</t>
        </r>
      </text>
    </comment>
    <comment ref="AV23" authorId="3" shapeId="0" xr:uid="{87DF8ECC-C513-4939-992F-6A1C639556C0}">
      <text>
        <r>
          <rPr>
            <b/>
            <sz val="9"/>
            <color indexed="81"/>
            <rFont val="Tahoma"/>
            <family val="2"/>
          </rPr>
          <t>Thippeswamy, Suresh (Nokia - IN/Bangalore):</t>
        </r>
        <r>
          <rPr>
            <sz val="9"/>
            <color indexed="81"/>
            <rFont val="Tahoma"/>
            <family val="2"/>
          </rPr>
          <t xml:space="preserve">
Image name: vgisdk</t>
        </r>
      </text>
    </comment>
    <comment ref="L24" authorId="0" shapeId="0" xr:uid="{CC9D3AA8-5BE4-456F-BFB9-5D867DB1B361}">
      <text>
        <r>
          <rPr>
            <b/>
            <sz val="9"/>
            <color indexed="81"/>
            <rFont val="Tahoma"/>
            <family val="2"/>
          </rPr>
          <t>jarmylly:</t>
        </r>
        <r>
          <rPr>
            <sz val="9"/>
            <color indexed="81"/>
            <rFont val="Tahoma"/>
            <family val="2"/>
          </rPr>
          <t xml:space="preserve">
Image name: netact_rhel_base</t>
        </r>
      </text>
    </comment>
    <comment ref="AV24" authorId="3" shapeId="0" xr:uid="{D9836DBB-2767-4E33-B328-0DB5C7198163}">
      <text>
        <r>
          <rPr>
            <b/>
            <sz val="9"/>
            <color indexed="81"/>
            <rFont val="Tahoma"/>
            <family val="2"/>
          </rPr>
          <t>Thippeswamy, Suresh (Nokia - IN/Bangalore):</t>
        </r>
        <r>
          <rPr>
            <sz val="9"/>
            <color indexed="81"/>
            <rFont val="Tahoma"/>
            <family val="2"/>
          </rPr>
          <t xml:space="preserve">
Image name: vgisdk</t>
        </r>
      </text>
    </comment>
    <comment ref="L25" authorId="0" shapeId="0" xr:uid="{A63AF302-01D0-426C-AD8A-2BA1312DD7B5}">
      <text>
        <r>
          <rPr>
            <b/>
            <sz val="9"/>
            <color indexed="81"/>
            <rFont val="Tahoma"/>
            <family val="2"/>
          </rPr>
          <t>jarmylly:</t>
        </r>
        <r>
          <rPr>
            <sz val="9"/>
            <color indexed="81"/>
            <rFont val="Tahoma"/>
            <family val="2"/>
          </rPr>
          <t xml:space="preserve">
Image name: netact_rhel_base</t>
        </r>
      </text>
    </comment>
    <comment ref="L26" authorId="0" shapeId="0" xr:uid="{43DD2F4F-7B0E-4A58-A194-E3B0C236D9D0}">
      <text>
        <r>
          <rPr>
            <b/>
            <sz val="9"/>
            <color indexed="81"/>
            <rFont val="Tahoma"/>
            <family val="2"/>
          </rPr>
          <t>jarmylly:</t>
        </r>
        <r>
          <rPr>
            <sz val="9"/>
            <color indexed="81"/>
            <rFont val="Tahoma"/>
            <family val="2"/>
          </rPr>
          <t xml:space="preserve">
Image name: netact_rhel_base</t>
        </r>
      </text>
    </comment>
    <comment ref="L27" authorId="0" shapeId="0" xr:uid="{A6B8073E-9ABF-44DB-B363-D20EBF760D50}">
      <text>
        <r>
          <rPr>
            <b/>
            <sz val="9"/>
            <color indexed="81"/>
            <rFont val="Tahoma"/>
            <family val="2"/>
          </rPr>
          <t>jarmylly:</t>
        </r>
        <r>
          <rPr>
            <sz val="9"/>
            <color indexed="81"/>
            <rFont val="Tahoma"/>
            <family val="2"/>
          </rPr>
          <t xml:space="preserve">
Image name: netact_rhel_base</t>
        </r>
      </text>
    </comment>
    <comment ref="L28" authorId="0" shapeId="0" xr:uid="{6505A7EE-0F14-45FA-8742-797C5F6D2E39}">
      <text>
        <r>
          <rPr>
            <b/>
            <sz val="9"/>
            <color indexed="81"/>
            <rFont val="Tahoma"/>
            <family val="2"/>
          </rPr>
          <t>jarmylly:</t>
        </r>
        <r>
          <rPr>
            <sz val="9"/>
            <color indexed="81"/>
            <rFont val="Tahoma"/>
            <family val="2"/>
          </rPr>
          <t xml:space="preserve">
Image name: netact_rhel_base</t>
        </r>
      </text>
    </comment>
    <comment ref="L29" authorId="0" shapeId="0" xr:uid="{F2AC56A2-097D-4EB9-B015-0A196200F79B}">
      <text>
        <r>
          <rPr>
            <b/>
            <sz val="9"/>
            <color indexed="81"/>
            <rFont val="Tahoma"/>
            <family val="2"/>
          </rPr>
          <t>jarmylly:</t>
        </r>
        <r>
          <rPr>
            <sz val="9"/>
            <color indexed="81"/>
            <rFont val="Tahoma"/>
            <family val="2"/>
          </rPr>
          <t xml:space="preserve">
Image name: netact_rhel_base</t>
        </r>
      </text>
    </comment>
    <comment ref="L30" authorId="0" shapeId="0" xr:uid="{298C0F7B-4B77-4D26-AE76-823C7B2ABEAA}">
      <text>
        <r>
          <rPr>
            <b/>
            <sz val="9"/>
            <color indexed="81"/>
            <rFont val="Tahoma"/>
            <family val="2"/>
          </rPr>
          <t>jarmylly:</t>
        </r>
        <r>
          <rPr>
            <sz val="9"/>
            <color indexed="81"/>
            <rFont val="Tahoma"/>
            <family val="2"/>
          </rPr>
          <t xml:space="preserve">
Image name: netact_rhel_base</t>
        </r>
      </text>
    </comment>
    <comment ref="L31" authorId="0" shapeId="0" xr:uid="{EA5C9B65-A630-4164-B9D0-7450397CD2D0}">
      <text>
        <r>
          <rPr>
            <b/>
            <sz val="9"/>
            <color indexed="81"/>
            <rFont val="Tahoma"/>
            <family val="2"/>
          </rPr>
          <t>jarmylly:</t>
        </r>
        <r>
          <rPr>
            <sz val="9"/>
            <color indexed="81"/>
            <rFont val="Tahoma"/>
            <family val="2"/>
          </rPr>
          <t xml:space="preserve">
Image name: netact_rhel_base</t>
        </r>
      </text>
    </comment>
    <comment ref="L32" authorId="0" shapeId="0" xr:uid="{CB80132C-84F9-4C45-B44A-67ABDFDFB127}">
      <text>
        <r>
          <rPr>
            <b/>
            <sz val="9"/>
            <color indexed="81"/>
            <rFont val="Tahoma"/>
            <family val="2"/>
          </rPr>
          <t>jarmylly:</t>
        </r>
        <r>
          <rPr>
            <sz val="9"/>
            <color indexed="81"/>
            <rFont val="Tahoma"/>
            <family val="2"/>
          </rPr>
          <t xml:space="preserve">
Image name: netact_rhel_base</t>
        </r>
      </text>
    </comment>
    <comment ref="L33" authorId="0" shapeId="0" xr:uid="{7A8811A1-63F4-4236-9ECD-DFE3C9F762B4}">
      <text>
        <r>
          <rPr>
            <b/>
            <sz val="9"/>
            <color indexed="81"/>
            <rFont val="Tahoma"/>
            <family val="2"/>
          </rPr>
          <t>jarmylly:</t>
        </r>
        <r>
          <rPr>
            <sz val="9"/>
            <color indexed="81"/>
            <rFont val="Tahoma"/>
            <family val="2"/>
          </rPr>
          <t xml:space="preserve">
Image name: netact_rhel_base</t>
        </r>
      </text>
    </comment>
    <comment ref="L34" authorId="0" shapeId="0" xr:uid="{201AF35D-07FE-45D2-9077-DB53A0C46EFC}">
      <text>
        <r>
          <rPr>
            <b/>
            <sz val="9"/>
            <color indexed="81"/>
            <rFont val="Tahoma"/>
            <family val="2"/>
          </rPr>
          <t>jarmylly:</t>
        </r>
        <r>
          <rPr>
            <sz val="9"/>
            <color indexed="81"/>
            <rFont val="Tahoma"/>
            <family val="2"/>
          </rPr>
          <t xml:space="preserve">
Image name: netact_rhel_base</t>
        </r>
      </text>
    </comment>
    <comment ref="H35" authorId="0" shapeId="0" xr:uid="{5221D053-F499-4228-99E5-D95BAF4A9212}">
      <text>
        <r>
          <rPr>
            <b/>
            <sz val="9"/>
            <color indexed="81"/>
            <rFont val="Tahoma"/>
            <family val="2"/>
          </rPr>
          <t>jarmylly:</t>
        </r>
        <r>
          <rPr>
            <sz val="9"/>
            <color indexed="81"/>
            <rFont val="Tahoma"/>
            <family val="2"/>
          </rPr>
          <t xml:space="preserve">
Contains two disks:
- Disk-1: 61GB
- Disk-2: 41GB</t>
        </r>
      </text>
    </comment>
    <comment ref="L35" authorId="0" shapeId="0" xr:uid="{74610B15-3EA2-4D0F-9DDB-DA6F4D9365FB}">
      <text>
        <r>
          <rPr>
            <b/>
            <sz val="9"/>
            <color indexed="81"/>
            <rFont val="Tahoma"/>
            <family val="2"/>
          </rPr>
          <t>jarmylly:</t>
        </r>
        <r>
          <rPr>
            <sz val="9"/>
            <color indexed="81"/>
            <rFont val="Tahoma"/>
            <family val="2"/>
          </rPr>
          <t xml:space="preserve">
Image name: 
- NMS_DC_disk1
- NMS_DC_disk2
- cdrom_nms</t>
        </r>
      </text>
    </comment>
    <comment ref="H36" authorId="0" shapeId="0" xr:uid="{DBF411A2-19BF-46F0-A2AD-4362919C5F4C}">
      <text>
        <r>
          <rPr>
            <b/>
            <sz val="9"/>
            <color indexed="81"/>
            <rFont val="Tahoma"/>
            <family val="2"/>
          </rPr>
          <t>jarmylly:</t>
        </r>
        <r>
          <rPr>
            <sz val="9"/>
            <color indexed="81"/>
            <rFont val="Tahoma"/>
            <family val="2"/>
          </rPr>
          <t xml:space="preserve">
Contains two disks:
- Disk-1: 61GB
- Disk-2: 41GB</t>
        </r>
      </text>
    </comment>
    <comment ref="L36" authorId="0" shapeId="0" xr:uid="{64C8D7D3-5931-47B4-9B7E-2477627CFABA}">
      <text>
        <r>
          <rPr>
            <b/>
            <sz val="9"/>
            <color indexed="81"/>
            <rFont val="Tahoma"/>
            <family val="2"/>
          </rPr>
          <t>jarmylly:</t>
        </r>
        <r>
          <rPr>
            <sz val="9"/>
            <color indexed="81"/>
            <rFont val="Tahoma"/>
            <family val="2"/>
          </rPr>
          <t xml:space="preserve">
Image name:
- NMS_VDA_disk1
- NMS_VDA_disk2
- cdrom_nms</t>
        </r>
      </text>
    </comment>
    <comment ref="H37" authorId="0" shapeId="0" xr:uid="{DD3FEAD6-DB44-4935-A42F-C7C462B4373B}">
      <text>
        <r>
          <rPr>
            <b/>
            <sz val="9"/>
            <color indexed="81"/>
            <rFont val="Tahoma"/>
            <family val="2"/>
          </rPr>
          <t>jarmylly:</t>
        </r>
        <r>
          <rPr>
            <sz val="9"/>
            <color indexed="81"/>
            <rFont val="Tahoma"/>
            <family val="2"/>
          </rPr>
          <t xml:space="preserve">
Contains two disks:
- Disk-1: 61GB
- Disk-2: 41GB</t>
        </r>
      </text>
    </comment>
    <comment ref="L37" authorId="0" shapeId="0" xr:uid="{C573981F-DFEF-45B5-9346-C667C35CA585}">
      <text>
        <r>
          <rPr>
            <b/>
            <sz val="9"/>
            <color indexed="81"/>
            <rFont val="Tahoma"/>
            <family val="2"/>
          </rPr>
          <t>jarmylly:</t>
        </r>
        <r>
          <rPr>
            <sz val="9"/>
            <color indexed="81"/>
            <rFont val="Tahoma"/>
            <family val="2"/>
          </rPr>
          <t xml:space="preserve">
Image name:
- NMS_CTXDC_disk1
- NMS_CTXDC_disk2
- cdrom_nms</t>
        </r>
      </text>
    </comment>
    <comment ref="L38" authorId="0" shapeId="0" xr:uid="{1DBB0EBD-CF30-417B-81F0-1350B41206DB}">
      <text>
        <r>
          <rPr>
            <b/>
            <sz val="9"/>
            <color indexed="81"/>
            <rFont val="Tahoma"/>
            <family val="2"/>
          </rPr>
          <t>jarmylly:</t>
        </r>
        <r>
          <rPr>
            <sz val="9"/>
            <color indexed="81"/>
            <rFont val="Tahoma"/>
            <family val="2"/>
          </rPr>
          <t xml:space="preserve">
Image name: netact_rhel_base</t>
        </r>
      </text>
    </comment>
    <comment ref="AN38" authorId="0" shapeId="0" xr:uid="{FF82473B-7BF1-4F80-A4CB-9BF9CF72C90F}">
      <text>
        <r>
          <rPr>
            <b/>
            <sz val="9"/>
            <color indexed="81"/>
            <rFont val="Tahoma"/>
            <family val="2"/>
          </rPr>
          <t>jarmylly:</t>
        </r>
        <r>
          <rPr>
            <sz val="9"/>
            <color indexed="81"/>
            <rFont val="Tahoma"/>
            <family val="2"/>
          </rPr>
          <t xml:space="preserve">
Image name: vgrep</t>
        </r>
      </text>
    </comment>
    <comment ref="L39" authorId="0" shapeId="0" xr:uid="{81D3AF34-9397-40DC-ABA6-D4FD02BEFEE6}">
      <text>
        <r>
          <rPr>
            <b/>
            <sz val="9"/>
            <color indexed="81"/>
            <rFont val="Tahoma"/>
            <family val="2"/>
          </rPr>
          <t>jarmylly:</t>
        </r>
        <r>
          <rPr>
            <sz val="9"/>
            <color indexed="81"/>
            <rFont val="Tahoma"/>
            <family val="2"/>
          </rPr>
          <t xml:space="preserve">
Image name: netact_rhel_base</t>
        </r>
      </text>
    </comment>
    <comment ref="AN39" authorId="0" shapeId="0" xr:uid="{E7FE530E-C375-4CA9-954A-9F60C897C19E}">
      <text>
        <r>
          <rPr>
            <b/>
            <sz val="9"/>
            <color indexed="81"/>
            <rFont val="Tahoma"/>
            <family val="2"/>
          </rPr>
          <t>jarmylly:</t>
        </r>
        <r>
          <rPr>
            <sz val="9"/>
            <color indexed="81"/>
            <rFont val="Tahoma"/>
            <family val="2"/>
          </rPr>
          <t xml:space="preserve">
Image name: vgrep</t>
        </r>
      </text>
    </comment>
    <comment ref="L40" authorId="0" shapeId="0" xr:uid="{CD3F6861-7810-4FCA-A2DD-4A118525A1D1}">
      <text>
        <r>
          <rPr>
            <b/>
            <sz val="9"/>
            <color indexed="81"/>
            <rFont val="Tahoma"/>
            <family val="2"/>
          </rPr>
          <t>jarmylly:</t>
        </r>
        <r>
          <rPr>
            <sz val="9"/>
            <color indexed="81"/>
            <rFont val="Tahoma"/>
            <family val="2"/>
          </rPr>
          <t xml:space="preserve">
Image name: netact_rhel_base</t>
        </r>
      </text>
    </comment>
    <comment ref="AN40" authorId="0" shapeId="0" xr:uid="{B954F08F-A87E-46AD-A6F2-57138D886BB1}">
      <text>
        <r>
          <rPr>
            <b/>
            <sz val="9"/>
            <color indexed="81"/>
            <rFont val="Tahoma"/>
            <family val="2"/>
          </rPr>
          <t>jarmylly:</t>
        </r>
        <r>
          <rPr>
            <sz val="9"/>
            <color indexed="81"/>
            <rFont val="Tahoma"/>
            <family val="2"/>
          </rPr>
          <t xml:space="preserve">
Image name: vgrep</t>
        </r>
      </text>
    </comment>
    <comment ref="L41" authorId="0" shapeId="0" xr:uid="{8A61DC1E-6F1F-4A80-B8D1-81198B0B7DE4}">
      <text>
        <r>
          <rPr>
            <b/>
            <sz val="9"/>
            <color indexed="81"/>
            <rFont val="Tahoma"/>
            <family val="2"/>
          </rPr>
          <t>jarmylly:</t>
        </r>
        <r>
          <rPr>
            <sz val="9"/>
            <color indexed="81"/>
            <rFont val="Tahoma"/>
            <family val="2"/>
          </rPr>
          <t xml:space="preserve">
Image name: netact_rhel_base</t>
        </r>
      </text>
    </comment>
    <comment ref="AN41" authorId="0" shapeId="0" xr:uid="{B7AC94CD-B392-4D03-85AC-F52FC450BAE8}">
      <text>
        <r>
          <rPr>
            <b/>
            <sz val="9"/>
            <color indexed="81"/>
            <rFont val="Tahoma"/>
            <family val="2"/>
          </rPr>
          <t>jarmylly:</t>
        </r>
        <r>
          <rPr>
            <sz val="9"/>
            <color indexed="81"/>
            <rFont val="Tahoma"/>
            <family val="2"/>
          </rPr>
          <t xml:space="preserve">
Image name: vgrep</t>
        </r>
      </text>
    </comment>
    <comment ref="L42" authorId="0" shapeId="0" xr:uid="{93BF26FD-A33D-4BA7-980D-270DD1A479B9}">
      <text>
        <r>
          <rPr>
            <b/>
            <sz val="9"/>
            <color indexed="81"/>
            <rFont val="Tahoma"/>
            <family val="2"/>
          </rPr>
          <t>jarmylly:</t>
        </r>
        <r>
          <rPr>
            <sz val="9"/>
            <color indexed="81"/>
            <rFont val="Tahoma"/>
            <family val="2"/>
          </rPr>
          <t xml:space="preserve">
Image name: netact_rhel_base</t>
        </r>
      </text>
    </comment>
    <comment ref="L43" authorId="0" shapeId="0" xr:uid="{E3755682-8AD6-4832-A084-8D351070726F}">
      <text>
        <r>
          <rPr>
            <b/>
            <sz val="9"/>
            <color indexed="81"/>
            <rFont val="Tahoma"/>
            <family val="2"/>
          </rPr>
          <t>jarmylly:</t>
        </r>
        <r>
          <rPr>
            <sz val="9"/>
            <color indexed="81"/>
            <rFont val="Tahoma"/>
            <family val="2"/>
          </rPr>
          <t xml:space="preserve">
Image name: netact_rhel_base</t>
        </r>
      </text>
    </comment>
    <comment ref="AR44" authorId="1" shapeId="0" xr:uid="{D1A6211E-D891-4C55-8CAD-77FC4FB53A4C}">
      <text>
        <r>
          <rPr>
            <b/>
            <sz val="9"/>
            <color indexed="81"/>
            <rFont val="Tahoma"/>
            <family val="2"/>
          </rPr>
          <t xml:space="preserve"> Alok :name
</t>
        </r>
        <r>
          <rPr>
            <sz val="9"/>
            <color indexed="81"/>
            <rFont val="Tahoma"/>
            <family val="2"/>
          </rPr>
          <t>vgfastpass</t>
        </r>
      </text>
    </comment>
    <comment ref="BE44" authorId="0" shapeId="0" xr:uid="{C692ED87-3222-4B1D-BABA-B2732013FC7D}">
      <text>
        <r>
          <rPr>
            <b/>
            <sz val="9"/>
            <color indexed="81"/>
            <rFont val="Tahoma"/>
            <family val="2"/>
          </rPr>
          <t>jarmylly:</t>
        </r>
        <r>
          <rPr>
            <sz val="9"/>
            <color indexed="81"/>
            <rFont val="Tahoma"/>
            <family val="2"/>
          </rPr>
          <t xml:space="preserve">
IPv4: 3
IPv4/IPv6: 5</t>
        </r>
      </text>
    </comment>
    <comment ref="L49" authorId="0" shapeId="0" xr:uid="{34590C44-6AEF-4D3F-984E-C1DB0AB7B123}">
      <text>
        <r>
          <rPr>
            <b/>
            <sz val="9"/>
            <color indexed="81"/>
            <rFont val="Tahoma"/>
            <family val="2"/>
          </rPr>
          <t>jarmylly:</t>
        </r>
        <r>
          <rPr>
            <sz val="9"/>
            <color indexed="81"/>
            <rFont val="Tahoma"/>
            <family val="2"/>
          </rPr>
          <t xml:space="preserve">
Image name: netact_rhel_base</t>
        </r>
      </text>
    </comment>
    <comment ref="H50" authorId="0" shapeId="0" xr:uid="{5DEC7A4A-1952-45C6-9C7E-49AD3D0B8B5E}">
      <text>
        <r>
          <rPr>
            <b/>
            <sz val="9"/>
            <color indexed="81"/>
            <rFont val="Tahoma"/>
            <family val="2"/>
          </rPr>
          <t>jarmylly:</t>
        </r>
        <r>
          <rPr>
            <sz val="9"/>
            <color indexed="81"/>
            <rFont val="Tahoma"/>
            <family val="2"/>
          </rPr>
          <t xml:space="preserve">
Contains two disks:
- Disk-1: 61GB
- Disk-2: 41GB</t>
        </r>
      </text>
    </comment>
    <comment ref="L50" authorId="0" shapeId="0" xr:uid="{A85F5C26-BA37-4D40-A46F-5051AC89B07C}">
      <text>
        <r>
          <rPr>
            <b/>
            <sz val="9"/>
            <color indexed="81"/>
            <rFont val="Tahoma"/>
            <family val="2"/>
          </rPr>
          <t>jarmylly:</t>
        </r>
        <r>
          <rPr>
            <sz val="9"/>
            <color indexed="81"/>
            <rFont val="Tahoma"/>
            <family val="2"/>
          </rPr>
          <t xml:space="preserve">
Image name: 
- NMS_DC_disk1
- NMS_DC_disk2
- cdrom_nms</t>
        </r>
      </text>
    </comment>
    <comment ref="H51" authorId="0" shapeId="0" xr:uid="{045FAFB7-F890-4C60-B5BC-FEC0055BA7CC}">
      <text>
        <r>
          <rPr>
            <b/>
            <sz val="9"/>
            <color indexed="81"/>
            <rFont val="Tahoma"/>
            <family val="2"/>
          </rPr>
          <t>jarmylly:</t>
        </r>
        <r>
          <rPr>
            <sz val="9"/>
            <color indexed="81"/>
            <rFont val="Tahoma"/>
            <family val="2"/>
          </rPr>
          <t xml:space="preserve">
Contains two disks:
- Disk-1: 61GB
- Disk-2: 41GB</t>
        </r>
      </text>
    </comment>
    <comment ref="L51" authorId="0" shapeId="0" xr:uid="{CC95CEE5-1DE7-450B-8F81-B65F7FC6B4F3}">
      <text>
        <r>
          <rPr>
            <b/>
            <sz val="9"/>
            <color indexed="81"/>
            <rFont val="Tahoma"/>
            <family val="2"/>
          </rPr>
          <t>jarmylly:</t>
        </r>
        <r>
          <rPr>
            <sz val="9"/>
            <color indexed="81"/>
            <rFont val="Tahoma"/>
            <family val="2"/>
          </rPr>
          <t xml:space="preserve">
Image name:
- NMS_VDA_disk1
- NMS_VDA_disk2
- cdrom_nms</t>
        </r>
      </text>
    </comment>
    <comment ref="H52" authorId="0" shapeId="0" xr:uid="{3497AAEE-7CA6-4AEE-BF38-8E4D82215A73}">
      <text>
        <r>
          <rPr>
            <b/>
            <sz val="9"/>
            <color indexed="81"/>
            <rFont val="Tahoma"/>
            <family val="2"/>
          </rPr>
          <t>jarmylly:</t>
        </r>
        <r>
          <rPr>
            <sz val="9"/>
            <color indexed="81"/>
            <rFont val="Tahoma"/>
            <family val="2"/>
          </rPr>
          <t xml:space="preserve">
Contains two disks:
- Disk-1: 61GB
- Disk-2: 41GB</t>
        </r>
      </text>
    </comment>
    <comment ref="L52" authorId="0" shapeId="0" xr:uid="{92E15A75-EA5F-4BFE-A989-C1B8AFBAFABF}">
      <text>
        <r>
          <rPr>
            <b/>
            <sz val="9"/>
            <color indexed="81"/>
            <rFont val="Tahoma"/>
            <family val="2"/>
          </rPr>
          <t>jarmylly:</t>
        </r>
        <r>
          <rPr>
            <sz val="9"/>
            <color indexed="81"/>
            <rFont val="Tahoma"/>
            <family val="2"/>
          </rPr>
          <t xml:space="preserve">
Image name:
- NMS_VDA_disk1
- NMS_VDA_disk2
- cdrom_nms</t>
        </r>
      </text>
    </comment>
    <comment ref="H53" authorId="0" shapeId="0" xr:uid="{E97B275C-EA0D-436A-82BC-3880DC9A1906}">
      <text>
        <r>
          <rPr>
            <b/>
            <sz val="9"/>
            <color indexed="81"/>
            <rFont val="Tahoma"/>
            <family val="2"/>
          </rPr>
          <t>jarmylly:</t>
        </r>
        <r>
          <rPr>
            <sz val="9"/>
            <color indexed="81"/>
            <rFont val="Tahoma"/>
            <family val="2"/>
          </rPr>
          <t xml:space="preserve">
Contains two disks:
- Disk-1: 61GB
- Disk-2: 41GB</t>
        </r>
      </text>
    </comment>
    <comment ref="L53" authorId="0" shapeId="0" xr:uid="{3F819095-C0FD-4EBB-BF66-E5D8AE79BC98}">
      <text>
        <r>
          <rPr>
            <b/>
            <sz val="9"/>
            <color indexed="81"/>
            <rFont val="Tahoma"/>
            <family val="2"/>
          </rPr>
          <t>jarmylly:</t>
        </r>
        <r>
          <rPr>
            <sz val="9"/>
            <color indexed="81"/>
            <rFont val="Tahoma"/>
            <family val="2"/>
          </rPr>
          <t xml:space="preserve">
Image name:
- NMS_VDA_disk1
- NMS_VDA_disk2
- cdrom_nms</t>
        </r>
      </text>
    </comment>
    <comment ref="H54" authorId="0" shapeId="0" xr:uid="{26D65B97-FFAE-40F6-8356-A1123683155D}">
      <text>
        <r>
          <rPr>
            <b/>
            <sz val="9"/>
            <color indexed="81"/>
            <rFont val="Tahoma"/>
            <family val="2"/>
          </rPr>
          <t>jarmylly:</t>
        </r>
        <r>
          <rPr>
            <sz val="9"/>
            <color indexed="81"/>
            <rFont val="Tahoma"/>
            <family val="2"/>
          </rPr>
          <t xml:space="preserve">
Contains two disks:
- Disk-1: 61GB
- Disk-2: 41GB</t>
        </r>
      </text>
    </comment>
    <comment ref="L54" authorId="0" shapeId="0" xr:uid="{D7071464-FA97-4EB3-ACC2-FE2A49BA340D}">
      <text>
        <r>
          <rPr>
            <b/>
            <sz val="9"/>
            <color indexed="81"/>
            <rFont val="Tahoma"/>
            <family val="2"/>
          </rPr>
          <t>jarmylly:</t>
        </r>
        <r>
          <rPr>
            <sz val="9"/>
            <color indexed="81"/>
            <rFont val="Tahoma"/>
            <family val="2"/>
          </rPr>
          <t xml:space="preserve">
Image name:
- NMS_VDA_disk1
- NMS_VDA_disk2
- cdrom_nms</t>
        </r>
      </text>
    </comment>
    <comment ref="H55" authorId="0" shapeId="0" xr:uid="{2DDEE523-3AA1-40B1-BCF0-C48D3F3B6052}">
      <text>
        <r>
          <rPr>
            <b/>
            <sz val="9"/>
            <color indexed="81"/>
            <rFont val="Tahoma"/>
            <family val="2"/>
          </rPr>
          <t>jarmylly:</t>
        </r>
        <r>
          <rPr>
            <sz val="9"/>
            <color indexed="81"/>
            <rFont val="Tahoma"/>
            <family val="2"/>
          </rPr>
          <t xml:space="preserve">
Contains two disks:
- Disk-1: 61GB
- Disk-2: 41GB</t>
        </r>
      </text>
    </comment>
    <comment ref="L55" authorId="0" shapeId="0" xr:uid="{29A25277-7CAC-4481-BAD4-E0ACB31796D5}">
      <text>
        <r>
          <rPr>
            <b/>
            <sz val="9"/>
            <color indexed="81"/>
            <rFont val="Tahoma"/>
            <family val="2"/>
          </rPr>
          <t>jarmylly:</t>
        </r>
        <r>
          <rPr>
            <sz val="9"/>
            <color indexed="81"/>
            <rFont val="Tahoma"/>
            <family val="2"/>
          </rPr>
          <t xml:space="preserve">
Image name:
- NMS_VDA_disk1
- NMS_VDA_disk2
- cdrom_nms</t>
        </r>
      </text>
    </comment>
    <comment ref="H56" authorId="0" shapeId="0" xr:uid="{1F5E0C49-FF21-4864-91CB-36F096A2D073}">
      <text>
        <r>
          <rPr>
            <b/>
            <sz val="9"/>
            <color indexed="81"/>
            <rFont val="Tahoma"/>
            <family val="2"/>
          </rPr>
          <t>jarmylly:</t>
        </r>
        <r>
          <rPr>
            <sz val="9"/>
            <color indexed="81"/>
            <rFont val="Tahoma"/>
            <family val="2"/>
          </rPr>
          <t xml:space="preserve">
Contains two disks:
- Disk-1: 61GB
- Disk-2: 41GB</t>
        </r>
      </text>
    </comment>
    <comment ref="L56" authorId="0" shapeId="0" xr:uid="{D0A4640B-7344-47F6-8D22-C704CEFE9061}">
      <text>
        <r>
          <rPr>
            <b/>
            <sz val="9"/>
            <color indexed="81"/>
            <rFont val="Tahoma"/>
            <family val="2"/>
          </rPr>
          <t>jarmylly:</t>
        </r>
        <r>
          <rPr>
            <sz val="9"/>
            <color indexed="81"/>
            <rFont val="Tahoma"/>
            <family val="2"/>
          </rPr>
          <t xml:space="preserve">
Image name:
- NMS_VDA_disk1
- NMS_VDA_disk2
- cdrom_nms</t>
        </r>
      </text>
    </comment>
    <comment ref="H57" authorId="0" shapeId="0" xr:uid="{F544A71F-4666-450A-929E-3031D12FFA0C}">
      <text>
        <r>
          <rPr>
            <b/>
            <sz val="9"/>
            <color indexed="81"/>
            <rFont val="Tahoma"/>
            <family val="2"/>
          </rPr>
          <t>jarmylly:</t>
        </r>
        <r>
          <rPr>
            <sz val="9"/>
            <color indexed="81"/>
            <rFont val="Tahoma"/>
            <family val="2"/>
          </rPr>
          <t xml:space="preserve">
Contains two disks:
- Disk-1: 61GB
- Disk-2: 41GB</t>
        </r>
      </text>
    </comment>
    <comment ref="L57" authorId="0" shapeId="0" xr:uid="{F8D9EA48-E192-444C-9182-D54F59A09158}">
      <text>
        <r>
          <rPr>
            <b/>
            <sz val="9"/>
            <color indexed="81"/>
            <rFont val="Tahoma"/>
            <family val="2"/>
          </rPr>
          <t>jarmylly:</t>
        </r>
        <r>
          <rPr>
            <sz val="9"/>
            <color indexed="81"/>
            <rFont val="Tahoma"/>
            <family val="2"/>
          </rPr>
          <t xml:space="preserve">
Image name:
- NMS_VDA_disk1
- NMS_VDA_disk2
- cdrom_nms</t>
        </r>
      </text>
    </comment>
    <comment ref="H58" authorId="0" shapeId="0" xr:uid="{CB3679E7-B645-416D-B477-3B4977775DAE}">
      <text>
        <r>
          <rPr>
            <b/>
            <sz val="9"/>
            <color indexed="81"/>
            <rFont val="Tahoma"/>
            <family val="2"/>
          </rPr>
          <t>jarmylly:</t>
        </r>
        <r>
          <rPr>
            <sz val="9"/>
            <color indexed="81"/>
            <rFont val="Tahoma"/>
            <family val="2"/>
          </rPr>
          <t xml:space="preserve">
Contains two disks:
- Disk-1: 61GB
- Disk-2: 41GB</t>
        </r>
      </text>
    </comment>
    <comment ref="L58" authorId="0" shapeId="0" xr:uid="{23083C51-6249-4C4B-8D6A-5C9BB8575365}">
      <text>
        <r>
          <rPr>
            <b/>
            <sz val="9"/>
            <color indexed="81"/>
            <rFont val="Tahoma"/>
            <family val="2"/>
          </rPr>
          <t>jarmylly:</t>
        </r>
        <r>
          <rPr>
            <sz val="9"/>
            <color indexed="81"/>
            <rFont val="Tahoma"/>
            <family val="2"/>
          </rPr>
          <t xml:space="preserve">
Image name:
- NMS_CTXDC_disk1
- NMS_CTXDC_disk2
- cdrom_nms</t>
        </r>
      </text>
    </comment>
    <comment ref="H59" authorId="0" shapeId="0" xr:uid="{07F7D574-C1D7-49C7-944D-011B9EF0862C}">
      <text>
        <r>
          <rPr>
            <b/>
            <sz val="9"/>
            <color indexed="81"/>
            <rFont val="Tahoma"/>
            <family val="2"/>
          </rPr>
          <t>jarmylly:</t>
        </r>
        <r>
          <rPr>
            <sz val="9"/>
            <color indexed="81"/>
            <rFont val="Tahoma"/>
            <family val="2"/>
          </rPr>
          <t xml:space="preserve">
Contains two disks:
- Disk-1: 61GB
- Disk-2: 41GB</t>
        </r>
      </text>
    </comment>
    <comment ref="L59" authorId="0" shapeId="0" xr:uid="{BE80E2B4-E6CC-4F46-B8A8-B1569682DBED}">
      <text>
        <r>
          <rPr>
            <b/>
            <sz val="9"/>
            <color indexed="81"/>
            <rFont val="Tahoma"/>
            <family val="2"/>
          </rPr>
          <t>jarmylly:</t>
        </r>
        <r>
          <rPr>
            <sz val="9"/>
            <color indexed="81"/>
            <rFont val="Tahoma"/>
            <family val="2"/>
          </rPr>
          <t xml:space="preserve">
Image name:
- NMS_VDA_disk1
- NMS_VDA_disk2
- cdrom_nms</t>
        </r>
      </text>
    </comment>
    <comment ref="L60" authorId="0" shapeId="0" xr:uid="{B422DCDC-55C1-4D69-BDAE-DB0D33080956}">
      <text>
        <r>
          <rPr>
            <b/>
            <sz val="9"/>
            <color indexed="81"/>
            <rFont val="Tahoma"/>
            <family val="2"/>
          </rPr>
          <t>jarmylly:</t>
        </r>
        <r>
          <rPr>
            <sz val="9"/>
            <color indexed="81"/>
            <rFont val="Tahoma"/>
            <family val="2"/>
          </rPr>
          <t xml:space="preserve">
Image name: netact_rhel_base</t>
        </r>
      </text>
    </comment>
    <comment ref="L61" authorId="0" shapeId="0" xr:uid="{D2E89281-E0F1-4C46-A3CD-C94650BD6DA4}">
      <text>
        <r>
          <rPr>
            <b/>
            <sz val="9"/>
            <color indexed="81"/>
            <rFont val="Tahoma"/>
            <family val="2"/>
          </rPr>
          <t>jarmylly:</t>
        </r>
        <r>
          <rPr>
            <sz val="9"/>
            <color indexed="81"/>
            <rFont val="Tahoma"/>
            <family val="2"/>
          </rPr>
          <t xml:space="preserve">
Image name: netact_rhel_base</t>
        </r>
      </text>
    </comment>
    <comment ref="L62" authorId="0" shapeId="0" xr:uid="{860987B9-B624-4EF7-B46B-6EC6D338607A}">
      <text>
        <r>
          <rPr>
            <b/>
            <sz val="9"/>
            <color indexed="81"/>
            <rFont val="Tahoma"/>
            <family val="2"/>
          </rPr>
          <t>jarmylly:</t>
        </r>
        <r>
          <rPr>
            <sz val="9"/>
            <color indexed="81"/>
            <rFont val="Tahoma"/>
            <family val="2"/>
          </rPr>
          <t xml:space="preserve">
Image name: netact_rhel_base</t>
        </r>
      </text>
    </comment>
    <comment ref="L63" authorId="0" shapeId="0" xr:uid="{F996F597-823C-4BD5-B0B6-D56693ED4671}">
      <text>
        <r>
          <rPr>
            <b/>
            <sz val="9"/>
            <color indexed="81"/>
            <rFont val="Tahoma"/>
            <family val="2"/>
          </rPr>
          <t>jarmylly:</t>
        </r>
        <r>
          <rPr>
            <sz val="9"/>
            <color indexed="81"/>
            <rFont val="Tahoma"/>
            <family val="2"/>
          </rPr>
          <t xml:space="preserve">
Image name: netact_rhel_base</t>
        </r>
      </text>
    </comment>
    <comment ref="L64" authorId="0" shapeId="0" xr:uid="{2716899F-CCF5-4B24-AFEE-8ECFCB8AC094}">
      <text>
        <r>
          <rPr>
            <b/>
            <sz val="9"/>
            <color indexed="81"/>
            <rFont val="Tahoma"/>
            <family val="2"/>
          </rPr>
          <t>jarmylly:</t>
        </r>
        <r>
          <rPr>
            <sz val="9"/>
            <color indexed="81"/>
            <rFont val="Tahoma"/>
            <family val="2"/>
          </rPr>
          <t xml:space="preserve">
Image name: netact_rhel_base</t>
        </r>
      </text>
    </comment>
    <comment ref="L65" authorId="0" shapeId="0" xr:uid="{40CDF90D-2AF4-47A4-9E16-4A37510F19CD}">
      <text>
        <r>
          <rPr>
            <b/>
            <sz val="9"/>
            <color indexed="81"/>
            <rFont val="Tahoma"/>
            <family val="2"/>
          </rPr>
          <t>jarmylly:</t>
        </r>
        <r>
          <rPr>
            <sz val="9"/>
            <color indexed="81"/>
            <rFont val="Tahoma"/>
            <family val="2"/>
          </rPr>
          <t xml:space="preserve">
Image name: netact_rhel_base</t>
        </r>
      </text>
    </comment>
    <comment ref="L66" authorId="0" shapeId="0" xr:uid="{87D19CE6-DF07-4A3C-A8E8-F69D102660AC}">
      <text>
        <r>
          <rPr>
            <b/>
            <sz val="9"/>
            <color indexed="81"/>
            <rFont val="Tahoma"/>
            <family val="2"/>
          </rPr>
          <t>jarmylly:</t>
        </r>
        <r>
          <rPr>
            <sz val="9"/>
            <color indexed="81"/>
            <rFont val="Tahoma"/>
            <family val="2"/>
          </rPr>
          <t xml:space="preserve">
Image name: netact_rhel_base</t>
        </r>
      </text>
    </comment>
    <comment ref="H67" authorId="0" shapeId="0" xr:uid="{53D29597-32D6-4E77-B0FD-7F3125C26752}">
      <text>
        <r>
          <rPr>
            <b/>
            <sz val="9"/>
            <color indexed="81"/>
            <rFont val="Tahoma"/>
            <family val="2"/>
          </rPr>
          <t>jarmylly:</t>
        </r>
        <r>
          <rPr>
            <sz val="9"/>
            <color indexed="81"/>
            <rFont val="Tahoma"/>
            <family val="2"/>
          </rPr>
          <t xml:space="preserve">
Contains two disks:
- Disk-1: 30,720GB
- Disk-2: 81,920GB</t>
        </r>
      </text>
    </comment>
    <comment ref="L67" authorId="0" shapeId="0" xr:uid="{8FF65B82-F147-4B2D-B2D1-F0C9335D9C0A}">
      <text>
        <r>
          <rPr>
            <b/>
            <sz val="9"/>
            <color indexed="81"/>
            <rFont val="Tahoma"/>
            <family val="2"/>
          </rPr>
          <t>jarmylly:</t>
        </r>
        <r>
          <rPr>
            <sz val="9"/>
            <color indexed="81"/>
            <rFont val="Tahoma"/>
            <family val="2"/>
          </rPr>
          <t xml:space="preserve">
Image name: netact_rhel_base</t>
        </r>
      </text>
    </comment>
    <comment ref="H68" authorId="0" shapeId="0" xr:uid="{BDEDB4A1-572D-4FAF-A1F8-65DB0D7F091D}">
      <text>
        <r>
          <rPr>
            <b/>
            <sz val="9"/>
            <color indexed="81"/>
            <rFont val="Tahoma"/>
            <family val="2"/>
          </rPr>
          <t>jarmylly:</t>
        </r>
        <r>
          <rPr>
            <sz val="9"/>
            <color indexed="81"/>
            <rFont val="Tahoma"/>
            <family val="2"/>
          </rPr>
          <t xml:space="preserve">
Contains two disks:
- Disk-1: 30,720GB
- Disk-2: 81,920GB</t>
        </r>
      </text>
    </comment>
    <comment ref="L68" authorId="0" shapeId="0" xr:uid="{C21AC422-89FF-43BC-B89B-91F437298812}">
      <text>
        <r>
          <rPr>
            <b/>
            <sz val="9"/>
            <color indexed="81"/>
            <rFont val="Tahoma"/>
            <family val="2"/>
          </rPr>
          <t>jarmylly:</t>
        </r>
        <r>
          <rPr>
            <sz val="9"/>
            <color indexed="81"/>
            <rFont val="Tahoma"/>
            <family val="2"/>
          </rPr>
          <t xml:space="preserve">
Image name: netact_rhel_base</t>
        </r>
      </text>
    </comment>
    <comment ref="L69" authorId="0" shapeId="0" xr:uid="{1A03FA60-CFAA-4CA3-AD0E-BD52B21DFC74}">
      <text>
        <r>
          <rPr>
            <b/>
            <sz val="9"/>
            <color indexed="81"/>
            <rFont val="Tahoma"/>
            <family val="2"/>
          </rPr>
          <t>jarmylly:</t>
        </r>
        <r>
          <rPr>
            <sz val="9"/>
            <color indexed="81"/>
            <rFont val="Tahoma"/>
            <family val="2"/>
          </rPr>
          <t xml:space="preserve">
Image name: netact_rhel_base</t>
        </r>
      </text>
    </comment>
    <comment ref="L70" authorId="0" shapeId="0" xr:uid="{C4D85B37-126C-4551-BD96-9C515499C46A}">
      <text>
        <r>
          <rPr>
            <b/>
            <sz val="9"/>
            <color indexed="81"/>
            <rFont val="Tahoma"/>
            <family val="2"/>
          </rPr>
          <t>jarmylly:</t>
        </r>
        <r>
          <rPr>
            <sz val="9"/>
            <color indexed="81"/>
            <rFont val="Tahoma"/>
            <family val="2"/>
          </rPr>
          <t xml:space="preserve">
Image name: netact_rhel_base</t>
        </r>
      </text>
    </comment>
    <comment ref="L71" authorId="0" shapeId="0" xr:uid="{EFDAD88F-3C85-48FC-A819-174A9FF1355A}">
      <text>
        <r>
          <rPr>
            <b/>
            <sz val="9"/>
            <color indexed="81"/>
            <rFont val="Tahoma"/>
            <family val="2"/>
          </rPr>
          <t>jarmylly:</t>
        </r>
        <r>
          <rPr>
            <sz val="9"/>
            <color indexed="81"/>
            <rFont val="Tahoma"/>
            <family val="2"/>
          </rPr>
          <t xml:space="preserve">
Image name: netact_rhel_base</t>
        </r>
      </text>
    </comment>
    <comment ref="L72" authorId="0" shapeId="0" xr:uid="{47DEA379-5D7B-4441-BFB5-D9F15D49E644}">
      <text>
        <r>
          <rPr>
            <b/>
            <sz val="9"/>
            <color indexed="81"/>
            <rFont val="Tahoma"/>
            <family val="2"/>
          </rPr>
          <t>jarmylly:</t>
        </r>
        <r>
          <rPr>
            <sz val="9"/>
            <color indexed="81"/>
            <rFont val="Tahoma"/>
            <family val="2"/>
          </rPr>
          <t xml:space="preserve">
Image name: netact_rhel_base</t>
        </r>
      </text>
    </comment>
    <comment ref="BE73" authorId="0" shapeId="0" xr:uid="{C8D84A37-FD34-4AB7-8D5F-3F810B774DD6}">
      <text>
        <r>
          <rPr>
            <b/>
            <sz val="9"/>
            <color indexed="81"/>
            <rFont val="Tahoma"/>
            <family val="2"/>
          </rPr>
          <t>jarmylly:</t>
        </r>
        <r>
          <rPr>
            <sz val="9"/>
            <color indexed="81"/>
            <rFont val="Tahoma"/>
            <family val="2"/>
          </rPr>
          <t xml:space="preserve">
IPv4: 3
IPv4/IPv6: 5</t>
        </r>
      </text>
    </comment>
    <comment ref="L77" authorId="0" shapeId="0" xr:uid="{73941496-E222-4ECF-8F80-0E92494CCC65}">
      <text>
        <r>
          <rPr>
            <b/>
            <sz val="9"/>
            <color indexed="81"/>
            <rFont val="Tahoma"/>
            <family val="2"/>
          </rPr>
          <t>jarmylly:</t>
        </r>
        <r>
          <rPr>
            <sz val="9"/>
            <color indexed="81"/>
            <rFont val="Tahoma"/>
            <family val="2"/>
          </rPr>
          <t xml:space="preserve">
Image name: netact_rhel_base</t>
        </r>
      </text>
    </comment>
    <comment ref="L78" authorId="0" shapeId="0" xr:uid="{D303759E-1C2C-4A4F-BC51-15CA925AC71D}">
      <text>
        <r>
          <rPr>
            <b/>
            <sz val="9"/>
            <color indexed="81"/>
            <rFont val="Tahoma"/>
            <family val="2"/>
          </rPr>
          <t>jarmylly:</t>
        </r>
        <r>
          <rPr>
            <sz val="9"/>
            <color indexed="81"/>
            <rFont val="Tahoma"/>
            <family val="2"/>
          </rPr>
          <t xml:space="preserve">
Image name: netact_rhel_base</t>
        </r>
      </text>
    </comment>
    <comment ref="L79" authorId="0" shapeId="0" xr:uid="{003F7C0E-3906-4E89-8CBB-8CFE371CFD92}">
      <text>
        <r>
          <rPr>
            <b/>
            <sz val="9"/>
            <color indexed="81"/>
            <rFont val="Tahoma"/>
            <family val="2"/>
          </rPr>
          <t>jarmylly:</t>
        </r>
        <r>
          <rPr>
            <sz val="9"/>
            <color indexed="81"/>
            <rFont val="Tahoma"/>
            <family val="2"/>
          </rPr>
          <t xml:space="preserve">
Image name: netact_rhel_base</t>
        </r>
      </text>
    </comment>
    <comment ref="L80" authorId="0" shapeId="0" xr:uid="{59100104-9969-4ABA-88C7-AC33C5647194}">
      <text>
        <r>
          <rPr>
            <b/>
            <sz val="9"/>
            <color indexed="81"/>
            <rFont val="Tahoma"/>
            <family val="2"/>
          </rPr>
          <t>jarmylly:</t>
        </r>
        <r>
          <rPr>
            <sz val="9"/>
            <color indexed="81"/>
            <rFont val="Tahoma"/>
            <family val="2"/>
          </rPr>
          <t xml:space="preserve">
Image name: netact_rhel_base</t>
        </r>
      </text>
    </comment>
    <comment ref="L81" authorId="0" shapeId="0" xr:uid="{0F1D6854-E9E4-42D8-879F-1A0A9F6EE297}">
      <text>
        <r>
          <rPr>
            <b/>
            <sz val="9"/>
            <color indexed="81"/>
            <rFont val="Tahoma"/>
            <family val="2"/>
          </rPr>
          <t>jarmylly:</t>
        </r>
        <r>
          <rPr>
            <sz val="9"/>
            <color indexed="81"/>
            <rFont val="Tahoma"/>
            <family val="2"/>
          </rPr>
          <t xml:space="preserve">
Image name: netact_rhel_base</t>
        </r>
      </text>
    </comment>
    <comment ref="L82" authorId="0" shapeId="0" xr:uid="{C9D39927-D029-4176-8659-5099925DA1E4}">
      <text>
        <r>
          <rPr>
            <b/>
            <sz val="9"/>
            <color indexed="81"/>
            <rFont val="Tahoma"/>
            <family val="2"/>
          </rPr>
          <t>jarmylly:</t>
        </r>
        <r>
          <rPr>
            <sz val="9"/>
            <color indexed="81"/>
            <rFont val="Tahoma"/>
            <family val="2"/>
          </rPr>
          <t xml:space="preserve">
Image name: netact_rhel_base</t>
        </r>
      </text>
    </comment>
    <comment ref="BE83" authorId="0" shapeId="0" xr:uid="{E0FB38E7-AFA2-4FBD-8A74-187112CD7E87}">
      <text>
        <r>
          <rPr>
            <b/>
            <sz val="9"/>
            <color indexed="81"/>
            <rFont val="Tahoma"/>
            <family val="2"/>
          </rPr>
          <t>jarmylly:</t>
        </r>
        <r>
          <rPr>
            <sz val="9"/>
            <color indexed="81"/>
            <rFont val="Tahoma"/>
            <family val="2"/>
          </rPr>
          <t xml:space="preserve">
IPv4: 3
IPv4/IPv6: 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jarmylly</author>
    <author>Thippeswamy, Suresh (Nokia - IN/Bangalore)</author>
    <author>Rastogi, Alok (Nokia - IN/Bangalore)</author>
  </authors>
  <commentList>
    <comment ref="K7" authorId="0" shapeId="0" xr:uid="{C4687246-3749-4C93-924B-782886AB4E53}">
      <text>
        <r>
          <rPr>
            <b/>
            <sz val="9"/>
            <color indexed="81"/>
            <rFont val="Tahoma"/>
            <family val="2"/>
          </rPr>
          <t>jarmylly:</t>
        </r>
        <r>
          <rPr>
            <sz val="9"/>
            <color indexed="81"/>
            <rFont val="Tahoma"/>
            <family val="2"/>
          </rPr>
          <t xml:space="preserve">
Only if Airframe Hardware used</t>
        </r>
      </text>
    </comment>
    <comment ref="O7" authorId="0" shapeId="0" xr:uid="{44F50E06-8419-4ACF-B7B3-BE763B809FE5}">
      <text>
        <r>
          <rPr>
            <b/>
            <sz val="9"/>
            <color indexed="81"/>
            <rFont val="Tahoma"/>
            <family val="2"/>
          </rPr>
          <t>jarmylly:</t>
        </r>
        <r>
          <rPr>
            <sz val="9"/>
            <color indexed="81"/>
            <rFont val="Tahoma"/>
            <family val="2"/>
          </rPr>
          <t xml:space="preserve">
Only if Airframe Hardware used</t>
        </r>
      </text>
    </comment>
    <comment ref="S7" authorId="0" shapeId="0" xr:uid="{709F52DA-5B45-40B1-9B35-B4995C8C558D}">
      <text>
        <r>
          <rPr>
            <b/>
            <sz val="9"/>
            <color indexed="81"/>
            <rFont val="Tahoma"/>
            <family val="2"/>
          </rPr>
          <t>jarmylly:</t>
        </r>
        <r>
          <rPr>
            <sz val="9"/>
            <color indexed="81"/>
            <rFont val="Tahoma"/>
            <family val="2"/>
          </rPr>
          <t xml:space="preserve">
Only if Airframe Hardware used</t>
        </r>
      </text>
    </comment>
    <comment ref="W7" authorId="0" shapeId="0" xr:uid="{1A7BB6AC-4D74-49C1-82CC-23FC121321E9}">
      <text>
        <r>
          <rPr>
            <b/>
            <sz val="9"/>
            <color indexed="81"/>
            <rFont val="Tahoma"/>
            <family val="2"/>
          </rPr>
          <t>jarmylly:</t>
        </r>
        <r>
          <rPr>
            <sz val="9"/>
            <color indexed="81"/>
            <rFont val="Tahoma"/>
            <family val="2"/>
          </rPr>
          <t xml:space="preserve">
Only if Airframe Hardware used</t>
        </r>
      </text>
    </comment>
    <comment ref="AA7" authorId="0" shapeId="0" xr:uid="{19F628AD-2CED-496B-A734-5783FEC760DF}">
      <text>
        <r>
          <rPr>
            <b/>
            <sz val="9"/>
            <color indexed="81"/>
            <rFont val="Tahoma"/>
            <family val="2"/>
          </rPr>
          <t>jarmylly:</t>
        </r>
        <r>
          <rPr>
            <sz val="9"/>
            <color indexed="81"/>
            <rFont val="Tahoma"/>
            <family val="2"/>
          </rPr>
          <t xml:space="preserve">
Only if Airframe Hardware used</t>
        </r>
      </text>
    </comment>
    <comment ref="AE7" authorId="0" shapeId="0" xr:uid="{5EDF1378-ACD0-4746-9F9C-E8B34F4FF7C7}">
      <text>
        <r>
          <rPr>
            <b/>
            <sz val="9"/>
            <color indexed="81"/>
            <rFont val="Tahoma"/>
            <family val="2"/>
          </rPr>
          <t>jarmylly:</t>
        </r>
        <r>
          <rPr>
            <sz val="9"/>
            <color indexed="81"/>
            <rFont val="Tahoma"/>
            <family val="2"/>
          </rPr>
          <t xml:space="preserve">
Only if Airframe Hardware used</t>
        </r>
      </text>
    </comment>
    <comment ref="AI7" authorId="0" shapeId="0" xr:uid="{189E2576-DF57-41E9-B327-D45F065B4AC6}">
      <text>
        <r>
          <rPr>
            <b/>
            <sz val="9"/>
            <color indexed="81"/>
            <rFont val="Tahoma"/>
            <family val="2"/>
          </rPr>
          <t>jarmylly:</t>
        </r>
        <r>
          <rPr>
            <sz val="9"/>
            <color indexed="81"/>
            <rFont val="Tahoma"/>
            <family val="2"/>
          </rPr>
          <t xml:space="preserve">
Only if Airframe Hardware used</t>
        </r>
      </text>
    </comment>
    <comment ref="AM7" authorId="0" shapeId="0" xr:uid="{9CB7BD06-F3A8-4B0B-88A1-E1C21FD4D0C6}">
      <text>
        <r>
          <rPr>
            <b/>
            <sz val="9"/>
            <color indexed="81"/>
            <rFont val="Tahoma"/>
            <family val="2"/>
          </rPr>
          <t>jarmylly:</t>
        </r>
        <r>
          <rPr>
            <sz val="9"/>
            <color indexed="81"/>
            <rFont val="Tahoma"/>
            <family val="2"/>
          </rPr>
          <t xml:space="preserve">
Only if Airframe Hardware used</t>
        </r>
      </text>
    </comment>
    <comment ref="AQ7" authorId="0" shapeId="0" xr:uid="{032CC79C-B895-41E4-AF4E-8CBEFAA09364}">
      <text>
        <r>
          <rPr>
            <b/>
            <sz val="9"/>
            <color indexed="81"/>
            <rFont val="Tahoma"/>
            <family val="2"/>
          </rPr>
          <t>jarmylly:</t>
        </r>
        <r>
          <rPr>
            <sz val="9"/>
            <color indexed="81"/>
            <rFont val="Tahoma"/>
            <family val="2"/>
          </rPr>
          <t xml:space="preserve">
Only if Airframe Hardware used</t>
        </r>
      </text>
    </comment>
    <comment ref="AU7" authorId="0" shapeId="0" xr:uid="{D352AFD5-8897-4E0B-A843-C679DE51E561}">
      <text>
        <r>
          <rPr>
            <b/>
            <sz val="9"/>
            <color indexed="81"/>
            <rFont val="Tahoma"/>
            <family val="2"/>
          </rPr>
          <t>jarmylly:</t>
        </r>
        <r>
          <rPr>
            <sz val="9"/>
            <color indexed="81"/>
            <rFont val="Tahoma"/>
            <family val="2"/>
          </rPr>
          <t xml:space="preserve">
Only if Airframe Hardware used</t>
        </r>
      </text>
    </comment>
    <comment ref="L8" authorId="0" shapeId="0" xr:uid="{DB35D570-E94C-42D5-B230-CFAF4643F8A1}">
      <text>
        <r>
          <rPr>
            <b/>
            <sz val="9"/>
            <color indexed="81"/>
            <rFont val="Tahoma"/>
            <family val="2"/>
          </rPr>
          <t>jarmylly:</t>
        </r>
        <r>
          <rPr>
            <sz val="9"/>
            <color indexed="81"/>
            <rFont val="Tahoma"/>
            <family val="2"/>
          </rPr>
          <t xml:space="preserve">
Images name: rhel7_insteng</t>
        </r>
      </text>
    </comment>
    <comment ref="L9" authorId="0" shapeId="0" xr:uid="{38FB901B-CC84-4E19-B4AD-594E3D9044F6}">
      <text>
        <r>
          <rPr>
            <b/>
            <sz val="9"/>
            <color indexed="81"/>
            <rFont val="Tahoma"/>
            <family val="2"/>
          </rPr>
          <t>jarmylly:</t>
        </r>
        <r>
          <rPr>
            <sz val="9"/>
            <color indexed="81"/>
            <rFont val="Tahoma"/>
            <family val="2"/>
          </rPr>
          <t xml:space="preserve">
Image name: administration_server</t>
        </r>
      </text>
    </comment>
    <comment ref="L10" authorId="0" shapeId="0" xr:uid="{CF507340-A384-4E52-B712-1145AABFBA32}">
      <text>
        <r>
          <rPr>
            <b/>
            <sz val="9"/>
            <color indexed="81"/>
            <rFont val="Tahoma"/>
            <family val="2"/>
          </rPr>
          <t>jarmylly:</t>
        </r>
        <r>
          <rPr>
            <sz val="9"/>
            <color indexed="81"/>
            <rFont val="Tahoma"/>
            <family val="2"/>
          </rPr>
          <t xml:space="preserve">
Image name: netact_rhel_base</t>
        </r>
      </text>
    </comment>
    <comment ref="L11" authorId="0" shapeId="0" xr:uid="{DE6DFBBC-6EB5-46C4-889C-845BF565FEE8}">
      <text>
        <r>
          <rPr>
            <b/>
            <sz val="9"/>
            <color indexed="81"/>
            <rFont val="Tahoma"/>
            <family val="2"/>
          </rPr>
          <t>jarmylly:</t>
        </r>
        <r>
          <rPr>
            <sz val="9"/>
            <color indexed="81"/>
            <rFont val="Tahoma"/>
            <family val="2"/>
          </rPr>
          <t xml:space="preserve">
Image name: netact_rhel_base</t>
        </r>
      </text>
    </comment>
    <comment ref="M11" authorId="1" shapeId="0" xr:uid="{7BC3C433-F02A-4111-9400-5DECC169099B}">
      <text>
        <r>
          <rPr>
            <b/>
            <sz val="9"/>
            <color indexed="81"/>
            <rFont val="Tahoma"/>
            <family val="2"/>
          </rPr>
          <t>Thippeswamy, Suresh (Nokia - IN/Bangalore):</t>
        </r>
        <r>
          <rPr>
            <sz val="9"/>
            <color indexed="81"/>
            <rFont val="Tahoma"/>
            <family val="2"/>
          </rPr>
          <t xml:space="preserve">
2 disks for striping, each disk size 235520MB</t>
        </r>
      </text>
    </comment>
    <comment ref="P11" authorId="0" shapeId="0" xr:uid="{BF802673-032D-4D3D-BC84-0291EEA2008D}">
      <text>
        <r>
          <rPr>
            <b/>
            <sz val="9"/>
            <color indexed="81"/>
            <rFont val="Tahoma"/>
            <family val="2"/>
          </rPr>
          <t>jarmylly:</t>
        </r>
        <r>
          <rPr>
            <sz val="9"/>
            <color indexed="81"/>
            <rFont val="Tahoma"/>
            <family val="2"/>
          </rPr>
          <t xml:space="preserve">
Image name: vgredo</t>
        </r>
      </text>
    </comment>
    <comment ref="Q11" authorId="1" shapeId="0" xr:uid="{203520F1-AF65-4338-A6E0-733FBB86F8AC}">
      <text>
        <r>
          <rPr>
            <b/>
            <sz val="9"/>
            <color indexed="81"/>
            <rFont val="Tahoma"/>
            <family val="2"/>
          </rPr>
          <t>Thippeswamy, Suresh (Nokia - IN/Bangalore):</t>
        </r>
        <r>
          <rPr>
            <sz val="9"/>
            <color indexed="81"/>
            <rFont val="Tahoma"/>
            <family val="2"/>
          </rPr>
          <t xml:space="preserve">
8 disks for striping, each disk size 1945600MB</t>
        </r>
      </text>
    </comment>
    <comment ref="T11" authorId="0" shapeId="0" xr:uid="{4B560C1B-F9BD-496A-BA5A-024E0C8536BC}">
      <text>
        <r>
          <rPr>
            <b/>
            <sz val="9"/>
            <color indexed="81"/>
            <rFont val="Tahoma"/>
            <family val="2"/>
          </rPr>
          <t>jarmylly:</t>
        </r>
        <r>
          <rPr>
            <sz val="9"/>
            <color indexed="81"/>
            <rFont val="Tahoma"/>
            <family val="2"/>
          </rPr>
          <t xml:space="preserve">
Image name: vgdb</t>
        </r>
      </text>
    </comment>
    <comment ref="U11" authorId="1" shapeId="0" xr:uid="{3AAB1009-D674-43B4-84CC-AB41A328A716}">
      <text>
        <r>
          <rPr>
            <b/>
            <sz val="9"/>
            <color indexed="81"/>
            <rFont val="Tahoma"/>
            <family val="2"/>
          </rPr>
          <t>Thippeswamy, Suresh (Nokia - IN/Bangalore):</t>
        </r>
        <r>
          <rPr>
            <sz val="9"/>
            <color indexed="81"/>
            <rFont val="Tahoma"/>
            <family val="2"/>
          </rPr>
          <t xml:space="preserve">
2 disks for striping, each disk size 8499200MB</t>
        </r>
      </text>
    </comment>
    <comment ref="X11" authorId="0" shapeId="0" xr:uid="{F6E86689-3EE1-4D32-8716-CA7A77884B51}">
      <text>
        <r>
          <rPr>
            <b/>
            <sz val="9"/>
            <color indexed="81"/>
            <rFont val="Tahoma"/>
            <family val="2"/>
          </rPr>
          <t>jarmylly:</t>
        </r>
        <r>
          <rPr>
            <sz val="9"/>
            <color indexed="81"/>
            <rFont val="Tahoma"/>
            <family val="2"/>
          </rPr>
          <t xml:space="preserve">
Image name: vgarc</t>
        </r>
      </text>
    </comment>
    <comment ref="AG11" authorId="1" shapeId="0" xr:uid="{9A63C9A9-96DE-4F5A-B737-7D0207543BFB}">
      <text>
        <r>
          <rPr>
            <b/>
            <sz val="9"/>
            <color indexed="81"/>
            <rFont val="Tahoma"/>
            <family val="2"/>
          </rPr>
          <t>Thippeswamy, Suresh (Nokia - IN/Bangalore):</t>
        </r>
        <r>
          <rPr>
            <sz val="9"/>
            <color indexed="81"/>
            <rFont val="Tahoma"/>
            <family val="2"/>
          </rPr>
          <t xml:space="preserve">
8 disks for striping, each disk size 4015872MB</t>
        </r>
      </text>
    </comment>
    <comment ref="L12" authorId="0" shapeId="0" xr:uid="{E8277EF1-E9E6-4306-BF2D-A8E8F549755A}">
      <text>
        <r>
          <rPr>
            <b/>
            <sz val="9"/>
            <color indexed="81"/>
            <rFont val="Tahoma"/>
            <family val="2"/>
          </rPr>
          <t>jarmylly:</t>
        </r>
        <r>
          <rPr>
            <sz val="9"/>
            <color indexed="81"/>
            <rFont val="Tahoma"/>
            <family val="2"/>
          </rPr>
          <t xml:space="preserve">
Image name: netact_rhel_base</t>
        </r>
      </text>
    </comment>
    <comment ref="Y12" authorId="2" shapeId="0" xr:uid="{7156168C-613C-46AA-ABE1-7C37B401A38D}">
      <text>
        <r>
          <rPr>
            <b/>
            <sz val="9"/>
            <color indexed="81"/>
            <rFont val="Tahoma"/>
            <family val="2"/>
          </rPr>
          <t>Rastogi, Alok (Nokia - IN/Bangalore):</t>
        </r>
        <r>
          <rPr>
            <sz val="9"/>
            <color indexed="81"/>
            <rFont val="Tahoma"/>
            <family val="2"/>
          </rPr>
          <t xml:space="preserve">
Contains four Disks;
1 Disk for Home:93184  MB
2 Disks for Global : each disk size 549888 MB for striping
1 dDsk for WAS dump: 87040 MB</t>
        </r>
      </text>
    </comment>
    <comment ref="AB12" authorId="0" shapeId="0" xr:uid="{15998048-BDF6-44CB-BF28-2AFD121E0496}">
      <text>
        <r>
          <rPr>
            <b/>
            <sz val="9"/>
            <color indexed="81"/>
            <rFont val="Tahoma"/>
            <family val="2"/>
          </rPr>
          <t>jarmylly:</t>
        </r>
        <r>
          <rPr>
            <sz val="9"/>
            <color indexed="81"/>
            <rFont val="Tahoma"/>
            <family val="2"/>
          </rPr>
          <t xml:space="preserve">
Image names:
- vgglobal
- vghome</t>
        </r>
      </text>
    </comment>
    <comment ref="AC12" authorId="0" shapeId="0" xr:uid="{A429D4E2-9CB1-44B8-B47F-9A6CA80232AF}">
      <text>
        <r>
          <rPr>
            <b/>
            <sz val="9"/>
            <color indexed="81"/>
            <rFont val="Tahoma"/>
            <family val="2"/>
          </rPr>
          <t>jarmylly:</t>
        </r>
        <r>
          <rPr>
            <sz val="9"/>
            <color indexed="81"/>
            <rFont val="Tahoma"/>
            <family val="2"/>
          </rPr>
          <t xml:space="preserve">
Reserved for customer own data.</t>
        </r>
      </text>
    </comment>
    <comment ref="AW12" authorId="1" shapeId="0" xr:uid="{7615103F-A73A-4813-99F8-56231B875637}">
      <text>
        <r>
          <rPr>
            <b/>
            <sz val="9"/>
            <color indexed="81"/>
            <rFont val="Tahoma"/>
            <family val="2"/>
          </rPr>
          <t>Thippeswamy, Suresh (Nokia - IN/Bangalore):</t>
        </r>
        <r>
          <rPr>
            <sz val="9"/>
            <color indexed="81"/>
            <rFont val="Tahoma"/>
            <family val="2"/>
          </rPr>
          <t xml:space="preserve">
6 Including Customer Volume otherwise 5</t>
        </r>
      </text>
    </comment>
    <comment ref="L13" authorId="0" shapeId="0" xr:uid="{5718F09A-31BB-4DA1-902D-59F4F4D99010}">
      <text>
        <r>
          <rPr>
            <b/>
            <sz val="9"/>
            <color indexed="81"/>
            <rFont val="Tahoma"/>
            <family val="2"/>
          </rPr>
          <t>jarmylly:</t>
        </r>
        <r>
          <rPr>
            <sz val="9"/>
            <color indexed="81"/>
            <rFont val="Tahoma"/>
            <family val="2"/>
          </rPr>
          <t xml:space="preserve">
Image name: netact_rhel_base</t>
        </r>
      </text>
    </comment>
    <comment ref="L14" authorId="0" shapeId="0" xr:uid="{39576EB2-A001-4291-8958-3404C1AC007B}">
      <text>
        <r>
          <rPr>
            <b/>
            <sz val="9"/>
            <color indexed="81"/>
            <rFont val="Tahoma"/>
            <family val="2"/>
          </rPr>
          <t>jarmylly:</t>
        </r>
        <r>
          <rPr>
            <sz val="9"/>
            <color indexed="81"/>
            <rFont val="Tahoma"/>
            <family val="2"/>
          </rPr>
          <t xml:space="preserve">
Image name: netact_rhel_base</t>
        </r>
      </text>
    </comment>
    <comment ref="L15" authorId="0" shapeId="0" xr:uid="{ADE71807-CD6A-4F3C-9E9D-C75AEEDBBD98}">
      <text>
        <r>
          <rPr>
            <b/>
            <sz val="9"/>
            <color indexed="81"/>
            <rFont val="Tahoma"/>
            <family val="2"/>
          </rPr>
          <t>jarmylly:</t>
        </r>
        <r>
          <rPr>
            <sz val="9"/>
            <color indexed="81"/>
            <rFont val="Tahoma"/>
            <family val="2"/>
          </rPr>
          <t xml:space="preserve">
Image name: netact_rhel_base</t>
        </r>
      </text>
    </comment>
    <comment ref="L16" authorId="0" shapeId="0" xr:uid="{9AC4759B-EC61-4BC2-99B2-3DE9D7B98E04}">
      <text>
        <r>
          <rPr>
            <b/>
            <sz val="9"/>
            <color indexed="81"/>
            <rFont val="Tahoma"/>
            <family val="2"/>
          </rPr>
          <t>jarmylly:</t>
        </r>
        <r>
          <rPr>
            <sz val="9"/>
            <color indexed="81"/>
            <rFont val="Tahoma"/>
            <family val="2"/>
          </rPr>
          <t xml:space="preserve">
Image name: netact_rhel_base</t>
        </r>
      </text>
    </comment>
    <comment ref="L17" authorId="0" shapeId="0" xr:uid="{476EDA0E-7D9A-4124-A1B0-34BE3AA88269}">
      <text>
        <r>
          <rPr>
            <b/>
            <sz val="9"/>
            <color indexed="81"/>
            <rFont val="Tahoma"/>
            <family val="2"/>
          </rPr>
          <t>jarmylly:</t>
        </r>
        <r>
          <rPr>
            <sz val="9"/>
            <color indexed="81"/>
            <rFont val="Tahoma"/>
            <family val="2"/>
          </rPr>
          <t xml:space="preserve">
Image name: netact_rhel_base</t>
        </r>
      </text>
    </comment>
    <comment ref="L18" authorId="0" shapeId="0" xr:uid="{60BFCF8A-087A-44C1-92C1-0A33357CACD6}">
      <text>
        <r>
          <rPr>
            <b/>
            <sz val="9"/>
            <color indexed="81"/>
            <rFont val="Tahoma"/>
            <family val="2"/>
          </rPr>
          <t>jarmylly:</t>
        </r>
        <r>
          <rPr>
            <sz val="9"/>
            <color indexed="81"/>
            <rFont val="Tahoma"/>
            <family val="2"/>
          </rPr>
          <t xml:space="preserve">
Image name: netact_rhel_base</t>
        </r>
      </text>
    </comment>
    <comment ref="L19" authorId="0" shapeId="0" xr:uid="{93AE5C75-4638-4E89-B315-FF49171CF6A2}">
      <text>
        <r>
          <rPr>
            <b/>
            <sz val="9"/>
            <color indexed="81"/>
            <rFont val="Tahoma"/>
            <family val="2"/>
          </rPr>
          <t>jarmylly:</t>
        </r>
        <r>
          <rPr>
            <sz val="9"/>
            <color indexed="81"/>
            <rFont val="Tahoma"/>
            <family val="2"/>
          </rPr>
          <t xml:space="preserve">
Image name: netact_rhel_base</t>
        </r>
      </text>
    </comment>
    <comment ref="AR19" authorId="2" shapeId="0" xr:uid="{82C9D648-AC1F-412F-95AC-357346016442}">
      <text>
        <r>
          <rPr>
            <b/>
            <sz val="9"/>
            <color indexed="81"/>
            <rFont val="Tahoma"/>
            <family val="2"/>
          </rPr>
          <t xml:space="preserve"> Alok :name
</t>
        </r>
        <r>
          <rPr>
            <sz val="9"/>
            <color indexed="81"/>
            <rFont val="Tahoma"/>
            <family val="2"/>
          </rPr>
          <t>vgadm</t>
        </r>
      </text>
    </comment>
    <comment ref="L20" authorId="0" shapeId="0" xr:uid="{4E24FAA9-A695-41BF-9017-740630F87F9B}">
      <text>
        <r>
          <rPr>
            <b/>
            <sz val="9"/>
            <color indexed="81"/>
            <rFont val="Tahoma"/>
            <family val="2"/>
          </rPr>
          <t>jarmylly:</t>
        </r>
        <r>
          <rPr>
            <sz val="9"/>
            <color indexed="81"/>
            <rFont val="Tahoma"/>
            <family val="2"/>
          </rPr>
          <t xml:space="preserve">
Image name: netact_rhel_base</t>
        </r>
      </text>
    </comment>
    <comment ref="L21" authorId="0" shapeId="0" xr:uid="{5DF90D5E-B618-43CC-9ACD-A95E2315DCD7}">
      <text>
        <r>
          <rPr>
            <b/>
            <sz val="9"/>
            <color indexed="81"/>
            <rFont val="Tahoma"/>
            <family val="2"/>
          </rPr>
          <t>jarmylly:</t>
        </r>
        <r>
          <rPr>
            <sz val="9"/>
            <color indexed="81"/>
            <rFont val="Tahoma"/>
            <family val="2"/>
          </rPr>
          <t xml:space="preserve">
Image name: netact_rhel_base</t>
        </r>
      </text>
    </comment>
    <comment ref="L22" authorId="0" shapeId="0" xr:uid="{11288991-F438-4481-9FEB-ED8386D93ED3}">
      <text>
        <r>
          <rPr>
            <b/>
            <sz val="9"/>
            <color indexed="81"/>
            <rFont val="Tahoma"/>
            <family val="2"/>
          </rPr>
          <t>jarmylly:</t>
        </r>
        <r>
          <rPr>
            <sz val="9"/>
            <color indexed="81"/>
            <rFont val="Tahoma"/>
            <family val="2"/>
          </rPr>
          <t xml:space="preserve">
Image name: netact_rhel_base</t>
        </r>
      </text>
    </comment>
    <comment ref="L23" authorId="0" shapeId="0" xr:uid="{739B80B8-9335-4F05-A0EB-59ED045AE5D5}">
      <text>
        <r>
          <rPr>
            <b/>
            <sz val="9"/>
            <color indexed="81"/>
            <rFont val="Tahoma"/>
            <family val="2"/>
          </rPr>
          <t>jarmylly:</t>
        </r>
        <r>
          <rPr>
            <sz val="9"/>
            <color indexed="81"/>
            <rFont val="Tahoma"/>
            <family val="2"/>
          </rPr>
          <t xml:space="preserve">
Image name: netact_rhel_base</t>
        </r>
      </text>
    </comment>
    <comment ref="AV23" authorId="1" shapeId="0" xr:uid="{60B5E953-1C6E-4302-ACB2-71E299EC307C}">
      <text>
        <r>
          <rPr>
            <b/>
            <sz val="9"/>
            <color indexed="81"/>
            <rFont val="Tahoma"/>
            <family val="2"/>
          </rPr>
          <t>Thippeswamy, Suresh (Nokia - IN/Bangalore):</t>
        </r>
        <r>
          <rPr>
            <sz val="9"/>
            <color indexed="81"/>
            <rFont val="Tahoma"/>
            <family val="2"/>
          </rPr>
          <t xml:space="preserve">
Image name: vgisdk</t>
        </r>
      </text>
    </comment>
    <comment ref="AW23" authorId="1" shapeId="0" xr:uid="{D1D0D860-C10B-4569-A9CB-82DC4D9FBFA9}">
      <text>
        <r>
          <rPr>
            <b/>
            <sz val="9"/>
            <color indexed="81"/>
            <rFont val="Tahoma"/>
            <family val="2"/>
          </rPr>
          <t>Thippeswamy, Suresh (Nokia - IN/Bangalore):</t>
        </r>
        <r>
          <rPr>
            <sz val="9"/>
            <color indexed="81"/>
            <rFont val="Tahoma"/>
            <family val="2"/>
          </rPr>
          <t xml:space="preserve">
CRSR-227: Changed to 3 from 2</t>
        </r>
      </text>
    </comment>
    <comment ref="L24" authorId="0" shapeId="0" xr:uid="{FF45FA5E-A6F1-4C8B-B234-2102A5DDB40D}">
      <text>
        <r>
          <rPr>
            <b/>
            <sz val="9"/>
            <color indexed="81"/>
            <rFont val="Tahoma"/>
            <family val="2"/>
          </rPr>
          <t>jarmylly:</t>
        </r>
        <r>
          <rPr>
            <sz val="9"/>
            <color indexed="81"/>
            <rFont val="Tahoma"/>
            <family val="2"/>
          </rPr>
          <t xml:space="preserve">
Image name: netact_rhel_base</t>
        </r>
      </text>
    </comment>
    <comment ref="AV24" authorId="1" shapeId="0" xr:uid="{CFA64DE1-26DC-4ECB-B1FE-82391403276B}">
      <text>
        <r>
          <rPr>
            <b/>
            <sz val="9"/>
            <color indexed="81"/>
            <rFont val="Tahoma"/>
            <family val="2"/>
          </rPr>
          <t>Thippeswamy, Suresh (Nokia - IN/Bangalore):</t>
        </r>
        <r>
          <rPr>
            <sz val="9"/>
            <color indexed="81"/>
            <rFont val="Tahoma"/>
            <family val="2"/>
          </rPr>
          <t xml:space="preserve">
Image name: vgisdk</t>
        </r>
      </text>
    </comment>
    <comment ref="AW24" authorId="1" shapeId="0" xr:uid="{76AD5ACC-3E8C-43A9-929F-0570A6447E69}">
      <text>
        <r>
          <rPr>
            <b/>
            <sz val="9"/>
            <color indexed="81"/>
            <rFont val="Tahoma"/>
            <family val="2"/>
          </rPr>
          <t>Thippeswamy, Suresh (Nokia - IN/Bangalore):</t>
        </r>
        <r>
          <rPr>
            <sz val="9"/>
            <color indexed="81"/>
            <rFont val="Tahoma"/>
            <family val="2"/>
          </rPr>
          <t xml:space="preserve">
CRSR-227: Changed to 3 from 2</t>
        </r>
      </text>
    </comment>
    <comment ref="L25" authorId="0" shapeId="0" xr:uid="{7746E9AE-306A-4CF6-A2B9-63D8515502D9}">
      <text>
        <r>
          <rPr>
            <b/>
            <sz val="9"/>
            <color indexed="81"/>
            <rFont val="Tahoma"/>
            <family val="2"/>
          </rPr>
          <t>jarmylly:</t>
        </r>
        <r>
          <rPr>
            <sz val="9"/>
            <color indexed="81"/>
            <rFont val="Tahoma"/>
            <family val="2"/>
          </rPr>
          <t xml:space="preserve">
Image name: netact_rhel_base</t>
        </r>
      </text>
    </comment>
    <comment ref="L26" authorId="0" shapeId="0" xr:uid="{48A5C3A6-9D6F-467F-97B1-B9C83501EA06}">
      <text>
        <r>
          <rPr>
            <b/>
            <sz val="9"/>
            <color indexed="81"/>
            <rFont val="Tahoma"/>
            <family val="2"/>
          </rPr>
          <t>jarmylly:</t>
        </r>
        <r>
          <rPr>
            <sz val="9"/>
            <color indexed="81"/>
            <rFont val="Tahoma"/>
            <family val="2"/>
          </rPr>
          <t xml:space="preserve">
Image name: netact_rhel_base</t>
        </r>
      </text>
    </comment>
    <comment ref="L27" authorId="0" shapeId="0" xr:uid="{95EB794B-3283-4C06-AC53-88AB33EEB083}">
      <text>
        <r>
          <rPr>
            <b/>
            <sz val="9"/>
            <color indexed="81"/>
            <rFont val="Tahoma"/>
            <family val="2"/>
          </rPr>
          <t>jarmylly:</t>
        </r>
        <r>
          <rPr>
            <sz val="9"/>
            <color indexed="81"/>
            <rFont val="Tahoma"/>
            <family val="2"/>
          </rPr>
          <t xml:space="preserve">
Image name: netact_rhel_base</t>
        </r>
      </text>
    </comment>
    <comment ref="L28" authorId="0" shapeId="0" xr:uid="{DC307FA1-6BC6-4CDB-B6BD-D1084FB9F6B6}">
      <text>
        <r>
          <rPr>
            <b/>
            <sz val="9"/>
            <color indexed="81"/>
            <rFont val="Tahoma"/>
            <family val="2"/>
          </rPr>
          <t>jarmylly:</t>
        </r>
        <r>
          <rPr>
            <sz val="9"/>
            <color indexed="81"/>
            <rFont val="Tahoma"/>
            <family val="2"/>
          </rPr>
          <t xml:space="preserve">
Image name: netact_rhel_base</t>
        </r>
      </text>
    </comment>
    <comment ref="L29" authorId="0" shapeId="0" xr:uid="{0951503D-DE88-46B0-B82E-74BEC12E6078}">
      <text>
        <r>
          <rPr>
            <b/>
            <sz val="9"/>
            <color indexed="81"/>
            <rFont val="Tahoma"/>
            <family val="2"/>
          </rPr>
          <t>jarmylly:</t>
        </r>
        <r>
          <rPr>
            <sz val="9"/>
            <color indexed="81"/>
            <rFont val="Tahoma"/>
            <family val="2"/>
          </rPr>
          <t xml:space="preserve">
Image name: netact_rhel_base</t>
        </r>
      </text>
    </comment>
    <comment ref="L30" authorId="0" shapeId="0" xr:uid="{21DEBFFC-0A2E-4DD2-8D1A-D61AC5EDF054}">
      <text>
        <r>
          <rPr>
            <b/>
            <sz val="9"/>
            <color indexed="81"/>
            <rFont val="Tahoma"/>
            <family val="2"/>
          </rPr>
          <t>jarmylly:</t>
        </r>
        <r>
          <rPr>
            <sz val="9"/>
            <color indexed="81"/>
            <rFont val="Tahoma"/>
            <family val="2"/>
          </rPr>
          <t xml:space="preserve">
Image name: netact_rhel_base</t>
        </r>
      </text>
    </comment>
    <comment ref="L31" authorId="0" shapeId="0" xr:uid="{D439074B-AF04-4B03-B8C2-19D0FD46097B}">
      <text>
        <r>
          <rPr>
            <b/>
            <sz val="9"/>
            <color indexed="81"/>
            <rFont val="Tahoma"/>
            <family val="2"/>
          </rPr>
          <t>jarmylly:</t>
        </r>
        <r>
          <rPr>
            <sz val="9"/>
            <color indexed="81"/>
            <rFont val="Tahoma"/>
            <family val="2"/>
          </rPr>
          <t xml:space="preserve">
Image name: netact_rhel_base</t>
        </r>
      </text>
    </comment>
    <comment ref="L32" authorId="0" shapeId="0" xr:uid="{AC2A8ADD-51A7-4E13-8FFD-25A214294376}">
      <text>
        <r>
          <rPr>
            <b/>
            <sz val="9"/>
            <color indexed="81"/>
            <rFont val="Tahoma"/>
            <family val="2"/>
          </rPr>
          <t>jarmylly:</t>
        </r>
        <r>
          <rPr>
            <sz val="9"/>
            <color indexed="81"/>
            <rFont val="Tahoma"/>
            <family val="2"/>
          </rPr>
          <t xml:space="preserve">
Image name: netact_rhel_base</t>
        </r>
      </text>
    </comment>
    <comment ref="L33" authorId="0" shapeId="0" xr:uid="{8740CC9F-44DB-497A-AC1E-7997163A8246}">
      <text>
        <r>
          <rPr>
            <b/>
            <sz val="9"/>
            <color indexed="81"/>
            <rFont val="Tahoma"/>
            <family val="2"/>
          </rPr>
          <t>jarmylly:</t>
        </r>
        <r>
          <rPr>
            <sz val="9"/>
            <color indexed="81"/>
            <rFont val="Tahoma"/>
            <family val="2"/>
          </rPr>
          <t xml:space="preserve">
Image name: netact_rhel_base</t>
        </r>
      </text>
    </comment>
    <comment ref="L34" authorId="0" shapeId="0" xr:uid="{AF04B8A2-85FF-4A98-8EF3-2B389C4C74B1}">
      <text>
        <r>
          <rPr>
            <b/>
            <sz val="9"/>
            <color indexed="81"/>
            <rFont val="Tahoma"/>
            <family val="2"/>
          </rPr>
          <t>jarmylly:</t>
        </r>
        <r>
          <rPr>
            <sz val="9"/>
            <color indexed="81"/>
            <rFont val="Tahoma"/>
            <family val="2"/>
          </rPr>
          <t xml:space="preserve">
Image name: netact_rhel_base</t>
        </r>
      </text>
    </comment>
    <comment ref="H35" authorId="0" shapeId="0" xr:uid="{86C92874-9027-4280-8CB2-6BFCBAA47F9A}">
      <text>
        <r>
          <rPr>
            <b/>
            <sz val="9"/>
            <color indexed="81"/>
            <rFont val="Tahoma"/>
            <family val="2"/>
          </rPr>
          <t>jarmylly:</t>
        </r>
        <r>
          <rPr>
            <sz val="9"/>
            <color indexed="81"/>
            <rFont val="Tahoma"/>
            <family val="2"/>
          </rPr>
          <t xml:space="preserve">
Contains two disks:
- Disk-1: 61GB
- Disk-2: 41GB</t>
        </r>
      </text>
    </comment>
    <comment ref="L35" authorId="0" shapeId="0" xr:uid="{1D1EFE5C-2777-40DE-B44D-1AE4374EF590}">
      <text>
        <r>
          <rPr>
            <b/>
            <sz val="9"/>
            <color indexed="81"/>
            <rFont val="Tahoma"/>
            <family val="2"/>
          </rPr>
          <t>jarmylly:</t>
        </r>
        <r>
          <rPr>
            <sz val="9"/>
            <color indexed="81"/>
            <rFont val="Tahoma"/>
            <family val="2"/>
          </rPr>
          <t xml:space="preserve">
Image name: 
- NMS_DC_disk1
- NMS_DC_disk2
- cdrom_nms</t>
        </r>
      </text>
    </comment>
    <comment ref="H36" authorId="0" shapeId="0" xr:uid="{11DD7F82-E441-4A3A-8CE6-07C27783EA66}">
      <text>
        <r>
          <rPr>
            <b/>
            <sz val="9"/>
            <color indexed="81"/>
            <rFont val="Tahoma"/>
            <family val="2"/>
          </rPr>
          <t>jarmylly:</t>
        </r>
        <r>
          <rPr>
            <sz val="9"/>
            <color indexed="81"/>
            <rFont val="Tahoma"/>
            <family val="2"/>
          </rPr>
          <t xml:space="preserve">
Contains two disks:
- Disk-1: 61GB
- Disk-2: 41GB</t>
        </r>
      </text>
    </comment>
    <comment ref="L36" authorId="0" shapeId="0" xr:uid="{584EDDD2-D1BB-4B12-B383-11DD826A7848}">
      <text>
        <r>
          <rPr>
            <b/>
            <sz val="9"/>
            <color indexed="81"/>
            <rFont val="Tahoma"/>
            <family val="2"/>
          </rPr>
          <t>jarmylly:</t>
        </r>
        <r>
          <rPr>
            <sz val="9"/>
            <color indexed="81"/>
            <rFont val="Tahoma"/>
            <family val="2"/>
          </rPr>
          <t xml:space="preserve">
Image name:
- NMS_VDA_disk1
- NMS_VDA_disk2</t>
        </r>
      </text>
    </comment>
    <comment ref="H37" authorId="0" shapeId="0" xr:uid="{89AA4E20-AE6F-47C3-BCC3-55246CDC98D8}">
      <text>
        <r>
          <rPr>
            <b/>
            <sz val="9"/>
            <color indexed="81"/>
            <rFont val="Tahoma"/>
            <family val="2"/>
          </rPr>
          <t>jarmylly:</t>
        </r>
        <r>
          <rPr>
            <sz val="9"/>
            <color indexed="81"/>
            <rFont val="Tahoma"/>
            <family val="2"/>
          </rPr>
          <t xml:space="preserve">
Contains two disks:
- Disk-1: 61GB
- Disk-2: 41GB</t>
        </r>
      </text>
    </comment>
    <comment ref="L37" authorId="0" shapeId="0" xr:uid="{BE8E626D-6F4E-4A14-9700-0B3A63DD5CFF}">
      <text>
        <r>
          <rPr>
            <b/>
            <sz val="9"/>
            <color indexed="81"/>
            <rFont val="Tahoma"/>
            <family val="2"/>
          </rPr>
          <t>jarmylly:</t>
        </r>
        <r>
          <rPr>
            <sz val="9"/>
            <color indexed="81"/>
            <rFont val="Tahoma"/>
            <family val="2"/>
          </rPr>
          <t xml:space="preserve">
Image name:
- NMS_CTXDC_disk1
- NMS_CTXDC_disk2
- cdrom_nms</t>
        </r>
      </text>
    </comment>
    <comment ref="L38" authorId="0" shapeId="0" xr:uid="{065A79A9-2562-4A55-88B8-CEA2AC692FB6}">
      <text>
        <r>
          <rPr>
            <b/>
            <sz val="9"/>
            <color indexed="81"/>
            <rFont val="Tahoma"/>
            <family val="2"/>
          </rPr>
          <t>jarmylly:</t>
        </r>
        <r>
          <rPr>
            <sz val="9"/>
            <color indexed="81"/>
            <rFont val="Tahoma"/>
            <family val="2"/>
          </rPr>
          <t xml:space="preserve">
Image name: netact_rhel_base</t>
        </r>
      </text>
    </comment>
    <comment ref="AN38" authorId="0" shapeId="0" xr:uid="{DAB3CB95-F985-40A3-9A3A-836C46B349E8}">
      <text>
        <r>
          <rPr>
            <b/>
            <sz val="9"/>
            <color indexed="81"/>
            <rFont val="Tahoma"/>
            <family val="2"/>
          </rPr>
          <t>jarmylly:</t>
        </r>
        <r>
          <rPr>
            <sz val="9"/>
            <color indexed="81"/>
            <rFont val="Tahoma"/>
            <family val="2"/>
          </rPr>
          <t xml:space="preserve">
Image name: vgrep</t>
        </r>
      </text>
    </comment>
    <comment ref="L39" authorId="0" shapeId="0" xr:uid="{DC20E5B4-D7CC-447D-9D11-1E83ACEB7996}">
      <text>
        <r>
          <rPr>
            <b/>
            <sz val="9"/>
            <color indexed="81"/>
            <rFont val="Tahoma"/>
            <family val="2"/>
          </rPr>
          <t>jarmylly:</t>
        </r>
        <r>
          <rPr>
            <sz val="9"/>
            <color indexed="81"/>
            <rFont val="Tahoma"/>
            <family val="2"/>
          </rPr>
          <t xml:space="preserve">
Image name: netact_rhel_base</t>
        </r>
      </text>
    </comment>
    <comment ref="AN39" authorId="0" shapeId="0" xr:uid="{AA958746-3FC1-4C94-A3EE-EA1A67E6DC07}">
      <text>
        <r>
          <rPr>
            <b/>
            <sz val="9"/>
            <color indexed="81"/>
            <rFont val="Tahoma"/>
            <family val="2"/>
          </rPr>
          <t>jarmylly:</t>
        </r>
        <r>
          <rPr>
            <sz val="9"/>
            <color indexed="81"/>
            <rFont val="Tahoma"/>
            <family val="2"/>
          </rPr>
          <t xml:space="preserve">
Image name: vgrep</t>
        </r>
      </text>
    </comment>
    <comment ref="L40" authorId="0" shapeId="0" xr:uid="{3D8FD231-F4B1-4CE7-BEA0-1EA93B4934A1}">
      <text>
        <r>
          <rPr>
            <b/>
            <sz val="9"/>
            <color indexed="81"/>
            <rFont val="Tahoma"/>
            <family val="2"/>
          </rPr>
          <t>jarmylly:</t>
        </r>
        <r>
          <rPr>
            <sz val="9"/>
            <color indexed="81"/>
            <rFont val="Tahoma"/>
            <family val="2"/>
          </rPr>
          <t xml:space="preserve">
Image name: netact_rhel_base</t>
        </r>
      </text>
    </comment>
    <comment ref="AN40" authorId="0" shapeId="0" xr:uid="{53E8D60D-101E-43E7-A124-9967778C69D8}">
      <text>
        <r>
          <rPr>
            <b/>
            <sz val="9"/>
            <color indexed="81"/>
            <rFont val="Tahoma"/>
            <family val="2"/>
          </rPr>
          <t>jarmylly:</t>
        </r>
        <r>
          <rPr>
            <sz val="9"/>
            <color indexed="81"/>
            <rFont val="Tahoma"/>
            <family val="2"/>
          </rPr>
          <t xml:space="preserve">
Image name: vgrep</t>
        </r>
      </text>
    </comment>
    <comment ref="L41" authorId="0" shapeId="0" xr:uid="{F1D473D1-39D6-49EC-942B-A7013DC6A019}">
      <text>
        <r>
          <rPr>
            <b/>
            <sz val="9"/>
            <color indexed="81"/>
            <rFont val="Tahoma"/>
            <family val="2"/>
          </rPr>
          <t>jarmylly:</t>
        </r>
        <r>
          <rPr>
            <sz val="9"/>
            <color indexed="81"/>
            <rFont val="Tahoma"/>
            <family val="2"/>
          </rPr>
          <t xml:space="preserve">
Image name: netact_rhel_base</t>
        </r>
      </text>
    </comment>
    <comment ref="AN41" authorId="0" shapeId="0" xr:uid="{898E7FEA-9B05-4E42-8EA3-935E6B0B3BED}">
      <text>
        <r>
          <rPr>
            <b/>
            <sz val="9"/>
            <color indexed="81"/>
            <rFont val="Tahoma"/>
            <family val="2"/>
          </rPr>
          <t>jarmylly:</t>
        </r>
        <r>
          <rPr>
            <sz val="9"/>
            <color indexed="81"/>
            <rFont val="Tahoma"/>
            <family val="2"/>
          </rPr>
          <t xml:space="preserve">
Image name: vgrep</t>
        </r>
      </text>
    </comment>
    <comment ref="L42" authorId="0" shapeId="0" xr:uid="{250D8C4E-C0B8-44C2-9D43-E0FE5E8F5FBC}">
      <text>
        <r>
          <rPr>
            <b/>
            <sz val="9"/>
            <color indexed="81"/>
            <rFont val="Tahoma"/>
            <family val="2"/>
          </rPr>
          <t>jarmylly:</t>
        </r>
        <r>
          <rPr>
            <sz val="9"/>
            <color indexed="81"/>
            <rFont val="Tahoma"/>
            <family val="2"/>
          </rPr>
          <t xml:space="preserve">
Image name: netact_rhel_base</t>
        </r>
      </text>
    </comment>
    <comment ref="L43" authorId="0" shapeId="0" xr:uid="{49139DFB-1E93-4BEB-AC18-9A39838F814F}">
      <text>
        <r>
          <rPr>
            <b/>
            <sz val="9"/>
            <color indexed="81"/>
            <rFont val="Tahoma"/>
            <family val="2"/>
          </rPr>
          <t>jarmylly:</t>
        </r>
        <r>
          <rPr>
            <sz val="9"/>
            <color indexed="81"/>
            <rFont val="Tahoma"/>
            <family val="2"/>
          </rPr>
          <t xml:space="preserve">
Image name: netact_rhel_base</t>
        </r>
      </text>
    </comment>
    <comment ref="AR44" authorId="2" shapeId="0" xr:uid="{A08808E5-4780-4F41-BE53-FCFC3DEAA2C6}">
      <text>
        <r>
          <rPr>
            <b/>
            <sz val="9"/>
            <color indexed="81"/>
            <rFont val="Tahoma"/>
            <family val="2"/>
          </rPr>
          <t xml:space="preserve"> Alok :name
</t>
        </r>
        <r>
          <rPr>
            <sz val="9"/>
            <color indexed="81"/>
            <rFont val="Tahoma"/>
            <family val="2"/>
          </rPr>
          <t>vgfastpass</t>
        </r>
      </text>
    </comment>
    <comment ref="BE44" authorId="0" shapeId="0" xr:uid="{7297B8A8-62CA-4DA2-B4C3-84FC1BABB172}">
      <text>
        <r>
          <rPr>
            <b/>
            <sz val="9"/>
            <color indexed="81"/>
            <rFont val="Tahoma"/>
            <family val="2"/>
          </rPr>
          <t>jarmylly:</t>
        </r>
        <r>
          <rPr>
            <sz val="9"/>
            <color indexed="81"/>
            <rFont val="Tahoma"/>
            <family val="2"/>
          </rPr>
          <t xml:space="preserve">
IPv4: 3
IPv4/IPv6: 5</t>
        </r>
      </text>
    </comment>
    <comment ref="L49" authorId="0" shapeId="0" xr:uid="{7BBCD094-4C18-4EB2-B036-72FCBD8DF8D9}">
      <text>
        <r>
          <rPr>
            <b/>
            <sz val="9"/>
            <color indexed="81"/>
            <rFont val="Tahoma"/>
            <family val="2"/>
          </rPr>
          <t>jarmylly:</t>
        </r>
        <r>
          <rPr>
            <sz val="9"/>
            <color indexed="81"/>
            <rFont val="Tahoma"/>
            <family val="2"/>
          </rPr>
          <t xml:space="preserve">
Image name: netact_rhel_base</t>
        </r>
      </text>
    </comment>
    <comment ref="H50" authorId="0" shapeId="0" xr:uid="{12CDB87C-CB6A-4CFE-BD73-417B5DE637F7}">
      <text>
        <r>
          <rPr>
            <b/>
            <sz val="9"/>
            <color indexed="81"/>
            <rFont val="Tahoma"/>
            <family val="2"/>
          </rPr>
          <t>jarmylly:</t>
        </r>
        <r>
          <rPr>
            <sz val="9"/>
            <color indexed="81"/>
            <rFont val="Tahoma"/>
            <family val="2"/>
          </rPr>
          <t xml:space="preserve">
Contains two disks:
- Disk-1: 61GB
- Disk-2: 41GB</t>
        </r>
      </text>
    </comment>
    <comment ref="L50" authorId="0" shapeId="0" xr:uid="{18983EA1-5499-47DE-A611-57D1399E31CE}">
      <text>
        <r>
          <rPr>
            <b/>
            <sz val="9"/>
            <color indexed="81"/>
            <rFont val="Tahoma"/>
            <family val="2"/>
          </rPr>
          <t>jarmylly:</t>
        </r>
        <r>
          <rPr>
            <sz val="9"/>
            <color indexed="81"/>
            <rFont val="Tahoma"/>
            <family val="2"/>
          </rPr>
          <t xml:space="preserve">
Image name:
- NMS_CTXDC_disk1
- NMS_CTXDC_disk2
- cdrom_nms</t>
        </r>
      </text>
    </comment>
    <comment ref="H51" authorId="0" shapeId="0" xr:uid="{CEE8090F-291E-4DDE-B96B-0BB6517DD027}">
      <text>
        <r>
          <rPr>
            <b/>
            <sz val="9"/>
            <color indexed="81"/>
            <rFont val="Tahoma"/>
            <family val="2"/>
          </rPr>
          <t>jarmylly:</t>
        </r>
        <r>
          <rPr>
            <sz val="9"/>
            <color indexed="81"/>
            <rFont val="Tahoma"/>
            <family val="2"/>
          </rPr>
          <t xml:space="preserve">
Contains two disks:
- Disk-1: 61GB
- Disk-2: 41GB</t>
        </r>
      </text>
    </comment>
    <comment ref="L51" authorId="0" shapeId="0" xr:uid="{B5499369-B6B4-42E0-A165-B741BAE02A02}">
      <text>
        <r>
          <rPr>
            <b/>
            <sz val="9"/>
            <color indexed="81"/>
            <rFont val="Tahoma"/>
            <family val="2"/>
          </rPr>
          <t>jarmylly:</t>
        </r>
        <r>
          <rPr>
            <sz val="9"/>
            <color indexed="81"/>
            <rFont val="Tahoma"/>
            <family val="2"/>
          </rPr>
          <t xml:space="preserve">
Image name:
- NMS_VDA_disk1
- NMS_VDA_disk2</t>
        </r>
      </text>
    </comment>
    <comment ref="H52" authorId="0" shapeId="0" xr:uid="{7D712204-A08D-41FC-82DF-4424D5412374}">
      <text>
        <r>
          <rPr>
            <b/>
            <sz val="9"/>
            <color indexed="81"/>
            <rFont val="Tahoma"/>
            <family val="2"/>
          </rPr>
          <t>jarmylly:</t>
        </r>
        <r>
          <rPr>
            <sz val="9"/>
            <color indexed="81"/>
            <rFont val="Tahoma"/>
            <family val="2"/>
          </rPr>
          <t xml:space="preserve">
Contains two disks:
- Disk-1: 61GB
- Disk-2: 41GB</t>
        </r>
      </text>
    </comment>
    <comment ref="L52" authorId="0" shapeId="0" xr:uid="{834457D0-F14E-4C7D-A80F-21AADCDB60D8}">
      <text>
        <r>
          <rPr>
            <b/>
            <sz val="9"/>
            <color indexed="81"/>
            <rFont val="Tahoma"/>
            <family val="2"/>
          </rPr>
          <t>jarmylly:</t>
        </r>
        <r>
          <rPr>
            <sz val="9"/>
            <color indexed="81"/>
            <rFont val="Tahoma"/>
            <family val="2"/>
          </rPr>
          <t xml:space="preserve">
Image name:
- NMS_VDA_disk1
- NMS_VDA_disk2</t>
        </r>
      </text>
    </comment>
    <comment ref="H53" authorId="0" shapeId="0" xr:uid="{B3B5B947-A2B4-46CA-90D6-A74CF1D348A5}">
      <text>
        <r>
          <rPr>
            <b/>
            <sz val="9"/>
            <color indexed="81"/>
            <rFont val="Tahoma"/>
            <family val="2"/>
          </rPr>
          <t>jarmylly:</t>
        </r>
        <r>
          <rPr>
            <sz val="9"/>
            <color indexed="81"/>
            <rFont val="Tahoma"/>
            <family val="2"/>
          </rPr>
          <t xml:space="preserve">
Contains two disks:
- Disk-1: 61GB
- Disk-2: 41GB</t>
        </r>
      </text>
    </comment>
    <comment ref="L53" authorId="0" shapeId="0" xr:uid="{8FDFB97E-16BB-49D1-B9D5-59D6D90DADAD}">
      <text>
        <r>
          <rPr>
            <b/>
            <sz val="9"/>
            <color indexed="81"/>
            <rFont val="Tahoma"/>
            <family val="2"/>
          </rPr>
          <t>jarmylly:</t>
        </r>
        <r>
          <rPr>
            <sz val="9"/>
            <color indexed="81"/>
            <rFont val="Tahoma"/>
            <family val="2"/>
          </rPr>
          <t xml:space="preserve">
Image name:
- NMS_VDA_disk1
- NMS_VDA_disk2</t>
        </r>
      </text>
    </comment>
    <comment ref="H54" authorId="0" shapeId="0" xr:uid="{D4EDBB8A-542F-400F-B621-BB91BB9C1E07}">
      <text>
        <r>
          <rPr>
            <b/>
            <sz val="9"/>
            <color indexed="81"/>
            <rFont val="Tahoma"/>
            <family val="2"/>
          </rPr>
          <t>jarmylly:</t>
        </r>
        <r>
          <rPr>
            <sz val="9"/>
            <color indexed="81"/>
            <rFont val="Tahoma"/>
            <family val="2"/>
          </rPr>
          <t xml:space="preserve">
Contains two disks:
- Disk-1: 61GB
- Disk-2: 41GB</t>
        </r>
      </text>
    </comment>
    <comment ref="L54" authorId="0" shapeId="0" xr:uid="{17B29BD7-A285-42C3-B81A-8C26510863A5}">
      <text>
        <r>
          <rPr>
            <b/>
            <sz val="9"/>
            <color indexed="81"/>
            <rFont val="Tahoma"/>
            <family val="2"/>
          </rPr>
          <t>jarmylly:</t>
        </r>
        <r>
          <rPr>
            <sz val="9"/>
            <color indexed="81"/>
            <rFont val="Tahoma"/>
            <family val="2"/>
          </rPr>
          <t xml:space="preserve">
Image name:
- NMS_VDA_disk1
- NMS_VDA_disk2</t>
        </r>
      </text>
    </comment>
    <comment ref="H55" authorId="0" shapeId="0" xr:uid="{E2B9FDC1-0E00-4AB4-82FC-E385AFA2FBAB}">
      <text>
        <r>
          <rPr>
            <b/>
            <sz val="9"/>
            <color indexed="81"/>
            <rFont val="Tahoma"/>
            <family val="2"/>
          </rPr>
          <t>jarmylly:</t>
        </r>
        <r>
          <rPr>
            <sz val="9"/>
            <color indexed="81"/>
            <rFont val="Tahoma"/>
            <family val="2"/>
          </rPr>
          <t xml:space="preserve">
Contains two disks:
- Disk-1: 61GB
- Disk-2: 41GB</t>
        </r>
      </text>
    </comment>
    <comment ref="L55" authorId="0" shapeId="0" xr:uid="{D4E0DCE8-0E19-4D28-A65F-97247AB9C1AE}">
      <text>
        <r>
          <rPr>
            <b/>
            <sz val="9"/>
            <color indexed="81"/>
            <rFont val="Tahoma"/>
            <family val="2"/>
          </rPr>
          <t>jarmylly:</t>
        </r>
        <r>
          <rPr>
            <sz val="9"/>
            <color indexed="81"/>
            <rFont val="Tahoma"/>
            <family val="2"/>
          </rPr>
          <t xml:space="preserve">
Image name:
- NMS_VDA_disk1
- NMS_VDA_disk2</t>
        </r>
      </text>
    </comment>
    <comment ref="H56" authorId="0" shapeId="0" xr:uid="{4E361831-98D8-41FC-8F5C-BA5FB6D00AE0}">
      <text>
        <r>
          <rPr>
            <b/>
            <sz val="9"/>
            <color indexed="81"/>
            <rFont val="Tahoma"/>
            <family val="2"/>
          </rPr>
          <t>jarmylly:</t>
        </r>
        <r>
          <rPr>
            <sz val="9"/>
            <color indexed="81"/>
            <rFont val="Tahoma"/>
            <family val="2"/>
          </rPr>
          <t xml:space="preserve">
Contains two disks:
- Disk-1: 61GB
- Disk-2: 41GB</t>
        </r>
      </text>
    </comment>
    <comment ref="L56" authorId="0" shapeId="0" xr:uid="{A6522E71-0147-4EAE-9F30-B468DFB8CCD6}">
      <text>
        <r>
          <rPr>
            <b/>
            <sz val="9"/>
            <color indexed="81"/>
            <rFont val="Tahoma"/>
            <family val="2"/>
          </rPr>
          <t>jarmylly:</t>
        </r>
        <r>
          <rPr>
            <sz val="9"/>
            <color indexed="81"/>
            <rFont val="Tahoma"/>
            <family val="2"/>
          </rPr>
          <t xml:space="preserve">
Image name:
- NMS_VDA_disk1
- NMS_VDA_disk2</t>
        </r>
      </text>
    </comment>
    <comment ref="H57" authorId="0" shapeId="0" xr:uid="{24ECA215-375C-4E52-9FDA-57B2F252E5F4}">
      <text>
        <r>
          <rPr>
            <b/>
            <sz val="9"/>
            <color indexed="81"/>
            <rFont val="Tahoma"/>
            <family val="2"/>
          </rPr>
          <t>jarmylly:</t>
        </r>
        <r>
          <rPr>
            <sz val="9"/>
            <color indexed="81"/>
            <rFont val="Tahoma"/>
            <family val="2"/>
          </rPr>
          <t xml:space="preserve">
Contains two disks:
- Disk-1: 61GB
- Disk-2: 41GB</t>
        </r>
      </text>
    </comment>
    <comment ref="L57" authorId="0" shapeId="0" xr:uid="{F9E2A055-B5D0-4D96-BC74-0036BEF4D22D}">
      <text>
        <r>
          <rPr>
            <b/>
            <sz val="9"/>
            <color indexed="81"/>
            <rFont val="Tahoma"/>
            <family val="2"/>
          </rPr>
          <t>jarmylly:</t>
        </r>
        <r>
          <rPr>
            <sz val="9"/>
            <color indexed="81"/>
            <rFont val="Tahoma"/>
            <family val="2"/>
          </rPr>
          <t xml:space="preserve">
Image name:
- NMS_VDA_disk1
- NMS_VDA_disk2</t>
        </r>
      </text>
    </comment>
    <comment ref="H58" authorId="0" shapeId="0" xr:uid="{8123D6E0-5F33-4964-BC8C-D8381BA9FBDD}">
      <text>
        <r>
          <rPr>
            <b/>
            <sz val="9"/>
            <color indexed="81"/>
            <rFont val="Tahoma"/>
            <family val="2"/>
          </rPr>
          <t>jarmylly:</t>
        </r>
        <r>
          <rPr>
            <sz val="9"/>
            <color indexed="81"/>
            <rFont val="Tahoma"/>
            <family val="2"/>
          </rPr>
          <t xml:space="preserve">
Contains two disks:
- Disk-1: 61GB
- Disk-2: 41GB</t>
        </r>
      </text>
    </comment>
    <comment ref="L58" authorId="0" shapeId="0" xr:uid="{4402661F-C0D7-41B2-8752-989EEC28ACCE}">
      <text>
        <r>
          <rPr>
            <b/>
            <sz val="9"/>
            <color indexed="81"/>
            <rFont val="Tahoma"/>
            <family val="2"/>
          </rPr>
          <t>jarmylly:</t>
        </r>
        <r>
          <rPr>
            <sz val="9"/>
            <color indexed="81"/>
            <rFont val="Tahoma"/>
            <family val="2"/>
          </rPr>
          <t xml:space="preserve">
Image name:
- NMS_CTXDC_disk1
- NMS_CTXDC_disk2
- cdrom_nms</t>
        </r>
      </text>
    </comment>
    <comment ref="H59" authorId="0" shapeId="0" xr:uid="{F8206D03-61DC-4D58-9FBD-BD8176419A6F}">
      <text>
        <r>
          <rPr>
            <b/>
            <sz val="9"/>
            <color indexed="81"/>
            <rFont val="Tahoma"/>
            <family val="2"/>
          </rPr>
          <t>jarmylly:</t>
        </r>
        <r>
          <rPr>
            <sz val="9"/>
            <color indexed="81"/>
            <rFont val="Tahoma"/>
            <family val="2"/>
          </rPr>
          <t xml:space="preserve">
Contains two disks:
- Disk-1: 61GB
- Disk-2: 41GB</t>
        </r>
      </text>
    </comment>
    <comment ref="L59" authorId="0" shapeId="0" xr:uid="{C028C934-5ABE-4665-A6A0-1F579F36B21C}">
      <text>
        <r>
          <rPr>
            <b/>
            <sz val="9"/>
            <color indexed="81"/>
            <rFont val="Tahoma"/>
            <family val="2"/>
          </rPr>
          <t>jarmylly:</t>
        </r>
        <r>
          <rPr>
            <sz val="9"/>
            <color indexed="81"/>
            <rFont val="Tahoma"/>
            <family val="2"/>
          </rPr>
          <t xml:space="preserve">
Image name:
- NMS_VDA_disk1
- NMS_VDA_disk2</t>
        </r>
      </text>
    </comment>
    <comment ref="L60" authorId="0" shapeId="0" xr:uid="{2FFA2A86-99F6-406E-8CD2-91072E9F61AA}">
      <text>
        <r>
          <rPr>
            <b/>
            <sz val="9"/>
            <color indexed="81"/>
            <rFont val="Tahoma"/>
            <family val="2"/>
          </rPr>
          <t>jarmylly:</t>
        </r>
        <r>
          <rPr>
            <sz val="9"/>
            <color indexed="81"/>
            <rFont val="Tahoma"/>
            <family val="2"/>
          </rPr>
          <t xml:space="preserve">
Image name: netact_rhel_base</t>
        </r>
      </text>
    </comment>
    <comment ref="L61" authorId="0" shapeId="0" xr:uid="{C5D439AB-5CE8-4490-8294-0679C7D3EB09}">
      <text>
        <r>
          <rPr>
            <b/>
            <sz val="9"/>
            <color indexed="81"/>
            <rFont val="Tahoma"/>
            <family val="2"/>
          </rPr>
          <t>jarmylly:</t>
        </r>
        <r>
          <rPr>
            <sz val="9"/>
            <color indexed="81"/>
            <rFont val="Tahoma"/>
            <family val="2"/>
          </rPr>
          <t xml:space="preserve">
Image name: netact_rhel_base</t>
        </r>
      </text>
    </comment>
    <comment ref="L62" authorId="0" shapeId="0" xr:uid="{B1D6847E-2B95-4B76-AB44-6BFD7B4E2BD0}">
      <text>
        <r>
          <rPr>
            <b/>
            <sz val="9"/>
            <color indexed="81"/>
            <rFont val="Tahoma"/>
            <family val="2"/>
          </rPr>
          <t>jarmylly:</t>
        </r>
        <r>
          <rPr>
            <sz val="9"/>
            <color indexed="81"/>
            <rFont val="Tahoma"/>
            <family val="2"/>
          </rPr>
          <t xml:space="preserve">
Image name: netact_rhel_base</t>
        </r>
      </text>
    </comment>
    <comment ref="L63" authorId="0" shapeId="0" xr:uid="{581C9E08-A121-4E5D-B2DB-DD8D34BF5C9E}">
      <text>
        <r>
          <rPr>
            <b/>
            <sz val="9"/>
            <color indexed="81"/>
            <rFont val="Tahoma"/>
            <family val="2"/>
          </rPr>
          <t>jarmylly:</t>
        </r>
        <r>
          <rPr>
            <sz val="9"/>
            <color indexed="81"/>
            <rFont val="Tahoma"/>
            <family val="2"/>
          </rPr>
          <t xml:space="preserve">
Image name: netact_rhel_base</t>
        </r>
      </text>
    </comment>
    <comment ref="L64" authorId="0" shapeId="0" xr:uid="{1A80AB51-E144-4108-8803-A62E61D401DC}">
      <text>
        <r>
          <rPr>
            <b/>
            <sz val="9"/>
            <color indexed="81"/>
            <rFont val="Tahoma"/>
            <family val="2"/>
          </rPr>
          <t>jarmylly:</t>
        </r>
        <r>
          <rPr>
            <sz val="9"/>
            <color indexed="81"/>
            <rFont val="Tahoma"/>
            <family val="2"/>
          </rPr>
          <t xml:space="preserve">
Image name: netact_rhel_base</t>
        </r>
      </text>
    </comment>
    <comment ref="L65" authorId="0" shapeId="0" xr:uid="{4E4CCAA4-9F03-4FD2-A268-D46732DE3ED5}">
      <text>
        <r>
          <rPr>
            <b/>
            <sz val="9"/>
            <color indexed="81"/>
            <rFont val="Tahoma"/>
            <family val="2"/>
          </rPr>
          <t>jarmylly:</t>
        </r>
        <r>
          <rPr>
            <sz val="9"/>
            <color indexed="81"/>
            <rFont val="Tahoma"/>
            <family val="2"/>
          </rPr>
          <t xml:space="preserve">
Image name: netact_rhel_base</t>
        </r>
      </text>
    </comment>
    <comment ref="L66" authorId="0" shapeId="0" xr:uid="{A44A91EC-D7AB-400D-9034-0BACD4BB483E}">
      <text>
        <r>
          <rPr>
            <b/>
            <sz val="9"/>
            <color indexed="81"/>
            <rFont val="Tahoma"/>
            <family val="2"/>
          </rPr>
          <t>jarmylly:</t>
        </r>
        <r>
          <rPr>
            <sz val="9"/>
            <color indexed="81"/>
            <rFont val="Tahoma"/>
            <family val="2"/>
          </rPr>
          <t xml:space="preserve">
Image name: netact_rhel_base</t>
        </r>
      </text>
    </comment>
    <comment ref="H67" authorId="0" shapeId="0" xr:uid="{D56F4773-CF15-4670-8FB4-CE4CBBC015DB}">
      <text>
        <r>
          <rPr>
            <b/>
            <sz val="9"/>
            <color indexed="81"/>
            <rFont val="Tahoma"/>
            <family val="2"/>
          </rPr>
          <t>jarmylly:</t>
        </r>
        <r>
          <rPr>
            <sz val="9"/>
            <color indexed="81"/>
            <rFont val="Tahoma"/>
            <family val="2"/>
          </rPr>
          <t xml:space="preserve">
Contains two disks:
- Disk-1: 30,720GB
- Disk-2: 81,920GB</t>
        </r>
      </text>
    </comment>
    <comment ref="L67" authorId="0" shapeId="0" xr:uid="{50EED736-E02B-495D-A6B2-7E4DF40F9E4B}">
      <text>
        <r>
          <rPr>
            <b/>
            <sz val="9"/>
            <color indexed="81"/>
            <rFont val="Tahoma"/>
            <family val="2"/>
          </rPr>
          <t>jarmylly:</t>
        </r>
        <r>
          <rPr>
            <sz val="9"/>
            <color indexed="81"/>
            <rFont val="Tahoma"/>
            <family val="2"/>
          </rPr>
          <t xml:space="preserve">
Image name: netact_rhel_base</t>
        </r>
      </text>
    </comment>
    <comment ref="H68" authorId="0" shapeId="0" xr:uid="{F2FE7D36-7CB2-4041-91C3-293A17940C21}">
      <text>
        <r>
          <rPr>
            <b/>
            <sz val="9"/>
            <color indexed="81"/>
            <rFont val="Tahoma"/>
            <family val="2"/>
          </rPr>
          <t>jarmylly:</t>
        </r>
        <r>
          <rPr>
            <sz val="9"/>
            <color indexed="81"/>
            <rFont val="Tahoma"/>
            <family val="2"/>
          </rPr>
          <t xml:space="preserve">
Contains two disks:
- Disk-1: 30,720GB
- Disk-2: 81,920GB</t>
        </r>
      </text>
    </comment>
    <comment ref="L68" authorId="0" shapeId="0" xr:uid="{84A1B5AA-962E-49CE-A5DE-E953173090BD}">
      <text>
        <r>
          <rPr>
            <b/>
            <sz val="9"/>
            <color indexed="81"/>
            <rFont val="Tahoma"/>
            <family val="2"/>
          </rPr>
          <t>jarmylly:</t>
        </r>
        <r>
          <rPr>
            <sz val="9"/>
            <color indexed="81"/>
            <rFont val="Tahoma"/>
            <family val="2"/>
          </rPr>
          <t xml:space="preserve">
Image name: netact_rhel_base</t>
        </r>
      </text>
    </comment>
    <comment ref="L69" authorId="0" shapeId="0" xr:uid="{8D0634C8-5927-499F-8F9B-1D4A4522CEDC}">
      <text>
        <r>
          <rPr>
            <b/>
            <sz val="9"/>
            <color indexed="81"/>
            <rFont val="Tahoma"/>
            <family val="2"/>
          </rPr>
          <t>jarmylly:</t>
        </r>
        <r>
          <rPr>
            <sz val="9"/>
            <color indexed="81"/>
            <rFont val="Tahoma"/>
            <family val="2"/>
          </rPr>
          <t xml:space="preserve">
Image name: netact_rhel_base</t>
        </r>
      </text>
    </comment>
    <comment ref="L70" authorId="0" shapeId="0" xr:uid="{9C593273-C781-4190-9D0C-471830FCA1D7}">
      <text>
        <r>
          <rPr>
            <b/>
            <sz val="9"/>
            <color indexed="81"/>
            <rFont val="Tahoma"/>
            <family val="2"/>
          </rPr>
          <t>jarmylly:</t>
        </r>
        <r>
          <rPr>
            <sz val="9"/>
            <color indexed="81"/>
            <rFont val="Tahoma"/>
            <family val="2"/>
          </rPr>
          <t xml:space="preserve">
Image name: netact_rhel_base</t>
        </r>
      </text>
    </comment>
    <comment ref="L71" authorId="0" shapeId="0" xr:uid="{AE9D358F-AC25-48F5-8E9B-5DA6DAB09073}">
      <text>
        <r>
          <rPr>
            <b/>
            <sz val="9"/>
            <color indexed="81"/>
            <rFont val="Tahoma"/>
            <family val="2"/>
          </rPr>
          <t>jarmylly:</t>
        </r>
        <r>
          <rPr>
            <sz val="9"/>
            <color indexed="81"/>
            <rFont val="Tahoma"/>
            <family val="2"/>
          </rPr>
          <t xml:space="preserve">
Image name: netact_rhel_base</t>
        </r>
      </text>
    </comment>
    <comment ref="L72" authorId="0" shapeId="0" xr:uid="{12E92D19-0807-4DDC-AC4A-B902490D217A}">
      <text>
        <r>
          <rPr>
            <b/>
            <sz val="9"/>
            <color indexed="81"/>
            <rFont val="Tahoma"/>
            <family val="2"/>
          </rPr>
          <t>jarmylly:</t>
        </r>
        <r>
          <rPr>
            <sz val="9"/>
            <color indexed="81"/>
            <rFont val="Tahoma"/>
            <family val="2"/>
          </rPr>
          <t xml:space="preserve">
Image name: netact_rhel_base</t>
        </r>
      </text>
    </comment>
    <comment ref="BE73" authorId="0" shapeId="0" xr:uid="{95226B30-7D9C-47BC-A957-FEA8CADFA66A}">
      <text>
        <r>
          <rPr>
            <b/>
            <sz val="9"/>
            <color indexed="81"/>
            <rFont val="Tahoma"/>
            <family val="2"/>
          </rPr>
          <t>jarmylly:</t>
        </r>
        <r>
          <rPr>
            <sz val="9"/>
            <color indexed="81"/>
            <rFont val="Tahoma"/>
            <family val="2"/>
          </rPr>
          <t xml:space="preserve">
IPv4: 3
IPv4/IPv6: 5</t>
        </r>
      </text>
    </comment>
    <comment ref="L77" authorId="0" shapeId="0" xr:uid="{679B6F89-9A2D-4BE1-849D-AA4C3E5A7631}">
      <text>
        <r>
          <rPr>
            <b/>
            <sz val="9"/>
            <color indexed="81"/>
            <rFont val="Tahoma"/>
            <family val="2"/>
          </rPr>
          <t>jarmylly:</t>
        </r>
        <r>
          <rPr>
            <sz val="9"/>
            <color indexed="81"/>
            <rFont val="Tahoma"/>
            <family val="2"/>
          </rPr>
          <t xml:space="preserve">
Image name: netact_rhel_base</t>
        </r>
      </text>
    </comment>
    <comment ref="L78" authorId="0" shapeId="0" xr:uid="{F4567609-8AFD-4453-AEDE-8DEE3FD619AE}">
      <text>
        <r>
          <rPr>
            <b/>
            <sz val="9"/>
            <color indexed="81"/>
            <rFont val="Tahoma"/>
            <family val="2"/>
          </rPr>
          <t>jarmylly:</t>
        </r>
        <r>
          <rPr>
            <sz val="9"/>
            <color indexed="81"/>
            <rFont val="Tahoma"/>
            <family val="2"/>
          </rPr>
          <t xml:space="preserve">
Image name: netact_rhel_base</t>
        </r>
      </text>
    </comment>
    <comment ref="L79" authorId="0" shapeId="0" xr:uid="{BC64CF1E-7BD5-459E-8F7A-BAB21AEF8234}">
      <text>
        <r>
          <rPr>
            <b/>
            <sz val="9"/>
            <color indexed="81"/>
            <rFont val="Tahoma"/>
            <family val="2"/>
          </rPr>
          <t>jarmylly:</t>
        </r>
        <r>
          <rPr>
            <sz val="9"/>
            <color indexed="81"/>
            <rFont val="Tahoma"/>
            <family val="2"/>
          </rPr>
          <t xml:space="preserve">
Image name: netact_rhel_base</t>
        </r>
      </text>
    </comment>
    <comment ref="L80" authorId="0" shapeId="0" xr:uid="{308DA671-D555-432C-BDE4-C81CE7A580BB}">
      <text>
        <r>
          <rPr>
            <b/>
            <sz val="9"/>
            <color indexed="81"/>
            <rFont val="Tahoma"/>
            <family val="2"/>
          </rPr>
          <t>jarmylly:</t>
        </r>
        <r>
          <rPr>
            <sz val="9"/>
            <color indexed="81"/>
            <rFont val="Tahoma"/>
            <family val="2"/>
          </rPr>
          <t xml:space="preserve">
Image name: netact_rhel_base</t>
        </r>
      </text>
    </comment>
    <comment ref="L81" authorId="0" shapeId="0" xr:uid="{28E762C4-DE1A-4127-8812-08694F2B72D6}">
      <text>
        <r>
          <rPr>
            <b/>
            <sz val="9"/>
            <color indexed="81"/>
            <rFont val="Tahoma"/>
            <family val="2"/>
          </rPr>
          <t>jarmylly:</t>
        </r>
        <r>
          <rPr>
            <sz val="9"/>
            <color indexed="81"/>
            <rFont val="Tahoma"/>
            <family val="2"/>
          </rPr>
          <t xml:space="preserve">
Image name: netact_rhel_base</t>
        </r>
      </text>
    </comment>
    <comment ref="L82" authorId="0" shapeId="0" xr:uid="{885AFDBA-DB8F-4527-B1B0-630C728FB593}">
      <text>
        <r>
          <rPr>
            <b/>
            <sz val="9"/>
            <color indexed="81"/>
            <rFont val="Tahoma"/>
            <family val="2"/>
          </rPr>
          <t>jarmylly:</t>
        </r>
        <r>
          <rPr>
            <sz val="9"/>
            <color indexed="81"/>
            <rFont val="Tahoma"/>
            <family val="2"/>
          </rPr>
          <t xml:space="preserve">
Image name: netact_rhel_base</t>
        </r>
      </text>
    </comment>
    <comment ref="BE83" authorId="0" shapeId="0" xr:uid="{68043472-10C0-42C0-9DC0-E947096FCC72}">
      <text>
        <r>
          <rPr>
            <b/>
            <sz val="9"/>
            <color indexed="81"/>
            <rFont val="Tahoma"/>
            <family val="2"/>
          </rPr>
          <t>jarmylly:</t>
        </r>
        <r>
          <rPr>
            <sz val="9"/>
            <color indexed="81"/>
            <rFont val="Tahoma"/>
            <family val="2"/>
          </rPr>
          <t xml:space="preserve">
IPv4: 3
IPv4/IPv6: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<sst xmlns="http://schemas.openxmlformats.org/spreadsheetml/2006/main" count="9631" uniqueCount="720">
  <si>
    <t xml:space="preserve"> </t>
  </si>
  <si>
    <t>Changes to previous version:</t>
  </si>
  <si>
    <t>Date</t>
  </si>
  <si>
    <t>Release Changes</t>
  </si>
  <si>
    <t>NetAct Node Architecture and Resource Plan</t>
  </si>
  <si>
    <t>Virtual Machine Name</t>
  </si>
  <si>
    <t>Description</t>
  </si>
  <si>
    <t>Optional Virtual Machines</t>
  </si>
  <si>
    <t>Admin Server</t>
  </si>
  <si>
    <t>This virtual machine (VM) hosts the Installation Server, which is used in NetAct deployment.</t>
  </si>
  <si>
    <t>T&amp;P</t>
  </si>
  <si>
    <t>This VM hosts the Thresholder &amp; Profiler application, which is used to set and manage thresholds for performance indicators.</t>
  </si>
  <si>
    <t>vCSA</t>
  </si>
  <si>
    <t>This VM hosts vCenter Server Appliance, which is used to manage the VMware vSphere virtual infrastructure.</t>
  </si>
  <si>
    <t>Node Mgr</t>
  </si>
  <si>
    <t xml:space="preserve">The Node Manager Server VM is the virtual machine where the Node Managers reside (Microsoft Windows-based applications used for performing configurations and O&amp;M tasks on BTS and transmission elements). </t>
  </si>
  <si>
    <t>LDAP-1, DNS-Master</t>
  </si>
  <si>
    <t>This VM hosts 389 Directory Server (LDAP) and the NetAct DNS server.</t>
  </si>
  <si>
    <t>*SBTS Adapter</t>
  </si>
  <si>
    <t>27.06.2019 -unsupported from NA20 onwards 
Provide functions as a pre-condition for plug-in and play service to integrate virtual SBTS instances before physical ones are ready.</t>
  </si>
  <si>
    <t>DB</t>
  </si>
  <si>
    <t>This VM hosts the Oracle database.</t>
  </si>
  <si>
    <t>CLS FrontEnd</t>
  </si>
  <si>
    <t>This VM hosts the Web server of Centralized License Server (CLS). CLS provides network-wide licensed capacity pooling.</t>
  </si>
  <si>
    <t>NFS, LDAP-2</t>
  </si>
  <si>
    <t>This VM hosts Network File System and 389 Directory Server (LDAP).</t>
  </si>
  <si>
    <t>CLS BackEnd</t>
  </si>
  <si>
    <t>This VM hosts the CLS remote licensing services deployed on JBoss Application Server.</t>
  </si>
  <si>
    <t>LB-1</t>
  </si>
  <si>
    <t>This VM hosts the load balancer.</t>
  </si>
  <si>
    <t>CLS DB</t>
  </si>
  <si>
    <t>This VM hosts the CLS database</t>
  </si>
  <si>
    <t>SelfMonitor, HP SIM, vManager</t>
  </si>
  <si>
    <t xml:space="preserve">This VM hosts the System Self-Monitoring application, HP Systems Insight Manager (the software used for hardware alarm collection), and the virtual manager. </t>
  </si>
  <si>
    <t>NW360</t>
  </si>
  <si>
    <t xml:space="preserve">Network 360 sits on top of the Nokia NetAct™ network management system to provide a single, simplified and integrated view of all the operational data from the mass of network elements. This consolidated "window of the network” enables operations personnel to finally cut through the tangle of information to see the big picture. </t>
  </si>
  <si>
    <t>JBI-NBI3GC, NBI INVENTORY, NTCApp</t>
  </si>
  <si>
    <t>This VM hosts NBI Mediation Framework and NBI Inventory Mediation. Also in small delivery (from NA18 onwards) it hosts NTCApp functionality, which is meant to provide CBTS On-demand Scaling.</t>
  </si>
  <si>
    <t>LTE-A Mediation</t>
  </si>
  <si>
    <t>SNMP Mediator for LTE-A.</t>
  </si>
  <si>
    <t>JBI-NWI3, SAU</t>
  </si>
  <si>
    <t>This VM hosts the NWI mediation and SAU.</t>
  </si>
  <si>
    <t>27.06.2019 -unsupported from NA20 onwards 
SBTS Adapter is running on a dedicated virtual machine in NetAct virtual data center which controls the creation and removal of virtual SBTS OAM instances and also works as a transparent proxy to forward operation and maintenance requests from NetAct to virtual SBTS OAM. Multiple virtual SBTS OAM instances can be running on the SBTS Adapter, and one virtual SBTS OAM instance represents one physical SBTS. Virtual SBTS Operation and Maintenance (OAM) provides software and configuration management functionalities for an SBTS that has not yet been integrated physically to the network.</t>
  </si>
  <si>
    <t>JBI-Q3</t>
  </si>
  <si>
    <t>This VM hosts the Q3 mediation.</t>
  </si>
  <si>
    <t>BTSMED</t>
  </si>
  <si>
    <t xml:space="preserve">BTS Mediator (a.k.a. BTSMED) is:
• Part of BTS OAM SW
• Loosely coupled and co-located with NetAct
• Own software delivery 
• Virtualized and bare-metal deliveries
• Gets OAM metadata from BTS (minimizes SW changes due to BTS radio features )
• Maps between BTS internal object model and management object model (visible to user)
• Validates parameters
</t>
  </si>
  <si>
    <t>LB-2, Socks Proxy</t>
  </si>
  <si>
    <t>This VM hosts the load balancer and the SOCKS proxy for user workstations.</t>
  </si>
  <si>
    <t>NetGuard</t>
  </si>
  <si>
    <t>NetGuard Virtual Firewall Virtual Machine Appliance is targeted for the Network Segregation Solution solution (earlier called Closed Network NetAct) as it provides NetAct multi-homing solution.</t>
  </si>
  <si>
    <t>JBI-NX2S_XOH, JBI-GENMED, JBI-DA</t>
  </si>
  <si>
    <t>This VM hosts the NX2S and XoH mediation as well as Dynamic Adaptation.</t>
  </si>
  <si>
    <t>NBIVES</t>
  </si>
  <si>
    <t xml:space="preserve">NetAct API solution for integration with AT&amp;T ECOMP (REST based API with JSON payload), it will be used as temporary solution to forward NVF scaling related events to ECOMP.
</t>
  </si>
  <si>
    <t>JBI-NBI_NSN</t>
  </si>
  <si>
    <t>This VM hosts SNMP NBI.</t>
  </si>
  <si>
    <t>NetGuard VFM</t>
  </si>
  <si>
    <t>NetGuard Virtual Firewall Manager is an Optional Virtual Machine for the Network Segregation Solution (earlier called Closed Network NetAct).  NetGuard VFM product is an administrative tool for the centralized management of one or many NetGuard Virtual Firewalls (NG VF) using a Command Line Interface (CLI).</t>
  </si>
  <si>
    <t>JBI-NBI3GCPM, NTCApp</t>
  </si>
  <si>
    <t>This VM hosts the Mediation Framework for the northbound interface. Also in mainstream, large and XL deliveries (from NA18 onwards) it hosts NTCApp functionality, which is meant to provide CBTS On-demand Scaling.</t>
  </si>
  <si>
    <t xml:space="preserve">Conversion Suite </t>
  </si>
  <si>
    <t xml:space="preserve">The Conversion Suite is optional VM developed MN which is needed for the migration to LTE 19B and onwards. </t>
  </si>
  <si>
    <t>JBI-COMMON-MEDIATION, DNS-Slave</t>
  </si>
  <si>
    <t>This VM hosts Common Mediations and the NetAct DNS server.</t>
  </si>
  <si>
    <t>PDL Validator Service (PVS)</t>
  </si>
  <si>
    <t>The PDL  is optional VM developed MN which is needed for the BTS O&amp;M Purpose</t>
  </si>
  <si>
    <t>JBI-COMMON-MEDIATION</t>
  </si>
  <si>
    <t>This VM hosts Common Mediations.</t>
  </si>
  <si>
    <t>TREX Analyzer VMs</t>
  </si>
  <si>
    <t>These VMs are optional and used for Trace Data collection and anlysis.</t>
  </si>
  <si>
    <t>FM-PIPE</t>
  </si>
  <si>
    <t>This VM hosts the Generic Event Platform for fault management functionality.</t>
  </si>
  <si>
    <t>WebSphere AppSrv</t>
  </si>
  <si>
    <t>This VM hosts WebSphere Application Server (WAS) and the WAS applications in NetAct.</t>
  </si>
  <si>
    <t>NMS Windows Domain Controller</t>
  </si>
  <si>
    <t>Manages the Windows domain and Active Directory. Amount of virtual machines: 1-2. One virtual machine non-HA configuration, 2 virtual machines HA configuration.</t>
  </si>
  <si>
    <t>NMS Citrix Delivery Controller</t>
  </si>
  <si>
    <t>Citrix Management. Amount of virtual machines: 1-2. One virtual machine non-HA configuration, 2 virtual machines HA configuration.</t>
  </si>
  <si>
    <t>NMS VDA (for Node Manager) / Access server (for Applications)</t>
  </si>
  <si>
    <t>Virtual machine can have two different roles: Virtual Delivery Agent or Access Server. Virtual Delivery Agent, VDA, acts as Element Manager, EM, launch server where EM software is installed to provide EM launch functionality. Access Server, AS, is used as workstation to access NetAct. No EM SW is installed on AS. 
Amount of virtual machines: 1-9.</t>
  </si>
  <si>
    <t>PM Backend</t>
  </si>
  <si>
    <t>This VM hosts the Performance Management backend service.</t>
  </si>
  <si>
    <t>VDP</t>
  </si>
  <si>
    <t>This VM hosts vSphere Data Protection, which is used to take backups of VM root disks and restoring them.</t>
  </si>
  <si>
    <t>IHS</t>
  </si>
  <si>
    <t>This VM hosts IBM HTTP Server and keyclock service</t>
  </si>
  <si>
    <t>AVE</t>
  </si>
  <si>
    <t>Avamar Virtual Edition -This VM is used for Backup Solution</t>
  </si>
  <si>
    <t>AVECP</t>
  </si>
  <si>
    <t>Avamar Virtual Edition Combined Proxy -This VM is used for Backup Solution</t>
  </si>
  <si>
    <t>Apukenttiä optionaalisiin laskuihin</t>
  </si>
  <si>
    <t>Column</t>
  </si>
  <si>
    <t>Ends</t>
  </si>
  <si>
    <t>NM info located</t>
  </si>
  <si>
    <t>T&amp;P Volumes</t>
  </si>
  <si>
    <t>Used stack</t>
  </si>
  <si>
    <t>OpenStack</t>
  </si>
  <si>
    <t>Cloud Configurations sheet is meant for Cloud delieveries to help calculating the NetAct resource requirement</t>
  </si>
  <si>
    <t>nimike</t>
  </si>
  <si>
    <t>NMS</t>
  </si>
  <si>
    <t>NetAct Release</t>
  </si>
  <si>
    <t>Release</t>
  </si>
  <si>
    <t>vCPU</t>
  </si>
  <si>
    <t>Flexible CM Search</t>
  </si>
  <si>
    <t>Configuration</t>
  </si>
  <si>
    <t>XXL</t>
  </si>
  <si>
    <t>Sheet</t>
  </si>
  <si>
    <t>INSTRUCTIONS</t>
  </si>
  <si>
    <t>vRAM</t>
  </si>
  <si>
    <t>SLC</t>
  </si>
  <si>
    <t>Database</t>
  </si>
  <si>
    <t>1) Select 'Used Stack'</t>
  </si>
  <si>
    <t>VMDK</t>
  </si>
  <si>
    <t>SBTS Adapter</t>
  </si>
  <si>
    <t>2) Select 'NetAct release'</t>
  </si>
  <si>
    <t>Network360</t>
  </si>
  <si>
    <t>CLS</t>
  </si>
  <si>
    <t>Redo</t>
  </si>
  <si>
    <t>3) Select 'Configuration'</t>
  </si>
  <si>
    <t>Mandatory ending</t>
  </si>
  <si>
    <t>CAM</t>
  </si>
  <si>
    <t>Arc</t>
  </si>
  <si>
    <t>4) Select 'Database' size</t>
  </si>
  <si>
    <t>Node manager</t>
  </si>
  <si>
    <t>TEM</t>
  </si>
  <si>
    <t>Backup</t>
  </si>
  <si>
    <t>5) Select separately vRAM, Redo, Arc, Backup, Global, ExtRep sizes (MUST BE DONE EVERY TIME when changing 1-4)</t>
  </si>
  <si>
    <t>Number of VMs</t>
  </si>
  <si>
    <t>Used</t>
  </si>
  <si>
    <t>Global</t>
  </si>
  <si>
    <t>7) Select additional items</t>
  </si>
  <si>
    <t>Not used</t>
  </si>
  <si>
    <t>LTE-A Med</t>
  </si>
  <si>
    <t>ExtRep</t>
  </si>
  <si>
    <t xml:space="preserve">6) Fill the customer HW resources and remove one server (NetAct needs to be able to run in one server fail situation) </t>
  </si>
  <si>
    <t>Volumes</t>
  </si>
  <si>
    <t>Customer</t>
  </si>
  <si>
    <t>7) Status field describes whether the infrastructure provides enough resources</t>
  </si>
  <si>
    <t>ADM</t>
  </si>
  <si>
    <t>ISDK</t>
  </si>
  <si>
    <t>IF($C$14&gt;20;1;0)*SUMIF(INDIRECT($P$2)</t>
  </si>
  <si>
    <t>Additional items</t>
  </si>
  <si>
    <t>Thresholder and Profiler</t>
  </si>
  <si>
    <t>Operators Hardware</t>
  </si>
  <si>
    <t>Number of concurrent users</t>
  </si>
  <si>
    <t>Virtual CPU</t>
  </si>
  <si>
    <t>Virtual RAM</t>
  </si>
  <si>
    <t>Backup Storage</t>
  </si>
  <si>
    <t>Security Log Collector</t>
  </si>
  <si>
    <t>Hardware</t>
  </si>
  <si>
    <t>Single RAN BTS Adapter</t>
  </si>
  <si>
    <t>Not Used</t>
  </si>
  <si>
    <t>Required</t>
  </si>
  <si>
    <t>BTSMediationOpenStack</t>
  </si>
  <si>
    <t>Centralized license Server</t>
  </si>
  <si>
    <t>Status</t>
  </si>
  <si>
    <t>Configuration16.5</t>
  </si>
  <si>
    <t>SmallUsers</t>
  </si>
  <si>
    <t>BTSMediation</t>
  </si>
  <si>
    <t>Small</t>
  </si>
  <si>
    <t>Mainstream</t>
  </si>
  <si>
    <t>BTSMediationVMware</t>
  </si>
  <si>
    <t>Network 360</t>
  </si>
  <si>
    <t>Large</t>
  </si>
  <si>
    <t>MainstreamUsers</t>
  </si>
  <si>
    <t>Configuration16.8</t>
  </si>
  <si>
    <t>Selected configuration</t>
  </si>
  <si>
    <t>LargeUsers</t>
  </si>
  <si>
    <t>XXLUsers</t>
  </si>
  <si>
    <t>VMs</t>
  </si>
  <si>
    <t>Disk</t>
  </si>
  <si>
    <t>Backup disk</t>
  </si>
  <si>
    <t>Configuration17.2</t>
  </si>
  <si>
    <t>Mandatory Virtual machines</t>
  </si>
  <si>
    <t>Node Managers</t>
  </si>
  <si>
    <r>
      <rPr>
        <b/>
        <sz val="11"/>
        <color theme="0"/>
        <rFont val="Calibri"/>
        <family val="2"/>
        <scheme val="minor"/>
      </rPr>
      <t>Note</t>
    </r>
    <r>
      <rPr>
        <sz val="11"/>
        <color theme="0"/>
        <rFont val="Calibri"/>
        <family val="2"/>
        <scheme val="minor"/>
      </rPr>
      <t>: First 3 VM resources are within mandatory values</t>
    </r>
  </si>
  <si>
    <t>Configuration17.8</t>
  </si>
  <si>
    <t>Configuration18</t>
  </si>
  <si>
    <t>SmallDatabaseVMware</t>
  </si>
  <si>
    <t>Release16.5</t>
  </si>
  <si>
    <t>Total</t>
  </si>
  <si>
    <t>VMware</t>
  </si>
  <si>
    <t/>
  </si>
  <si>
    <t>Release16.8</t>
  </si>
  <si>
    <t>MainstreamDatabaseVMware</t>
  </si>
  <si>
    <t>Release17.2</t>
  </si>
  <si>
    <t>Configuration18A</t>
  </si>
  <si>
    <t>LargeDatabaseVMware</t>
  </si>
  <si>
    <t>Release17.8</t>
  </si>
  <si>
    <t>Configuration19</t>
  </si>
  <si>
    <t>XXLDatabaseVMware</t>
  </si>
  <si>
    <t>Release18</t>
  </si>
  <si>
    <t>XXLDatabaseOpenStack</t>
  </si>
  <si>
    <t>Release18A</t>
  </si>
  <si>
    <t>SmallDatabaseOpenStack</t>
  </si>
  <si>
    <t>Release19</t>
  </si>
  <si>
    <t>MainstreamDatabaseOpenStack</t>
  </si>
  <si>
    <t>Release20</t>
  </si>
  <si>
    <t>LargeDatabaseOpenStack</t>
  </si>
  <si>
    <t>SmallDatabase750vRAM</t>
  </si>
  <si>
    <t>SmallDatabase691vRAM</t>
  </si>
  <si>
    <t>SmallDatabase1194vRAM</t>
  </si>
  <si>
    <t>SmallDatabase1100vRAM</t>
  </si>
  <si>
    <t>SmallDatabase750Redo</t>
  </si>
  <si>
    <t>SmallDatabase691Redo</t>
  </si>
  <si>
    <t>SmallDatabase1194Redo</t>
  </si>
  <si>
    <t>SmallDatabase1100Redo</t>
  </si>
  <si>
    <t>SmallDatabase750Arc</t>
  </si>
  <si>
    <t>SmallDatabase691.2Arc</t>
  </si>
  <si>
    <t>SmallDatabase1194Arc</t>
  </si>
  <si>
    <t>SmallDatabase1100Arc</t>
  </si>
  <si>
    <t>MainstreamDatabase1500vRAM</t>
  </si>
  <si>
    <t>MainstreamDatabase1382vRAM</t>
  </si>
  <si>
    <t>MainstreamDatabase2062vRAM</t>
  </si>
  <si>
    <t>MainstreamDatabase1900vRAM</t>
  </si>
  <si>
    <t>MainstreamDatabase1500Redo</t>
  </si>
  <si>
    <t>MainstreamDatabase1382Redo</t>
  </si>
  <si>
    <t>MainstreamDatabase2062Redo</t>
  </si>
  <si>
    <t>MainstreamDatabase1900Redo</t>
  </si>
  <si>
    <t>MainstreamDatabase1500Arc</t>
  </si>
  <si>
    <t>MainstreamDatabase1382Arc</t>
  </si>
  <si>
    <t>MainstreamDatabase2062Arc</t>
  </si>
  <si>
    <t>MainstreamDatabase1900Arc</t>
  </si>
  <si>
    <t>LargeDatabase2500vRAM</t>
  </si>
  <si>
    <t>LargeDatabase2304vRAM</t>
  </si>
  <si>
    <t>LargeDatabase3418vRAM</t>
  </si>
  <si>
    <t>LargeDatabase3150vRAM</t>
  </si>
  <si>
    <t>LargeDatabase4500vRAM</t>
  </si>
  <si>
    <t>XXLDatabase9000vRAM</t>
  </si>
  <si>
    <t>XXLDatabase8294vRAM</t>
  </si>
  <si>
    <t>LargeDatabase4147vRAM</t>
  </si>
  <si>
    <t>LargeDatabase2500Redo</t>
  </si>
  <si>
    <t>LargeDatabase2304Redo</t>
  </si>
  <si>
    <t>LargeDatabase3418Redo</t>
  </si>
  <si>
    <t>LargeDatabase3150Redo</t>
  </si>
  <si>
    <t>LargeDatabase4500Redo</t>
  </si>
  <si>
    <t>LargeDatabase4147Redo</t>
  </si>
  <si>
    <t>XXLDatabase9000Redo</t>
  </si>
  <si>
    <t>XXLDatabase8294Redo</t>
  </si>
  <si>
    <t>LargeDatabase2500Arc</t>
  </si>
  <si>
    <t>LargeDatabase2304Arc</t>
  </si>
  <si>
    <t>LargeDatabase3418Arc</t>
  </si>
  <si>
    <t>LargeDatabase3150Arc</t>
  </si>
  <si>
    <t>LargeDatabase4500Arc</t>
  </si>
  <si>
    <t>LargeDatabase4147Arc</t>
  </si>
  <si>
    <t>XXLDatabase9000Arc</t>
  </si>
  <si>
    <t>XXLDatabase8294Arc</t>
  </si>
  <si>
    <t>SmallExtRep20VMware</t>
  </si>
  <si>
    <t>SmallExtRep20OpenStack</t>
  </si>
  <si>
    <t>MainstreamExtRep20VMware</t>
  </si>
  <si>
    <t>MainstreamExtRep20OpenStack</t>
  </si>
  <si>
    <t>LargeExtRep20VMware</t>
  </si>
  <si>
    <t>LargeExtRep20OpenStack</t>
  </si>
  <si>
    <t>XXLExtRep20VMware</t>
  </si>
  <si>
    <t>XXLExtRep20OpenStack</t>
  </si>
  <si>
    <t>SmallCustomer20VMware</t>
  </si>
  <si>
    <t>SmallCustomer20OpenStack</t>
  </si>
  <si>
    <t>MainstreamCustomer20VMware</t>
  </si>
  <si>
    <t>MainstreamCustomer20OpenStack</t>
  </si>
  <si>
    <t>LargeCustomer20VMware</t>
  </si>
  <si>
    <t>LargeCustomer20OpenStack</t>
  </si>
  <si>
    <t>XXLCustomer20OpenStack</t>
  </si>
  <si>
    <t>XXLCustomer20VMWare</t>
  </si>
  <si>
    <t>SmallDatabase691BackupOpenStack20</t>
  </si>
  <si>
    <t>SmallDatabase1194BackupVMware20</t>
  </si>
  <si>
    <t>SmallDatabase1100BackupOpenStack20</t>
  </si>
  <si>
    <t>MainstreamDatabase1500BackupVMware20</t>
  </si>
  <si>
    <t>MainstreamDatabase1382BackupOpenStack20</t>
  </si>
  <si>
    <t>MainstreamDatabase2062BackupVMware20</t>
  </si>
  <si>
    <t>MainstreamDatabase1900BackupOpenStack20</t>
  </si>
  <si>
    <t>LargeDatabase2500BackupVMware20</t>
  </si>
  <si>
    <t>LargeDatabase2304BackupOpenStack20</t>
  </si>
  <si>
    <t>LargeDatabase3418BackupVMware20</t>
  </si>
  <si>
    <t>LargeDatabase3150BackupOpenStack20</t>
  </si>
  <si>
    <t>LargeDatabase4500BackupVMware20</t>
  </si>
  <si>
    <t>LargeDatabase4147BackupOpenStack20</t>
  </si>
  <si>
    <t>XXLDatabase9000BackupVMware20</t>
  </si>
  <si>
    <t>XXLDatabase8294BackupOpenStack20</t>
  </si>
  <si>
    <t>SmallADM20Vmware</t>
  </si>
  <si>
    <t>SmallISDK20Vmware</t>
  </si>
  <si>
    <t>MainstreamADM20Vmware</t>
  </si>
  <si>
    <t>MainstreamISDK20Vmware</t>
  </si>
  <si>
    <t>LargeADM20Vmware</t>
  </si>
  <si>
    <t>LargeISDK20Vmware</t>
  </si>
  <si>
    <t>XXLADM20Vmware</t>
  </si>
  <si>
    <t>XXLISDK20Vmware</t>
  </si>
  <si>
    <t>SmallADM20OpenStack</t>
  </si>
  <si>
    <t>SmallISDK20OpenStack</t>
  </si>
  <si>
    <t>MainstreamADM20OpenStack</t>
  </si>
  <si>
    <t>MainstreamISDK20OpenStack</t>
  </si>
  <si>
    <t>LargeADM20OpenStack</t>
  </si>
  <si>
    <t>LargeISDK20OpenStack</t>
  </si>
  <si>
    <t>XXLADM20OpenStack</t>
  </si>
  <si>
    <t>XXLISDK20OpenStack</t>
  </si>
  <si>
    <t>Guidelines to calculate number of servers required in server pool:</t>
  </si>
  <si>
    <t xml:space="preserve">1) Calculate NetAct grand total vCPU/ RAM amounts
</t>
  </si>
  <si>
    <t xml:space="preserve">2) Calculate optional VMs grand total vCPU/ RAM amounts
</t>
  </si>
  <si>
    <t xml:space="preserve">3) Compare the 1 and 2 combined amount of vCPU and vRAM values agains what server pool provides. If one server goes down, remaining server needs to provide enough capacity to run NetAct + optional VMs. </t>
  </si>
  <si>
    <t>Compact</t>
  </si>
  <si>
    <t>3XL</t>
  </si>
  <si>
    <t>NOTE!  ESXi hosts needs 8GB for internal purpose and same should not be used for calculation while adding additional hosts .</t>
  </si>
  <si>
    <t>Back to shortcuts</t>
  </si>
  <si>
    <t>1 vRAM = 1GB vRAM</t>
  </si>
  <si>
    <t xml:space="preserve"> = Standard / Customized sizes</t>
  </si>
  <si>
    <t>1 VMDK = 1GB VMDK</t>
  </si>
  <si>
    <r>
      <rPr>
        <b/>
        <sz val="10"/>
        <color theme="1"/>
        <rFont val="Arial"/>
        <family val="2"/>
      </rPr>
      <t xml:space="preserve">NOTE! </t>
    </r>
    <r>
      <rPr>
        <sz val="10"/>
        <color theme="1"/>
        <rFont val="Arial"/>
        <family val="2"/>
      </rPr>
      <t>LUN and datastore sizes are equal, LUN size is given straight as datastore size.</t>
    </r>
  </si>
  <si>
    <t>NOTE: NMS /Access  Server optional VMs can be scaled up based on #user upto following conifguration (16 vCPU,160 GB vRAM,450 GB disk)</t>
  </si>
  <si>
    <t>NIPE values</t>
  </si>
  <si>
    <t>fill_factor</t>
  </si>
  <si>
    <t>Startup Priority</t>
  </si>
  <si>
    <t>Resource Pool</t>
  </si>
  <si>
    <t>Operating System</t>
  </si>
  <si>
    <t>Services</t>
  </si>
  <si>
    <t>Memory Reservation</t>
  </si>
  <si>
    <t>SWAP</t>
  </si>
  <si>
    <t>Datastore</t>
  </si>
  <si>
    <t>Backuptool</t>
  </si>
  <si>
    <t xml:space="preserve">Ext rep </t>
  </si>
  <si>
    <t>ADM Fastpass</t>
  </si>
  <si>
    <t>ISDK Disk</t>
  </si>
  <si>
    <t>DB Flashback
(optional)</t>
  </si>
  <si>
    <t>Network (SB default)</t>
  </si>
  <si>
    <t xml:space="preserve">IP address </t>
  </si>
  <si>
    <t>VIP address</t>
  </si>
  <si>
    <t>VM#1</t>
  </si>
  <si>
    <t>RHEL7</t>
  </si>
  <si>
    <t>InfravmDisk</t>
  </si>
  <si>
    <t>SB</t>
  </si>
  <si>
    <t>x</t>
  </si>
  <si>
    <t>VM#2</t>
  </si>
  <si>
    <t>VM#3</t>
  </si>
  <si>
    <t>HIGH</t>
  </si>
  <si>
    <t>NetAct VMs</t>
  </si>
  <si>
    <t>LDAP-1, DNS-M</t>
  </si>
  <si>
    <t>VMGuestDisk1</t>
  </si>
  <si>
    <t>VM#4</t>
  </si>
  <si>
    <t>VMGuestDisk2</t>
  </si>
  <si>
    <t>DBRedo</t>
  </si>
  <si>
    <t>DBData</t>
  </si>
  <si>
    <t>DBArc</t>
  </si>
  <si>
    <t>DBFB</t>
  </si>
  <si>
    <t>VM#5</t>
  </si>
  <si>
    <t>VMGuestDisk3</t>
  </si>
  <si>
    <t>NFSGlobal</t>
  </si>
  <si>
    <t>VM#6</t>
  </si>
  <si>
    <t>SB, NB</t>
  </si>
  <si>
    <t>x (x)</t>
  </si>
  <si>
    <t>VM#7</t>
  </si>
  <si>
    <t>VM#8</t>
  </si>
  <si>
    <t xml:space="preserve">JBI-NBI3GC, JBI-NBI3GCPM, NBI INVENTORY, NTCApp </t>
  </si>
  <si>
    <t>VM#9</t>
  </si>
  <si>
    <t>VM#10</t>
  </si>
  <si>
    <t>VM#11</t>
  </si>
  <si>
    <t>VM#12</t>
  </si>
  <si>
    <t>JBI-NX2S_XOH, JBI-DA</t>
  </si>
  <si>
    <t>VM#13</t>
  </si>
  <si>
    <t>VM#14</t>
  </si>
  <si>
    <t>VM#15</t>
  </si>
  <si>
    <t>VM#16</t>
  </si>
  <si>
    <t>VM#17</t>
  </si>
  <si>
    <t>VM#18</t>
  </si>
  <si>
    <t>Windows Server 2012 R2</t>
  </si>
  <si>
    <t>VM#19</t>
  </si>
  <si>
    <t>VM#70</t>
  </si>
  <si>
    <t>VM#66</t>
  </si>
  <si>
    <t>PMDatastore</t>
  </si>
  <si>
    <t>VM#67</t>
  </si>
  <si>
    <t>VM#85</t>
  </si>
  <si>
    <t>IHS-1</t>
  </si>
  <si>
    <t>VM#86</t>
  </si>
  <si>
    <t>IHS-2</t>
  </si>
  <si>
    <t>24 (32)</t>
  </si>
  <si>
    <t>HW RESOURCE POOL</t>
  </si>
  <si>
    <t>5 x G8 1p8c 80GB</t>
  </si>
  <si>
    <t>4 x G9 1p12c 96GB</t>
  </si>
  <si>
    <t>*3 x G10 1p16c 192GB(Check the note3)</t>
  </si>
  <si>
    <t>2x DL360 G9 2p12c 256GB (Compact)</t>
  </si>
  <si>
    <t>2x DL360 G10 2p16c 384GB (Compact)</t>
  </si>
  <si>
    <t>4 x G8 1p8c 80GB + 1x G10 1p16c 192GB</t>
  </si>
  <si>
    <t>OPTIONAL (NetAct Applications inside NetAct Resource Pool):</t>
  </si>
  <si>
    <t>VM#44</t>
  </si>
  <si>
    <t>VM#46</t>
  </si>
  <si>
    <t>VM#47</t>
  </si>
  <si>
    <t>VM#48</t>
  </si>
  <si>
    <t>VM#71</t>
  </si>
  <si>
    <t>VM#56</t>
  </si>
  <si>
    <t>VM#57</t>
  </si>
  <si>
    <t>VM#73</t>
  </si>
  <si>
    <t>VM#74</t>
  </si>
  <si>
    <t>VM#75</t>
  </si>
  <si>
    <t>VM#81</t>
  </si>
  <si>
    <t>VM#98</t>
  </si>
  <si>
    <t>VM#99</t>
  </si>
  <si>
    <t>VM#100</t>
  </si>
  <si>
    <t>VM#102</t>
  </si>
  <si>
    <t>VM#110</t>
  </si>
  <si>
    <t>SLES12</t>
  </si>
  <si>
    <t>AVE (Avamar Virtual Edition)</t>
  </si>
  <si>
    <t>VM#111</t>
  </si>
  <si>
    <t>AVECP( Avamar Virtual Edition Combined Proxy)</t>
  </si>
  <si>
    <t>OPTIONAL (NetAct Applications outside NetAct Resource Pool):</t>
  </si>
  <si>
    <t>VM#300</t>
  </si>
  <si>
    <t>CentOS 7.8</t>
  </si>
  <si>
    <t>Deployment Server</t>
  </si>
  <si>
    <t>TREXVMGuestDisk1</t>
  </si>
  <si>
    <t>SB, NCS</t>
  </si>
  <si>
    <t>VM#301</t>
  </si>
  <si>
    <t>Control node #1</t>
  </si>
  <si>
    <t>VM#302</t>
  </si>
  <si>
    <t>Control node #2</t>
  </si>
  <si>
    <t>VM#303</t>
  </si>
  <si>
    <t>Control node #3</t>
  </si>
  <si>
    <t>VM#304</t>
  </si>
  <si>
    <t>Edge node #1</t>
  </si>
  <si>
    <t>VM#305</t>
  </si>
  <si>
    <t>Edge node #2</t>
  </si>
  <si>
    <t>VM#306</t>
  </si>
  <si>
    <t>Worker node #1</t>
  </si>
  <si>
    <t>NCS</t>
  </si>
  <si>
    <t>VM#307</t>
  </si>
  <si>
    <t>Worker node #2</t>
  </si>
  <si>
    <t>VM#308</t>
  </si>
  <si>
    <t>Worker node #3 (optional)</t>
  </si>
  <si>
    <t>OPTIONAL (Other Applicatios outside NetAct Resource Pool):</t>
  </si>
  <si>
    <t>VM#76</t>
  </si>
  <si>
    <t>Network360 VMs</t>
  </si>
  <si>
    <t>RHEL6</t>
  </si>
  <si>
    <t>OoDVMGuestDisk1</t>
  </si>
  <si>
    <t>VM#77</t>
  </si>
  <si>
    <t>Database VM (postgres)</t>
  </si>
  <si>
    <t>OoDDBDisk</t>
  </si>
  <si>
    <t>VM#78</t>
  </si>
  <si>
    <t>Portal VM (tomcat,solr)</t>
  </si>
  <si>
    <t>OoDVMGuestDisk2</t>
  </si>
  <si>
    <t>VM#79</t>
  </si>
  <si>
    <t>Backend VM (jboss eap)</t>
  </si>
  <si>
    <t>VM#80</t>
  </si>
  <si>
    <t>Map VM (apache server)</t>
  </si>
  <si>
    <t>Map Disk</t>
  </si>
  <si>
    <t>VM#101</t>
  </si>
  <si>
    <t>Selfmon</t>
  </si>
  <si>
    <t>NFS Disk</t>
  </si>
  <si>
    <t>VM#84</t>
  </si>
  <si>
    <t>BTSMed VMs</t>
  </si>
  <si>
    <t>BTSMedGuestDisk1</t>
  </si>
  <si>
    <t>VM#87</t>
  </si>
  <si>
    <t>VM#201</t>
  </si>
  <si>
    <t>BTSCSVMPool</t>
  </si>
  <si>
    <t>btscsvm (Conversion Suite)</t>
  </si>
  <si>
    <t>BTSCSVMDisk</t>
  </si>
  <si>
    <t>VM#202</t>
  </si>
  <si>
    <t>PdlValidationServicePool</t>
  </si>
  <si>
    <t>RHEL8</t>
  </si>
  <si>
    <t>PdlValidationServiceDisk</t>
  </si>
  <si>
    <t>Name</t>
  </si>
  <si>
    <t>Usage Size in GB</t>
  </si>
  <si>
    <t>Total Size in GB</t>
  </si>
  <si>
    <t>Bootdisk server 1</t>
  </si>
  <si>
    <t>Bootdisk server 2</t>
  </si>
  <si>
    <t>Bootdisk server 3</t>
  </si>
  <si>
    <t>Bootdisk server 4</t>
  </si>
  <si>
    <t>Bootdisk server 5</t>
  </si>
  <si>
    <t>DB Redo</t>
  </si>
  <si>
    <t>DB Data</t>
  </si>
  <si>
    <t>DB Arc</t>
  </si>
  <si>
    <t>Backup (DB, NFS and AVE)</t>
  </si>
  <si>
    <t>Backup (DB, NFS and VDP to AVE Migration) - Not applicable for Extended DB</t>
  </si>
  <si>
    <t>DB FB</t>
  </si>
  <si>
    <r>
      <rPr>
        <b/>
        <sz val="10"/>
        <color rgb="FF000000"/>
        <rFont val="Arial"/>
        <family val="2"/>
      </rPr>
      <t>Note:</t>
    </r>
    <r>
      <rPr>
        <sz val="10"/>
        <color rgb="FF000000"/>
        <rFont val="Arial"/>
        <family val="2"/>
      </rPr>
      <t xml:space="preserve"> The above  mentioned datastore space total size is dimensioned only for NetAct VMs and not for Optional VMs. In case VMGuestDisk is used for optional VM, make sure that 11% free space is available in the associated VMGuestDisk datastores</t>
    </r>
  </si>
  <si>
    <t>Scratch</t>
  </si>
  <si>
    <t>Upgrade</t>
  </si>
  <si>
    <t>DB size</t>
  </si>
  <si>
    <t>DB Disk Size</t>
  </si>
  <si>
    <t>CPU</t>
  </si>
  <si>
    <t>Memory</t>
  </si>
  <si>
    <t>DB Archive Disk Size</t>
  </si>
  <si>
    <t>DB Backup</t>
  </si>
  <si>
    <t>Backup DS (DB, NFS and AVE)</t>
  </si>
  <si>
    <t>Standard</t>
  </si>
  <si>
    <t>Extended</t>
  </si>
  <si>
    <t>Ext rep</t>
  </si>
  <si>
    <t>JBI-NBI3GC, NBI INVENTORY</t>
  </si>
  <si>
    <t xml:space="preserve">JBI-NBI3GCPM, NTCApp </t>
  </si>
  <si>
    <t>VM#20</t>
  </si>
  <si>
    <t>VM#21</t>
  </si>
  <si>
    <t>VM#22</t>
  </si>
  <si>
    <t>VM#23</t>
  </si>
  <si>
    <t>VM#24</t>
  </si>
  <si>
    <t>VM#25</t>
  </si>
  <si>
    <t>30 (40)</t>
  </si>
  <si>
    <t>6 x G8 2p6c 96GB</t>
  </si>
  <si>
    <t>6 x G9 2p8c 128GB</t>
  </si>
  <si>
    <t>4 x G10 2p16c 384GB</t>
  </si>
  <si>
    <t>VM#49</t>
  </si>
  <si>
    <t>VM#50</t>
  </si>
  <si>
    <t>VM#58</t>
  </si>
  <si>
    <t>VM#59</t>
  </si>
  <si>
    <t>49(59)</t>
  </si>
  <si>
    <t>Bootdisk server 6</t>
  </si>
  <si>
    <t>Backup (DB, NFS and VDP to AVE Migration)</t>
  </si>
  <si>
    <t>Custom</t>
  </si>
  <si>
    <t>VM#26</t>
  </si>
  <si>
    <t>VM#27</t>
  </si>
  <si>
    <t>VM#28</t>
  </si>
  <si>
    <t>VM#29</t>
  </si>
  <si>
    <t>VM#68</t>
  </si>
  <si>
    <t>VM#69</t>
  </si>
  <si>
    <t>36 (50)</t>
  </si>
  <si>
    <t>7 x G8 2p8c 128GB</t>
  </si>
  <si>
    <t>6 x G9 2p12c 256GB</t>
  </si>
  <si>
    <t>*4 x G10 2p16c 384GB</t>
  </si>
  <si>
    <t>6 x G8 2p8c 128GB + 1x G10 2p16c 384GB</t>
  </si>
  <si>
    <t>VM#51</t>
  </si>
  <si>
    <t>VM#52</t>
  </si>
  <si>
    <t>VM#53</t>
  </si>
  <si>
    <t>VM#83</t>
  </si>
  <si>
    <t>VM#82</t>
  </si>
  <si>
    <t>60 (74)</t>
  </si>
  <si>
    <t>Bootdisk server 7</t>
  </si>
  <si>
    <t>36(50)</t>
  </si>
  <si>
    <t>5 x G10 2p16c 384GB</t>
  </si>
  <si>
    <t>DBRedo(1..2)</t>
  </si>
  <si>
    <t>DBData(1..8)</t>
  </si>
  <si>
    <t>DBArch(1..2)</t>
  </si>
  <si>
    <t>DBBackup(1..8)</t>
  </si>
  <si>
    <t>NFSGlobal(1..2)</t>
  </si>
  <si>
    <t>NFSBackup</t>
  </si>
  <si>
    <t>6 x G9 2p12c 256GB + 2 x G10 2p16c 384GB</t>
  </si>
  <si>
    <t>AVEBackup</t>
  </si>
  <si>
    <t>60(74)</t>
  </si>
  <si>
    <t>DBRedo1</t>
  </si>
  <si>
    <t>DBRedo2</t>
  </si>
  <si>
    <t>DBData1</t>
  </si>
  <si>
    <t>DBData2</t>
  </si>
  <si>
    <t>DBData3</t>
  </si>
  <si>
    <t>DBData4</t>
  </si>
  <si>
    <t>DBData5</t>
  </si>
  <si>
    <t>DBData6</t>
  </si>
  <si>
    <t>DBData7</t>
  </si>
  <si>
    <t>DBData8</t>
  </si>
  <si>
    <t>DBArch1</t>
  </si>
  <si>
    <t>DBArch2</t>
  </si>
  <si>
    <t>NFSGlobal1</t>
  </si>
  <si>
    <t>NFSGlobal2</t>
  </si>
  <si>
    <t>DBBackup1</t>
  </si>
  <si>
    <t>DBBackup2</t>
  </si>
  <si>
    <t>DBBackup3</t>
  </si>
  <si>
    <t>DBBackup4</t>
  </si>
  <si>
    <t>DBBackup5</t>
  </si>
  <si>
    <t>DBBackup6</t>
  </si>
  <si>
    <t>DBBackup7</t>
  </si>
  <si>
    <t>DBBackup8</t>
  </si>
  <si>
    <t xml:space="preserve"> = VM part of an image</t>
  </si>
  <si>
    <t>Est rep</t>
  </si>
  <si>
    <t>SelfMonitor, vManager</t>
  </si>
  <si>
    <t>23 (31)</t>
  </si>
  <si>
    <t>39 (47)</t>
  </si>
  <si>
    <t>*Disk Calculation is done by Multiplication factor of 1000 for GB-&gt;MB conversion intead of 1024</t>
  </si>
  <si>
    <t>Node Type</t>
  </si>
  <si>
    <t>Root</t>
  </si>
  <si>
    <t>CEPH</t>
  </si>
  <si>
    <t>Airfame</t>
  </si>
  <si>
    <t>Image</t>
  </si>
  <si>
    <t>FastPass
ADM</t>
  </si>
  <si>
    <t xml:space="preserve">
DB
Flashback
(optional)</t>
  </si>
  <si>
    <t>Floating IPs</t>
  </si>
  <si>
    <t>Ports</t>
  </si>
  <si>
    <t>Inst Eng Network</t>
  </si>
  <si>
    <t>Internal Network</t>
  </si>
  <si>
    <t>Routable Network or
provider Network</t>
  </si>
  <si>
    <t>Subnets</t>
  </si>
  <si>
    <t>Routers</t>
  </si>
  <si>
    <t>Security Group Rules</t>
  </si>
  <si>
    <t>Security Groups</t>
  </si>
  <si>
    <t>-</t>
  </si>
  <si>
    <t>Inst Eng</t>
  </si>
  <si>
    <t>insteng</t>
  </si>
  <si>
    <t>Y</t>
  </si>
  <si>
    <t>tripleo-ceph</t>
  </si>
  <si>
    <t>as</t>
  </si>
  <si>
    <t>N</t>
  </si>
  <si>
    <t>dns</t>
  </si>
  <si>
    <t>db</t>
  </si>
  <si>
    <t>tripleo-ceph-fast</t>
  </si>
  <si>
    <t>nfs</t>
  </si>
  <si>
    <t>lb</t>
  </si>
  <si>
    <t>selfmon</t>
  </si>
  <si>
    <t>nbi3gc</t>
  </si>
  <si>
    <t>nwi3</t>
  </si>
  <si>
    <t>q3</t>
  </si>
  <si>
    <t>xoh</t>
  </si>
  <si>
    <t>nbi</t>
  </si>
  <si>
    <t>common</t>
  </si>
  <si>
    <t>fm</t>
  </si>
  <si>
    <t>was</t>
  </si>
  <si>
    <t>nsdoc</t>
  </si>
  <si>
    <t>nsda</t>
  </si>
  <si>
    <t>nsdec</t>
  </si>
  <si>
    <t>pm</t>
  </si>
  <si>
    <t>ihs</t>
  </si>
  <si>
    <t>3 (5)</t>
  </si>
  <si>
    <t>OPTIONAL COMPONENTS:</t>
  </si>
  <si>
    <t>tp</t>
  </si>
  <si>
    <t>slc</t>
  </si>
  <si>
    <t>cls</t>
  </si>
  <si>
    <t>ltea_med</t>
  </si>
  <si>
    <t>net_guard</t>
  </si>
  <si>
    <t>nbi_ves</t>
  </si>
  <si>
    <t>net_guard_vfm</t>
  </si>
  <si>
    <t>OTHER PRODUCTS:</t>
  </si>
  <si>
    <t>asnw360</t>
  </si>
  <si>
    <t>dbnw360</t>
  </si>
  <si>
    <t>pnw360</t>
  </si>
  <si>
    <t>bnw360</t>
  </si>
  <si>
    <t>mnw360</t>
  </si>
  <si>
    <t>snw360</t>
  </si>
  <si>
    <t>29 (39)</t>
  </si>
  <si>
    <t>nbi3gcpm</t>
  </si>
  <si>
    <t>nbives</t>
  </si>
  <si>
    <t>Sb</t>
  </si>
  <si>
    <t>35 (49)</t>
  </si>
  <si>
    <t>NFS, LDAP-2, IHS</t>
  </si>
  <si>
    <t>bts_med</t>
  </si>
  <si>
    <t>OPTIONAL PRODUCTS:</t>
  </si>
  <si>
    <t>DB Backup Disk Size</t>
  </si>
  <si>
    <t>Memory reservation (GB)</t>
  </si>
  <si>
    <t>Memory (GB)</t>
  </si>
  <si>
    <t>DB FB Disk Size</t>
  </si>
  <si>
    <t>DB FB disk size</t>
  </si>
  <si>
    <t>Extended Small</t>
  </si>
  <si>
    <t>Extended Large</t>
  </si>
  <si>
    <t xml:space="preserve">1pCPU = 1vCPU  </t>
  </si>
  <si>
    <t>XXXLDatabaseOpenstack</t>
  </si>
  <si>
    <t>XXXLDatabase15565vRAM</t>
  </si>
  <si>
    <t>XXXLDatabase15565Arc</t>
  </si>
  <si>
    <t>XXXLDatabase15565BackupOpenStack20</t>
  </si>
  <si>
    <t>XXXLGlobal20OpenStack</t>
  </si>
  <si>
    <t>XXXLExtRep20OpenStack</t>
  </si>
  <si>
    <t>XXXLCustomer20OpenStack</t>
  </si>
  <si>
    <t>XXXLADM20OpenStack</t>
  </si>
  <si>
    <t>XXXLISDK20OpenStack</t>
  </si>
  <si>
    <t>XXXLDatabase15565Redo</t>
  </si>
  <si>
    <t>XXXLUsers</t>
  </si>
  <si>
    <t>vCSA7.0</t>
  </si>
  <si>
    <r>
      <rPr>
        <b/>
        <sz val="10"/>
        <color theme="1"/>
        <rFont val="Arial"/>
        <family val="2"/>
      </rPr>
      <t>NOTE:</t>
    </r>
    <r>
      <rPr>
        <sz val="10"/>
        <color theme="1"/>
        <rFont val="Arial"/>
        <family val="2"/>
      </rPr>
      <t>For VM#2, select the vCSA version in "Services" column to get the needed computing resources for the given vCSA version</t>
    </r>
  </si>
  <si>
    <r>
      <rPr>
        <b/>
        <sz val="10"/>
        <color theme="1"/>
        <rFont val="Arial"/>
        <family val="2"/>
      </rPr>
      <t xml:space="preserve">NOTE: </t>
    </r>
    <r>
      <rPr>
        <sz val="10"/>
        <color theme="1"/>
        <rFont val="Arial"/>
        <family val="2"/>
      </rPr>
      <t>NMS /Access  Server optional VMs can be scaled up based on #user upto following conifguration (16 vCPU,160 GB vRAM,450 GB disk)</t>
    </r>
  </si>
  <si>
    <r>
      <rPr>
        <b/>
        <sz val="10"/>
        <color theme="1"/>
        <rFont val="Arial"/>
        <family val="2"/>
      </rPr>
      <t>NOTE</t>
    </r>
    <r>
      <rPr>
        <sz val="10"/>
        <color theme="1"/>
        <rFont val="Arial"/>
        <family val="2"/>
      </rPr>
      <t>: NMS /Access  Server optional VMs can be scaled up based on #user upto following conifguration (16 vCPU,160 GB vRAM,450 GB disk)</t>
    </r>
  </si>
  <si>
    <r>
      <rPr>
        <b/>
        <sz val="10"/>
        <color theme="1"/>
        <rFont val="Arial"/>
        <family val="2"/>
      </rPr>
      <t>NOTE:</t>
    </r>
    <r>
      <rPr>
        <sz val="10"/>
        <color theme="1"/>
        <rFont val="Arial"/>
        <family val="2"/>
      </rPr>
      <t xml:space="preserve"> NMS /Access  Server optional VMs can be scaled up based on #user upto following conifguration (16 vCPU,160 GB vRAM,450 GB disk)</t>
    </r>
  </si>
  <si>
    <t>*CRSR-275:To avail resource for DRS and new boot partition requirements for vSphere 7.0 U1</t>
  </si>
  <si>
    <r>
      <rPr>
        <b/>
        <sz val="10"/>
        <color theme="1"/>
        <rFont val="Arial"/>
        <family val="2"/>
      </rPr>
      <t>Note1</t>
    </r>
    <r>
      <rPr>
        <sz val="10"/>
        <color theme="1"/>
        <rFont val="Arial"/>
        <family val="2"/>
      </rPr>
      <t xml:space="preserve">: The hardware resource pool provided here corresponds only to NetAct virtual machines. If optional virtual machines are used then plan for the hardware resources accordingly.
</t>
    </r>
    <r>
      <rPr>
        <b/>
        <sz val="10"/>
        <color theme="1"/>
        <rFont val="Arial"/>
        <family val="2"/>
      </rPr>
      <t>Note2:</t>
    </r>
    <r>
      <rPr>
        <sz val="10"/>
        <color theme="1"/>
        <rFont val="Arial"/>
        <family val="2"/>
      </rPr>
      <t xml:space="preserve"> ESXi reserves 8GB Memory for internal purpose
</t>
    </r>
    <r>
      <rPr>
        <b/>
        <sz val="10"/>
        <color theme="1"/>
        <rFont val="Arial"/>
        <family val="2"/>
      </rPr>
      <t>Note3:</t>
    </r>
    <r>
      <rPr>
        <sz val="10"/>
        <color theme="1"/>
        <rFont val="Arial"/>
        <family val="2"/>
      </rPr>
      <t xml:space="preserve"> 1 CPU is used by vSphere 7.0 U1onwards for internal functionality. 
</t>
    </r>
  </si>
  <si>
    <r>
      <rPr>
        <b/>
        <sz val="10"/>
        <color theme="1"/>
        <rFont val="Arial"/>
        <family val="2"/>
      </rPr>
      <t xml:space="preserve">Note1: </t>
    </r>
    <r>
      <rPr>
        <sz val="10"/>
        <color theme="1"/>
        <rFont val="Arial"/>
        <family val="2"/>
      </rPr>
      <t xml:space="preserve">The hardware resource pool provided here corresponds only to NetAct virtual machines. If optional virtual machines are used then plan for the hardware resources accordingly.
</t>
    </r>
    <r>
      <rPr>
        <b/>
        <sz val="10"/>
        <color theme="1"/>
        <rFont val="Arial"/>
        <family val="2"/>
      </rPr>
      <t xml:space="preserve">Note2: </t>
    </r>
    <r>
      <rPr>
        <sz val="10"/>
        <color theme="1"/>
        <rFont val="Arial"/>
        <family val="2"/>
      </rPr>
      <t xml:space="preserve">ESXi reserves 8GB Memory for internal purpose
</t>
    </r>
    <r>
      <rPr>
        <b/>
        <sz val="10"/>
        <color theme="1"/>
        <rFont val="Arial"/>
        <family val="2"/>
      </rPr>
      <t xml:space="preserve">*Note3: </t>
    </r>
    <r>
      <rPr>
        <sz val="10"/>
        <color theme="1"/>
        <rFont val="Arial"/>
        <family val="2"/>
      </rPr>
      <t xml:space="preserve"> From NA20 SP2011 onwards, new installation is supported with 4 x G10 2p16c 384GB.
</t>
    </r>
    <r>
      <rPr>
        <b/>
        <sz val="10"/>
        <color theme="1"/>
        <rFont val="Arial"/>
        <family val="2"/>
      </rPr>
      <t>Note4:</t>
    </r>
    <r>
      <rPr>
        <sz val="10"/>
        <color theme="1"/>
        <rFont val="Arial"/>
        <family val="2"/>
      </rPr>
      <t xml:space="preserve"> 1 CPU is used by vSphere 7.0 U1onwards for internal functionality. </t>
    </r>
  </si>
  <si>
    <r>
      <rPr>
        <b/>
        <sz val="10"/>
        <color theme="1"/>
        <rFont val="Arial"/>
        <family val="2"/>
      </rPr>
      <t>Note1</t>
    </r>
    <r>
      <rPr>
        <sz val="10"/>
        <color theme="1"/>
        <rFont val="Arial"/>
        <family val="2"/>
      </rPr>
      <t xml:space="preserve">: The hardware resource pool provided here corresponds only to NetAct virtual machines. If optional virtual machines are used then plan for the hardware resources accordingly.
</t>
    </r>
    <r>
      <rPr>
        <b/>
        <sz val="10"/>
        <color theme="1"/>
        <rFont val="Arial"/>
        <family val="2"/>
      </rPr>
      <t>Note2:</t>
    </r>
    <r>
      <rPr>
        <sz val="10"/>
        <color theme="1"/>
        <rFont val="Arial"/>
        <family val="2"/>
      </rPr>
      <t xml:space="preserve"> ESXi reserves 8GB Memory for internal purpose
</t>
    </r>
    <r>
      <rPr>
        <b/>
        <sz val="10"/>
        <color theme="1"/>
        <rFont val="Arial"/>
        <family val="2"/>
      </rPr>
      <t>Note3:</t>
    </r>
    <r>
      <rPr>
        <sz val="10"/>
        <color theme="1"/>
        <rFont val="Arial"/>
        <family val="2"/>
      </rPr>
      <t xml:space="preserve"> 1 CPU is used by vSphere 7.0 U1onwards for internal functionality. </t>
    </r>
  </si>
  <si>
    <r>
      <t>Note1:</t>
    </r>
    <r>
      <rPr>
        <sz val="10"/>
        <color theme="1"/>
        <rFont val="Arial"/>
        <family val="2"/>
      </rPr>
      <t xml:space="preserve"> The hardware resource pool provided here corresponds only to NetAct virtual machines. If optional virtual machines are used then plan for the hardware resources accordingly.
</t>
    </r>
    <r>
      <rPr>
        <b/>
        <sz val="10"/>
        <color theme="1"/>
        <rFont val="Arial"/>
        <family val="2"/>
      </rPr>
      <t>Note2 :</t>
    </r>
    <r>
      <rPr>
        <sz val="10"/>
        <color theme="1"/>
        <rFont val="Arial"/>
        <family val="2"/>
      </rPr>
      <t xml:space="preserve"> ESXi reserves 8GB Memory for internal purpose
</t>
    </r>
    <r>
      <rPr>
        <b/>
        <sz val="10"/>
        <color theme="1"/>
        <rFont val="Arial"/>
        <family val="2"/>
      </rPr>
      <t xml:space="preserve">*Note3: </t>
    </r>
    <r>
      <rPr>
        <sz val="10"/>
        <color theme="1"/>
        <rFont val="Arial"/>
        <family val="2"/>
      </rPr>
      <t xml:space="preserve"> From NA20 onwards, new installation is supported with 3 x G10 1p16c 192GB. 
</t>
    </r>
    <r>
      <rPr>
        <b/>
        <sz val="10"/>
        <color theme="1"/>
        <rFont val="Arial"/>
        <family val="2"/>
      </rPr>
      <t>Note4:</t>
    </r>
    <r>
      <rPr>
        <sz val="10"/>
        <color theme="1"/>
        <rFont val="Arial"/>
        <family val="2"/>
      </rPr>
      <t xml:space="preserve"> 1 CPU is used by vSphere 7.0 U1onwards for internal functionality. </t>
    </r>
  </si>
  <si>
    <t>*CRSR-277: Graylog Optional Virtual Machine in NetAct</t>
  </si>
  <si>
    <t>VM#112</t>
  </si>
  <si>
    <t>Graylog</t>
  </si>
  <si>
    <t>57 (70)</t>
  </si>
  <si>
    <t>47 (58)</t>
  </si>
  <si>
    <t>68 (85)</t>
  </si>
  <si>
    <t>Release 22</t>
  </si>
  <si>
    <t>Vmware22</t>
  </si>
  <si>
    <t>OpenStack22</t>
  </si>
  <si>
    <t>SmallDatabase750BackupVMware22</t>
  </si>
  <si>
    <t>SmallGlobal22VMware</t>
  </si>
  <si>
    <t>SmallGlobal22OpenStack</t>
  </si>
  <si>
    <t>MainstreamGlobal22VMware</t>
  </si>
  <si>
    <t>MainstreamGlobal22OpenStack</t>
  </si>
  <si>
    <t>LargeGlobal22VMware</t>
  </si>
  <si>
    <t>LargeGlobal22OpenStack</t>
  </si>
  <si>
    <t>XXLGlobal22OpenStack</t>
  </si>
  <si>
    <t>XXLGlobal22VMware</t>
  </si>
  <si>
    <t>*CRSR-279:Resource allocation for Nokia Archive Cloud Proxy deployment</t>
  </si>
  <si>
    <t>VM#350</t>
  </si>
  <si>
    <t>ARC  VMs</t>
  </si>
  <si>
    <t>ARC Proxy #1</t>
  </si>
  <si>
    <t>ARCDisk</t>
  </si>
  <si>
    <t>VM#351</t>
  </si>
  <si>
    <t>ARC Proxy #2(Optional)</t>
  </si>
  <si>
    <t>Graylog is a SIEM system being deployed as optional extension of NetAct’s SLNBI in VMWare Cloud only</t>
  </si>
  <si>
    <t>NOTE! Overcommitted number of CPUs allowed from NA20SP2011. In case of one HOST failure, the overcommitment of CPU can go above the specified ratio thereby reduced system performance</t>
  </si>
  <si>
    <t>* For 2BCPH, added 6 x G10 H/W in 3XL for BareMetal. Also corrected # of Users supported in NMS and corresponding changes in cloud configuration</t>
  </si>
  <si>
    <r>
      <rPr>
        <b/>
        <sz val="10"/>
        <color theme="1"/>
        <rFont val="Arial"/>
        <family val="2"/>
      </rPr>
      <t>Note1</t>
    </r>
    <r>
      <rPr>
        <sz val="10"/>
        <color theme="1"/>
        <rFont val="Arial"/>
        <family val="2"/>
      </rPr>
      <t xml:space="preserve">: The hardware resource pool provided here corresponds only to NetAct virtual machines. If optional virtual machines are used then plan for the hardware resources accordingly.
</t>
    </r>
    <r>
      <rPr>
        <b/>
        <sz val="10"/>
        <color theme="1"/>
        <rFont val="Arial"/>
        <family val="2"/>
      </rPr>
      <t>Note2:</t>
    </r>
    <r>
      <rPr>
        <sz val="10"/>
        <color theme="1"/>
        <rFont val="Arial"/>
        <family val="2"/>
      </rPr>
      <t xml:space="preserve"> ESXi reserves 8GB Memory for internal purpose
</t>
    </r>
    <r>
      <rPr>
        <b/>
        <sz val="10"/>
        <color theme="1"/>
        <rFont val="Arial"/>
        <family val="2"/>
      </rPr>
      <t>Note3:</t>
    </r>
    <r>
      <rPr>
        <sz val="10"/>
        <color theme="1"/>
        <rFont val="Arial"/>
        <family val="2"/>
      </rPr>
      <t xml:space="preserve"> 1 CPU is used by vSphere 7.0 U1onwards for internal functionality. 
</t>
    </r>
    <r>
      <rPr>
        <b/>
        <sz val="10"/>
        <color theme="1"/>
        <rFont val="Arial"/>
        <family val="2"/>
      </rPr>
      <t>Note4:</t>
    </r>
    <r>
      <rPr>
        <sz val="10"/>
        <color theme="1"/>
        <rFont val="Arial"/>
        <family val="2"/>
      </rPr>
      <t xml:space="preserve"> For 2BCPH, Additionally add one "G10 2p16c 384GB" server</t>
    </r>
  </si>
  <si>
    <t>Vmware</t>
  </si>
  <si>
    <t>*CRSR-248: NA22: VMGuestDisks Size increase</t>
  </si>
  <si>
    <t>*CRSR-273:Request to add resource in NFS node and JBI-NBI3GCPM node</t>
  </si>
  <si>
    <t>*CRSR-252:Increase NFS diskspace for NetAct S/M/L configuration for storing the WAS system core dumps</t>
  </si>
  <si>
    <t>*CRSR-278:Increase NFS diskspace for SWM application for NetAct all configuration by 30% due to 5G/SRAN Common SW Load</t>
  </si>
  <si>
    <t>*CRSR-288: TP VM memory increase for small and Large configuration</t>
  </si>
  <si>
    <t>*CRSR-289: TP VM CPU increase for small and Large configuration</t>
  </si>
  <si>
    <t>*CRSR-215:Increase in /boot size from 150MB to 1GB - Increased Root disk by 1GB in BareMetal and Vware cloud</t>
  </si>
  <si>
    <t>*CRSR-232:Network Analytics Pattern Discovery(NAPD) Optional Virtual Machine in NetAct - NAPD VM details added for BareMetal</t>
  </si>
  <si>
    <t>NAPD Disk</t>
  </si>
  <si>
    <t>VM#130</t>
  </si>
  <si>
    <t>Network Alarm Pattern Discovery(NAPD)</t>
  </si>
  <si>
    <t>NAPDDisk</t>
  </si>
  <si>
    <t>40(48)</t>
  </si>
  <si>
    <t>48(56)</t>
  </si>
  <si>
    <t>58(69)</t>
  </si>
  <si>
    <t>50(60)</t>
  </si>
  <si>
    <t>58(68)</t>
  </si>
  <si>
    <t>68(81)</t>
  </si>
  <si>
    <t>61 (75)</t>
  </si>
  <si>
    <t>69(83)</t>
  </si>
  <si>
    <t>79(96)</t>
  </si>
  <si>
    <t>61(75)</t>
  </si>
  <si>
    <t>This VM is an optional VM developed for the Network Alarm Pattern Discovery(NAPD) in NetAct.</t>
  </si>
  <si>
    <t>Release: NetAct 22</t>
  </si>
  <si>
    <t>Release: NetAct 22 SW on VMware</t>
  </si>
  <si>
    <t>Release: NetAct 22 SW on OpenStack</t>
  </si>
  <si>
    <t>Release: NetAct 22 on OpenStack</t>
  </si>
  <si>
    <t xml:space="preserve">NAPD Computing resources </t>
  </si>
  <si>
    <t>Number of NA clusters</t>
  </si>
  <si>
    <t>RAM</t>
  </si>
  <si>
    <t>NAPDdisk size in GB</t>
  </si>
  <si>
    <t>Maximum IOPS for QOS limit*</t>
  </si>
  <si>
    <t>*CRSR-232: NAPD(ML) VM computing resources need is added based on NetAct cluster count that can be integrated to NAPD</t>
  </si>
  <si>
    <t xml:space="preserve">In next column,select the total number of NetAct clusters( Max 4) are planned to integrate to NAPD </t>
  </si>
  <si>
    <t>*CRSR-250:Increase in secondary disk sizes for NetAct S/L for OpenStack and VMWare cloud as part of OSS_FC_018937- NetAct capacity increase Phase 4</t>
  </si>
  <si>
    <t>In next column,select the total number of NetAct clusters( Max 4) are planned to integrate to NAPD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</si>
</sst>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rgb="FF0070C0"/>
      <name val="Calibri"/>
      <family val="2"/>
      <scheme val="minor"/>
    </font>
    <font>
      <sz val="10"/>
      <name val="Arial"/>
      <family val="2"/>
    </font>
    <font>
      <sz val="11"/>
      <color theme="1"/>
      <name val="宋体"/>
      <charset val="134"/>
    </font>
    <font>
      <b/>
      <sz val="10"/>
      <color rgb="FF0070C0"/>
      <name val="Arial"/>
      <family val="2"/>
    </font>
    <font>
      <sz val="10"/>
      <color theme="1"/>
      <name val="Arial"/>
      <family val="2"/>
    </font>
    <font>
      <b/>
      <sz val="10"/>
      <color theme="1"/>
      <name val="Arial"/>
      <family val="2"/>
    </font>
    <font>
      <sz val="9"/>
      <color indexed="81"/>
      <name val="Calibri"/>
      <family val="2"/>
    </font>
    <font>
      <b/>
      <sz val="9"/>
      <color indexed="81"/>
      <name val="Calibri"/>
      <family val="2"/>
    </font>
    <font>
      <sz val="9"/>
      <color indexed="81"/>
      <name val="Tahoma"/>
      <family val="2"/>
    </font>
    <font>
      <b/>
      <sz val="9"/>
      <color indexed="81"/>
      <name val="Tahoma"/>
      <family val="2"/>
    </font>
    <font>
      <sz val="11"/>
      <name val="Calibri"/>
      <family val="2"/>
      <scheme val="minor"/>
    </font>
    <font>
      <b/>
      <sz val="11"/>
      <color theme="1"/>
      <name val="Calibri"/>
      <family val="2"/>
      <scheme val="minor"/>
    </font>
    <font>
      <b/>
      <sz val="11"/>
      <color theme="3"/>
      <name val="Calibri"/>
      <family val="2"/>
      <scheme val="minor"/>
    </font>
    <font>
      <b/>
      <sz val="11"/>
      <color theme="0"/>
      <name val="Calibri"/>
      <family val="2"/>
      <scheme val="minor"/>
    </font>
    <font>
      <sz val="11"/>
      <color theme="0"/>
      <name val="Calibri"/>
      <family val="2"/>
      <scheme val="minor"/>
    </font>
    <font>
      <b/>
      <u/>
      <sz val="11"/>
      <color theme="0"/>
      <name val="Calibri"/>
      <family val="2"/>
      <scheme val="minor"/>
    </font>
    <font>
      <sz val="11"/>
      <color rgb="FF92D050"/>
      <name val="Calibri"/>
      <family val="2"/>
      <scheme val="minor"/>
    </font>
    <font>
      <sz val="11"/>
      <color theme="3"/>
      <name val="Calibri"/>
      <family val="2"/>
      <scheme val="minor"/>
    </font>
    <font>
      <sz val="10"/>
      <color rgb="FF000000"/>
      <name val="Arial"/>
      <family val="2"/>
    </font>
    <font>
      <b/>
      <sz val="10"/>
      <color rgb="FF000000"/>
      <name val="Arial"/>
      <family val="2"/>
    </font>
    <font>
      <sz val="14"/>
      <color rgb="FF5BB8E9"/>
      <name val="Inherit"/>
    </font>
    <font>
      <u/>
      <sz val="11"/>
      <color theme="10"/>
      <name val="Calibri"/>
      <family val="2"/>
      <scheme val="minor"/>
    </font>
    <font>
      <sz val="11"/>
      <color theme="1"/>
      <name val="Trebuchet MS"/>
      <family val="2"/>
    </font>
    <font>
      <sz val="11"/>
      <color theme="1"/>
      <name val="Calibri"/>
      <family val="2"/>
      <charset val="238"/>
      <scheme val="minor"/>
    </font>
    <font>
      <sz val="10"/>
      <name val="Calibri"/>
      <family val="2"/>
      <scheme val="minor"/>
    </font>
    <font>
      <sz val="7"/>
      <color rgb="FF172B4D"/>
      <name val="Segoe UI"/>
      <family val="2"/>
    </font>
  </fonts>
  <fills count="12">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3" tint="0.7999816888943144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s>
  <cellStyleXfs count="5">
    <xf numFmtId="0" fontId="0" fillId="0" borderId="0"/>
    <xf numFmtId="0" fontId="2" fillId="0" borderId="0"/>
    <xf numFmtId="0" fontId="3" fillId="0" borderId="0"/>
    <xf numFmtId="0" fontId="22" fillId="0" borderId="0" applyNumberFormat="0" applyFill="0" applyBorder="0" applyAlignment="0" applyProtection="0"/>
    <xf numFmtId="0" fontId="23" fillId="0" borderId="0"/>
  </cellStyleXfs>
  <cellXfs count="231">
    <xf numFmtId="0" fontId="0" fillId="0" borderId="0" xfId="0"/>
    <xf numFmtId="0" fontId="0" fillId="0" borderId="0" xfId="0" applyAlignment="1">
      <alignment horizontal="center"/>
    </xf>
    <xf numFmtId="0" fontId="2" fillId="0" borderId="0" xfId="1"/>
    <xf numFmtId="0" fontId="5" fillId="0" borderId="0" xfId="0" applyFont="1"/>
    <xf numFmtId="0" fontId="4" fillId="0" borderId="1" xfId="0" applyFont="1" applyBorder="1" applyAlignment="1">
      <alignment horizontal="center"/>
    </xf>
    <xf numFmtId="0" fontId="4" fillId="0" borderId="1" xfId="0" applyFont="1" applyBorder="1"/>
    <xf numFmtId="0" fontId="5" fillId="0" borderId="0" xfId="0" applyFont="1" applyAlignment="1">
      <alignment vertical="top" wrapText="1"/>
    </xf>
    <xf numFmtId="0" fontId="6"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2" xfId="0" applyFont="1" applyBorder="1"/>
    <xf numFmtId="0" fontId="5" fillId="0" borderId="0" xfId="0" applyFont="1" applyAlignment="1">
      <alignment horizontal="left"/>
    </xf>
    <xf numFmtId="0" fontId="5" fillId="3" borderId="0" xfId="0" applyFont="1" applyFill="1"/>
    <xf numFmtId="0" fontId="5" fillId="0" borderId="1" xfId="0" applyFont="1" applyBorder="1"/>
    <xf numFmtId="0" fontId="5" fillId="0" borderId="0" xfId="0" applyFont="1" applyFill="1" applyBorder="1" applyAlignment="1">
      <alignment vertical="top" wrapText="1"/>
    </xf>
    <xf numFmtId="0" fontId="6" fillId="3" borderId="0" xfId="0" applyFont="1" applyFill="1"/>
    <xf numFmtId="0" fontId="5" fillId="4" borderId="0" xfId="0" applyFont="1" applyFill="1"/>
    <xf numFmtId="0" fontId="5" fillId="4" borderId="0" xfId="0" applyFont="1" applyFill="1" applyAlignment="1">
      <alignment horizontal="center"/>
    </xf>
    <xf numFmtId="0" fontId="5" fillId="4" borderId="0" xfId="0" applyFont="1" applyFill="1" applyAlignment="1">
      <alignment horizontal="left"/>
    </xf>
    <xf numFmtId="0" fontId="5" fillId="5" borderId="0" xfId="0" applyFont="1" applyFill="1" applyAlignment="1">
      <alignment horizontal="center"/>
    </xf>
    <xf numFmtId="0" fontId="5" fillId="5" borderId="0" xfId="0" applyFont="1" applyFill="1"/>
    <xf numFmtId="0" fontId="6" fillId="2" borderId="3" xfId="0" applyFont="1" applyFill="1" applyBorder="1" applyAlignment="1">
      <alignment horizontal="center"/>
    </xf>
    <xf numFmtId="0" fontId="1" fillId="0" borderId="0" xfId="0" applyFont="1" applyBorder="1" applyAlignment="1">
      <alignment horizontal="center"/>
    </xf>
    <xf numFmtId="14" fontId="1" fillId="0" borderId="0" xfId="0" applyNumberFormat="1" applyFont="1" applyBorder="1" applyAlignment="1">
      <alignment horizontal="center"/>
    </xf>
    <xf numFmtId="0" fontId="11" fillId="0" borderId="0" xfId="0" applyFont="1" applyBorder="1"/>
    <xf numFmtId="16" fontId="1" fillId="0" borderId="0" xfId="0" applyNumberFormat="1" applyFont="1" applyBorder="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16" fontId="1" fillId="0" borderId="0" xfId="0" applyNumberFormat="1" applyFont="1" applyAlignment="1">
      <alignment horizontal="center"/>
    </xf>
    <xf numFmtId="0" fontId="0" fillId="0" borderId="0" xfId="0" applyAlignment="1">
      <alignment wrapText="1"/>
    </xf>
    <xf numFmtId="0" fontId="5" fillId="0" borderId="0" xfId="0" applyFont="1" applyBorder="1" applyAlignment="1">
      <alignment vertical="top" wrapText="1"/>
    </xf>
    <xf numFmtId="1" fontId="5" fillId="0" borderId="0" xfId="0" applyNumberFormat="1" applyFont="1" applyAlignment="1">
      <alignment horizontal="center"/>
    </xf>
    <xf numFmtId="0" fontId="12" fillId="0" borderId="0" xfId="0" applyFont="1"/>
    <xf numFmtId="0" fontId="0" fillId="0" borderId="0" xfId="0" applyAlignment="1">
      <alignment vertical="top"/>
    </xf>
    <xf numFmtId="1" fontId="5" fillId="0" borderId="2" xfId="0" applyNumberFormat="1" applyFont="1" applyBorder="1" applyAlignment="1">
      <alignment horizontal="center"/>
    </xf>
    <xf numFmtId="0" fontId="5" fillId="0" borderId="0" xfId="0" applyFont="1" applyProtection="1">
      <protection locked="0"/>
    </xf>
    <xf numFmtId="0" fontId="5" fillId="0" borderId="1" xfId="0" applyFont="1" applyBorder="1" applyAlignment="1" applyProtection="1">
      <alignment horizontal="center"/>
      <protection locked="0"/>
    </xf>
    <xf numFmtId="0" fontId="4" fillId="0" borderId="1" xfId="0" applyFont="1" applyBorder="1" applyAlignment="1" applyProtection="1">
      <alignment horizontal="center"/>
      <protection locked="0"/>
    </xf>
    <xf numFmtId="0" fontId="6" fillId="0" borderId="0" xfId="0" applyFont="1" applyProtection="1">
      <protection locked="0"/>
    </xf>
    <xf numFmtId="0" fontId="5" fillId="0" borderId="0" xfId="0" applyFont="1" applyAlignment="1" applyProtection="1">
      <alignment horizontal="left"/>
      <protection locked="0"/>
    </xf>
    <xf numFmtId="0" fontId="0" fillId="0" borderId="0" xfId="0" applyAlignment="1" applyProtection="1">
      <alignment horizontal="center"/>
      <protection locked="0"/>
    </xf>
    <xf numFmtId="0" fontId="0" fillId="0" borderId="0" xfId="0" applyProtection="1">
      <protection locked="0"/>
    </xf>
    <xf numFmtId="0" fontId="5" fillId="0" borderId="1" xfId="0" applyFont="1" applyBorder="1" applyProtection="1">
      <protection locked="0"/>
    </xf>
    <xf numFmtId="0" fontId="5" fillId="0" borderId="2" xfId="0" applyFont="1" applyBorder="1" applyProtection="1">
      <protection locked="0"/>
    </xf>
    <xf numFmtId="0" fontId="5" fillId="0" borderId="2" xfId="0" applyFont="1" applyBorder="1" applyAlignment="1" applyProtection="1">
      <alignment horizontal="center"/>
      <protection locked="0"/>
    </xf>
    <xf numFmtId="1" fontId="5" fillId="0" borderId="0" xfId="0" applyNumberFormat="1" applyFont="1"/>
    <xf numFmtId="0" fontId="5" fillId="5" borderId="0" xfId="0" applyFont="1" applyFill="1" applyProtection="1">
      <protection locked="0"/>
    </xf>
    <xf numFmtId="0" fontId="0" fillId="6" borderId="0" xfId="0" applyFill="1"/>
    <xf numFmtId="0" fontId="0" fillId="7" borderId="0" xfId="0" applyFill="1"/>
    <xf numFmtId="0" fontId="14" fillId="6" borderId="0" xfId="0" applyFont="1" applyFill="1"/>
    <xf numFmtId="0" fontId="0" fillId="8" borderId="0" xfId="0" applyFill="1"/>
    <xf numFmtId="0" fontId="16" fillId="6" borderId="0" xfId="0" applyFont="1" applyFill="1"/>
    <xf numFmtId="0" fontId="0" fillId="8" borderId="0" xfId="0" applyFont="1" applyFill="1"/>
    <xf numFmtId="0" fontId="17" fillId="6" borderId="0" xfId="0" applyFont="1" applyFill="1"/>
    <xf numFmtId="0" fontId="15" fillId="9" borderId="0" xfId="0" applyFont="1" applyFill="1"/>
    <xf numFmtId="0" fontId="15" fillId="9" borderId="0" xfId="0" applyFont="1" applyFill="1" applyBorder="1"/>
    <xf numFmtId="0" fontId="0" fillId="9" borderId="0" xfId="0" applyFill="1"/>
    <xf numFmtId="0" fontId="14" fillId="9" borderId="0" xfId="0" applyFont="1" applyFill="1"/>
    <xf numFmtId="0" fontId="13" fillId="10" borderId="0" xfId="0" applyFont="1" applyFill="1"/>
    <xf numFmtId="0" fontId="5" fillId="0" borderId="0" xfId="0" quotePrefix="1" applyFont="1"/>
    <xf numFmtId="0" fontId="4" fillId="0" borderId="0" xfId="0" applyFont="1" applyProtection="1">
      <protection locked="0"/>
    </xf>
    <xf numFmtId="0" fontId="4" fillId="0" borderId="1" xfId="0" applyFont="1" applyBorder="1" applyProtection="1">
      <protection locked="0"/>
    </xf>
    <xf numFmtId="0" fontId="6" fillId="3" borderId="0" xfId="0" applyFont="1" applyFill="1" applyProtection="1">
      <protection locked="0"/>
    </xf>
    <xf numFmtId="0" fontId="5" fillId="3" borderId="0" xfId="0" applyFont="1" applyFill="1" applyProtection="1">
      <protection locked="0"/>
    </xf>
    <xf numFmtId="1" fontId="0" fillId="7" borderId="0" xfId="0" applyNumberFormat="1" applyFill="1"/>
    <xf numFmtId="0" fontId="14" fillId="9" borderId="0" xfId="0" applyFont="1" applyFill="1" applyAlignment="1">
      <alignment horizontal="center" wrapText="1"/>
    </xf>
    <xf numFmtId="1" fontId="0" fillId="7" borderId="0" xfId="0" applyNumberFormat="1" applyFill="1" applyAlignment="1">
      <alignment horizontal="center"/>
    </xf>
    <xf numFmtId="1" fontId="18" fillId="10" borderId="0" xfId="0" applyNumberFormat="1" applyFont="1" applyFill="1" applyAlignment="1">
      <alignment horizontal="center"/>
    </xf>
    <xf numFmtId="0" fontId="0" fillId="8" borderId="0" xfId="0" applyNumberFormat="1" applyFill="1" applyAlignment="1">
      <alignment horizontal="right"/>
    </xf>
    <xf numFmtId="0" fontId="0" fillId="0" borderId="0" xfId="0" applyNumberFormat="1" applyAlignment="1">
      <alignment horizontal="right"/>
    </xf>
    <xf numFmtId="0" fontId="5" fillId="0" borderId="0" xfId="0" applyNumberFormat="1" applyFont="1"/>
    <xf numFmtId="0" fontId="5" fillId="0" borderId="0" xfId="0" applyNumberFormat="1" applyFont="1" applyAlignment="1">
      <alignment horizontal="right"/>
    </xf>
    <xf numFmtId="0" fontId="5" fillId="0" borderId="0" xfId="0" applyNumberFormat="1" applyFont="1" applyProtection="1">
      <protection locked="0"/>
    </xf>
    <xf numFmtId="0" fontId="5" fillId="0" borderId="0" xfId="0" applyNumberFormat="1" applyFont="1" applyAlignment="1" applyProtection="1">
      <alignment horizontal="right"/>
      <protection locked="0"/>
    </xf>
    <xf numFmtId="0" fontId="0" fillId="0" borderId="0" xfId="0" applyAlignment="1">
      <alignment horizontal="right"/>
    </xf>
    <xf numFmtId="2" fontId="5" fillId="0" borderId="0" xfId="0" applyNumberFormat="1" applyFont="1" applyAlignment="1" applyProtection="1">
      <alignment horizontal="right"/>
      <protection locked="0"/>
    </xf>
    <xf numFmtId="0" fontId="5" fillId="0" borderId="0" xfId="0" applyFont="1" applyAlignment="1">
      <alignment horizontal="right"/>
    </xf>
    <xf numFmtId="2" fontId="5" fillId="0" borderId="0" xfId="0" applyNumberFormat="1" applyFont="1" applyAlignment="1">
      <alignment horizontal="right"/>
    </xf>
    <xf numFmtId="2" fontId="5" fillId="0" borderId="0" xfId="0" applyNumberFormat="1" applyFont="1" applyAlignment="1">
      <alignment horizontal="center"/>
    </xf>
    <xf numFmtId="2" fontId="5" fillId="0" borderId="1" xfId="0" applyNumberFormat="1" applyFont="1" applyBorder="1" applyAlignment="1">
      <alignment horizontal="center"/>
    </xf>
    <xf numFmtId="2" fontId="5" fillId="0" borderId="2" xfId="0" applyNumberFormat="1" applyFont="1" applyBorder="1" applyAlignment="1">
      <alignment horizontal="center"/>
    </xf>
    <xf numFmtId="2" fontId="5" fillId="0" borderId="0" xfId="0" applyNumberFormat="1" applyFont="1"/>
    <xf numFmtId="2" fontId="5" fillId="0" borderId="0" xfId="0" applyNumberFormat="1" applyFont="1" applyAlignment="1" applyProtection="1">
      <alignment horizontal="center"/>
      <protection locked="0"/>
    </xf>
    <xf numFmtId="2" fontId="5" fillId="0" borderId="1" xfId="0" applyNumberFormat="1" applyFont="1" applyBorder="1" applyAlignment="1" applyProtection="1">
      <alignment horizontal="center"/>
      <protection locked="0"/>
    </xf>
    <xf numFmtId="0" fontId="5" fillId="0" borderId="0" xfId="0" applyFont="1" applyAlignment="1">
      <alignment vertical="top"/>
    </xf>
    <xf numFmtId="0" fontId="19" fillId="0" borderId="0" xfId="0" applyFont="1" applyAlignment="1">
      <alignment vertical="top"/>
    </xf>
    <xf numFmtId="0" fontId="2" fillId="0" borderId="0" xfId="0" applyFont="1" applyFill="1" applyBorder="1" applyAlignment="1">
      <alignment vertical="top" wrapText="1"/>
    </xf>
    <xf numFmtId="0" fontId="0" fillId="6" borderId="0" xfId="0" applyFill="1" applyAlignment="1">
      <alignment horizontal="left"/>
    </xf>
    <xf numFmtId="2" fontId="5" fillId="0" borderId="2" xfId="0" applyNumberFormat="1" applyFont="1" applyBorder="1" applyAlignment="1" applyProtection="1">
      <alignment horizontal="center"/>
      <protection locked="0"/>
    </xf>
    <xf numFmtId="0" fontId="0" fillId="9" borderId="0" xfId="0" quotePrefix="1" applyFill="1"/>
    <xf numFmtId="1" fontId="5" fillId="0" borderId="1" xfId="0" applyNumberFormat="1" applyFont="1" applyBorder="1" applyAlignment="1">
      <alignment horizontal="center"/>
    </xf>
    <xf numFmtId="1" fontId="5" fillId="0" borderId="2" xfId="0" applyNumberFormat="1" applyFont="1" applyBorder="1" applyAlignment="1" applyProtection="1">
      <alignment horizontal="center"/>
      <protection locked="0"/>
    </xf>
    <xf numFmtId="1" fontId="5" fillId="0" borderId="0" xfId="0" applyNumberFormat="1" applyFont="1" applyProtection="1">
      <protection locked="0"/>
    </xf>
    <xf numFmtId="0" fontId="0" fillId="0" borderId="0" xfId="0" applyFont="1"/>
    <xf numFmtId="0" fontId="21" fillId="0" borderId="0" xfId="0" applyFont="1" applyAlignment="1">
      <alignment vertical="center"/>
    </xf>
    <xf numFmtId="0" fontId="4" fillId="0" borderId="1" xfId="0" applyFont="1" applyBorder="1" applyAlignment="1">
      <alignment horizontal="center" wrapText="1"/>
    </xf>
    <xf numFmtId="0" fontId="4" fillId="0" borderId="0" xfId="0" applyFont="1" applyAlignment="1">
      <alignment horizontal="center"/>
    </xf>
    <xf numFmtId="0" fontId="5" fillId="0" borderId="0" xfId="0" quotePrefix="1" applyFont="1" applyAlignment="1">
      <alignment horizontal="center"/>
    </xf>
    <xf numFmtId="2" fontId="5" fillId="0" borderId="4" xfId="4" applyNumberFormat="1" applyFont="1" applyBorder="1" applyAlignment="1">
      <alignment horizontal="center"/>
    </xf>
    <xf numFmtId="0" fontId="0" fillId="0" borderId="1" xfId="0" applyBorder="1" applyAlignment="1" applyProtection="1">
      <alignment horizontal="center"/>
      <protection locked="0"/>
    </xf>
    <xf numFmtId="0" fontId="5" fillId="0" borderId="0" xfId="0" applyFont="1" applyAlignment="1">
      <alignment horizontal="center"/>
    </xf>
    <xf numFmtId="0" fontId="5" fillId="0" borderId="0" xfId="0" applyFont="1" applyBorder="1"/>
    <xf numFmtId="0" fontId="5" fillId="0" borderId="0" xfId="0" applyFont="1" applyBorder="1" applyAlignment="1">
      <alignment horizontal="center"/>
    </xf>
    <xf numFmtId="2" fontId="24" fillId="0" borderId="0" xfId="0" applyNumberFormat="1" applyFont="1"/>
    <xf numFmtId="0" fontId="11" fillId="0" borderId="0" xfId="0" applyFont="1" applyAlignment="1"/>
    <xf numFmtId="0" fontId="11" fillId="0" borderId="0" xfId="0" applyFont="1"/>
    <xf numFmtId="0" fontId="1" fillId="0" borderId="0" xfId="0" applyFont="1" applyAlignment="1"/>
    <xf numFmtId="0" fontId="1" fillId="0" borderId="3" xfId="0" applyFont="1" applyBorder="1" applyAlignment="1"/>
    <xf numFmtId="14" fontId="0" fillId="0" borderId="3" xfId="0" applyNumberFormat="1" applyFont="1" applyBorder="1" applyAlignment="1">
      <alignment horizontal="left"/>
    </xf>
    <xf numFmtId="0" fontId="11" fillId="0" borderId="3" xfId="0" applyFont="1" applyBorder="1" applyAlignment="1"/>
    <xf numFmtId="0" fontId="25" fillId="0" borderId="3" xfId="0" applyFont="1" applyBorder="1" applyAlignment="1"/>
    <xf numFmtId="0" fontId="5" fillId="0" borderId="3" xfId="0" quotePrefix="1" applyFont="1" applyBorder="1"/>
    <xf numFmtId="0" fontId="0" fillId="0" borderId="3" xfId="0" applyBorder="1"/>
    <xf numFmtId="0" fontId="11" fillId="0" borderId="3" xfId="0" quotePrefix="1" applyFont="1" applyBorder="1" applyAlignment="1"/>
    <xf numFmtId="0" fontId="5" fillId="0" borderId="0" xfId="0" applyFont="1" applyBorder="1" applyAlignment="1" applyProtection="1">
      <alignment horizontal="center"/>
      <protection locked="0"/>
    </xf>
    <xf numFmtId="0" fontId="5" fillId="0" borderId="0" xfId="0" applyFont="1" applyBorder="1" applyProtection="1">
      <protection locked="0"/>
    </xf>
    <xf numFmtId="0" fontId="5" fillId="0" borderId="0" xfId="0" applyFont="1" applyFill="1" applyBorder="1" applyProtection="1">
      <protection locked="0"/>
    </xf>
    <xf numFmtId="0" fontId="5" fillId="0" borderId="0" xfId="0" applyFont="1" applyAlignment="1" applyProtection="1">
      <alignment horizontal="center" vertical="center"/>
      <protection locked="0"/>
    </xf>
    <xf numFmtId="0" fontId="11" fillId="0" borderId="5" xfId="0" applyFont="1" applyBorder="1" applyAlignment="1"/>
    <xf numFmtId="14" fontId="0" fillId="0" borderId="0" xfId="0" applyNumberFormat="1" applyAlignment="1">
      <alignment horizontal="left"/>
    </xf>
    <xf numFmtId="0" fontId="11" fillId="0" borderId="3" xfId="0" applyFont="1" applyBorder="1"/>
    <xf numFmtId="0" fontId="2" fillId="0" borderId="0" xfId="0" applyFont="1"/>
    <xf numFmtId="0" fontId="5" fillId="0" borderId="0" xfId="0" applyFont="1" applyAlignment="1" applyProtection="1">
      <protection locked="0"/>
    </xf>
    <xf numFmtId="0" fontId="0" fillId="0" borderId="0" xfId="0" quotePrefix="1"/>
    <xf numFmtId="0" fontId="5" fillId="0" borderId="3" xfId="0" applyFont="1" applyBorder="1"/>
    <xf numFmtId="0" fontId="5" fillId="0" borderId="3" xfId="0" applyFont="1" applyBorder="1" applyAlignment="1" applyProtection="1">
      <alignment horizontal="center"/>
      <protection locked="0"/>
    </xf>
    <xf numFmtId="0" fontId="5" fillId="0" borderId="3" xfId="0" applyFont="1" applyBorder="1" applyAlignment="1">
      <alignment horizontal="center"/>
    </xf>
    <xf numFmtId="0" fontId="5" fillId="0" borderId="3" xfId="0" applyFont="1" applyBorder="1" applyProtection="1">
      <protection locked="0"/>
    </xf>
    <xf numFmtId="0" fontId="5" fillId="0" borderId="3" xfId="0" applyFont="1" applyBorder="1" applyAlignment="1" applyProtection="1">
      <alignment horizontal="center"/>
    </xf>
    <xf numFmtId="0" fontId="0" fillId="0" borderId="6" xfId="0" applyBorder="1"/>
    <xf numFmtId="0" fontId="5" fillId="0" borderId="3" xfId="0" applyFont="1" applyBorder="1" applyAlignment="1"/>
    <xf numFmtId="0" fontId="5" fillId="0" borderId="3" xfId="0" applyFont="1" applyBorder="1" applyAlignment="1">
      <alignment horizontal="center" vertical="center"/>
    </xf>
    <xf numFmtId="0" fontId="26" fillId="0" borderId="0" xfId="0" applyFont="1" applyAlignment="1">
      <alignment vertical="center" wrapText="1"/>
    </xf>
    <xf numFmtId="0" fontId="0" fillId="0" borderId="1" xfId="0" applyBorder="1"/>
    <xf numFmtId="0" fontId="0" fillId="0" borderId="1" xfId="0" applyBorder="1" applyAlignment="1">
      <alignment horizontal="center"/>
    </xf>
    <xf numFmtId="0" fontId="19" fillId="0" borderId="0" xfId="0" applyFont="1" applyAlignment="1">
      <alignment vertical="center"/>
    </xf>
    <xf numFmtId="0" fontId="19" fillId="0" borderId="0" xfId="0" applyFont="1" applyAlignment="1">
      <alignment vertical="center" wrapText="1"/>
    </xf>
    <xf numFmtId="0" fontId="5" fillId="0" borderId="2" xfId="0" applyNumberFormat="1" applyFont="1" applyBorder="1" applyAlignment="1">
      <alignment horizontal="center"/>
    </xf>
    <xf numFmtId="0" fontId="5" fillId="0" borderId="0" xfId="0" applyFont="1"/>
    <xf numFmtId="0" fontId="5" fillId="0" borderId="0" xfId="0" applyFont="1" applyAlignment="1">
      <alignment horizontal="center" vertical="top"/>
    </xf>
    <xf numFmtId="0" fontId="4" fillId="0" borderId="1" xfId="0" applyFont="1" applyBorder="1" applyAlignment="1">
      <alignment horizontal="center" vertical="top"/>
    </xf>
    <xf numFmtId="0" fontId="4" fillId="0" borderId="1" xfId="0" applyFont="1" applyBorder="1" applyAlignment="1" applyProtection="1">
      <alignment horizontal="center" vertical="top"/>
      <protection locked="0"/>
    </xf>
    <xf numFmtId="0" fontId="5" fillId="5" borderId="0" xfId="0" applyFont="1" applyFill="1" applyAlignment="1">
      <alignment horizontal="center" vertical="top"/>
    </xf>
    <xf numFmtId="0" fontId="5" fillId="10" borderId="0" xfId="0" applyFont="1" applyFill="1" applyAlignment="1">
      <alignment horizontal="center"/>
    </xf>
    <xf numFmtId="1" fontId="5" fillId="10" borderId="0" xfId="0" applyNumberFormat="1" applyFont="1" applyFill="1" applyAlignment="1">
      <alignment horizontal="center"/>
    </xf>
    <xf numFmtId="0" fontId="5" fillId="10" borderId="3" xfId="0" applyFont="1" applyFill="1" applyBorder="1" applyAlignment="1">
      <alignment horizontal="center"/>
    </xf>
    <xf numFmtId="0" fontId="5" fillId="10" borderId="0" xfId="0" applyFont="1" applyFill="1" applyAlignment="1" applyProtection="1">
      <alignment horizontal="center"/>
      <protection locked="0"/>
    </xf>
    <xf numFmtId="0" fontId="5" fillId="0" borderId="0" xfId="0" applyFont="1" applyAlignment="1" applyProtection="1">
      <alignment horizontal="center" vertical="top"/>
      <protection locked="0"/>
    </xf>
    <xf numFmtId="2" fontId="5" fillId="0" borderId="0" xfId="0" applyNumberFormat="1" applyFont="1" applyFill="1" applyAlignment="1" applyProtection="1">
      <alignment horizontal="center"/>
      <protection locked="0"/>
    </xf>
    <xf numFmtId="0" fontId="4" fillId="5" borderId="3" xfId="0" applyFont="1" applyFill="1" applyBorder="1" applyAlignment="1">
      <alignment horizontal="center"/>
    </xf>
    <xf numFmtId="0" fontId="0" fillId="0" borderId="0" xfId="0" applyAlignment="1"/>
    <xf numFmtId="0" fontId="6" fillId="3" borderId="0" xfId="0" applyFont="1" applyFill="1" applyAlignment="1">
      <alignment horizontal="center"/>
    </xf>
    <xf numFmtId="0" fontId="5" fillId="0" borderId="0" xfId="0" applyFont="1" applyAlignment="1">
      <alignment horizontal="center"/>
    </xf>
    <xf numFmtId="0" fontId="6" fillId="3" borderId="0" xfId="0" applyFont="1" applyFill="1" applyAlignment="1" applyProtection="1">
      <alignment horizontal="center"/>
      <protection locked="0"/>
    </xf>
    <xf numFmtId="0" fontId="5" fillId="0" borderId="0" xfId="0" applyFont="1" applyAlignment="1" applyProtection="1">
      <alignment horizontal="center"/>
      <protection locked="0"/>
    </xf>
    <xf numFmtId="0" fontId="4" fillId="0" borderId="0" xfId="0" applyFont="1"/>
    <xf numFmtId="0" fontId="5" fillId="0" borderId="0" xfId="0" applyFont="1"/>
    <xf numFmtId="0" fontId="5" fillId="0" borderId="0" xfId="0" applyFont="1" applyAlignment="1">
      <alignment horizontal="center"/>
    </xf>
    <xf numFmtId="0" fontId="5" fillId="0" borderId="0" xfId="0" applyFont="1" applyAlignment="1">
      <alignment horizontal="center"/>
    </xf>
    <xf numFmtId="0" fontId="5" fillId="0" borderId="0" xfId="0" applyFont="1" applyAlignment="1" applyProtection="1">
      <alignment horizontal="center"/>
      <protection locked="0"/>
    </xf>
    <xf numFmtId="0" fontId="5" fillId="10" borderId="0" xfId="0" applyFont="1" applyFill="1"/>
    <xf numFmtId="0" fontId="5" fillId="0" borderId="0" xfId="0" applyFont="1" applyAlignment="1">
      <alignment horizontal="center"/>
    </xf>
    <xf numFmtId="0" fontId="5" fillId="0" borderId="0" xfId="0" applyFont="1" applyAlignment="1" applyProtection="1">
      <alignment horizontal="center"/>
      <protection locked="0"/>
    </xf>
    <xf numFmtId="0" fontId="0" fillId="0" borderId="1" xfId="0" applyBorder="1" applyProtection="1">
      <protection locked="0"/>
    </xf>
    <xf numFmtId="0" fontId="5" fillId="0" borderId="0" xfId="0" applyFont="1" applyAlignment="1">
      <alignment horizontal="center"/>
    </xf>
    <xf numFmtId="0" fontId="5" fillId="0" borderId="0" xfId="0" applyFont="1" applyAlignment="1" applyProtection="1">
      <alignment horizontal="center"/>
      <protection locked="0"/>
    </xf>
    <xf numFmtId="0" fontId="6" fillId="3" borderId="0" xfId="0" applyFont="1" applyFill="1" applyAlignment="1" applyProtection="1">
      <alignment horizontal="center"/>
      <protection locked="0"/>
    </xf>
    <xf numFmtId="0" fontId="26" fillId="0" borderId="0" xfId="0" applyFont="1" applyBorder="1" applyAlignment="1">
      <alignment vertical="center" wrapText="1"/>
    </xf>
    <xf numFmtId="0" fontId="0" fillId="0" borderId="0" xfId="0" applyBorder="1"/>
    <xf numFmtId="0" fontId="5" fillId="0" borderId="5" xfId="0" applyFont="1" applyBorder="1"/>
    <xf numFmtId="0" fontId="5" fillId="0" borderId="7" xfId="0" applyFont="1" applyBorder="1" applyAlignment="1">
      <alignment horizontal="center"/>
    </xf>
    <xf numFmtId="0" fontId="5" fillId="0" borderId="6" xfId="0" applyFont="1" applyBorder="1" applyAlignment="1">
      <alignment horizontal="center"/>
    </xf>
    <xf numFmtId="0" fontId="5" fillId="0" borderId="0" xfId="0" applyFont="1" applyAlignment="1">
      <alignment horizontal="center"/>
    </xf>
    <xf numFmtId="0" fontId="5" fillId="0" borderId="0" xfId="0" applyFont="1" applyAlignment="1" applyProtection="1">
      <alignment horizontal="center"/>
      <protection locked="0"/>
    </xf>
    <xf numFmtId="0" fontId="2" fillId="0" borderId="0" xfId="0" applyFont="1" applyAlignment="1">
      <alignment wrapText="1"/>
    </xf>
    <xf numFmtId="0" fontId="5" fillId="0" borderId="0" xfId="0" applyFont="1" applyAlignment="1" applyProtection="1">
      <alignment horizontal="center"/>
      <protection locked="0"/>
    </xf>
    <xf numFmtId="0" fontId="5" fillId="0" borderId="0" xfId="0" applyFont="1" applyAlignment="1">
      <alignment horizontal="center"/>
    </xf>
    <xf numFmtId="0" fontId="5" fillId="0" borderId="0" xfId="0" applyFont="1" applyAlignment="1" applyProtection="1">
      <alignment horizontal="center"/>
      <protection locked="0"/>
    </xf>
    <xf numFmtId="0" fontId="5" fillId="0" borderId="0" xfId="0" applyFont="1" applyAlignment="1">
      <alignment horizontal="center"/>
    </xf>
    <xf numFmtId="0" fontId="5" fillId="0" borderId="0" xfId="0" applyFont="1" applyAlignment="1">
      <alignment horizontal="center"/>
    </xf>
    <xf numFmtId="0" fontId="5" fillId="0" borderId="0" xfId="0" applyFont="1" applyAlignment="1" applyProtection="1">
      <alignment horizontal="center"/>
      <protection locked="0"/>
    </xf>
    <xf numFmtId="0" fontId="0" fillId="0" borderId="0" xfId="0" applyBorder="1" applyAlignment="1">
      <alignment horizontal="center"/>
    </xf>
    <xf numFmtId="0" fontId="5" fillId="0" borderId="1" xfId="0" applyFont="1" applyBorder="1" applyAlignment="1">
      <alignment vertical="top" wrapText="1"/>
    </xf>
    <xf numFmtId="0" fontId="0" fillId="0" borderId="0" xfId="0" applyAlignment="1"/>
    <xf numFmtId="0" fontId="5" fillId="0" borderId="0" xfId="0" applyFont="1" applyAlignment="1">
      <alignment horizontal="center"/>
    </xf>
    <xf numFmtId="0" fontId="5" fillId="10" borderId="0" xfId="0" applyFont="1" applyFill="1" applyProtection="1">
      <protection locked="0"/>
    </xf>
    <xf numFmtId="0" fontId="5" fillId="10" borderId="1" xfId="0" applyFont="1" applyFill="1" applyBorder="1" applyAlignment="1">
      <alignment horizontal="center"/>
    </xf>
    <xf numFmtId="0" fontId="5" fillId="10" borderId="7" xfId="0" applyFont="1" applyFill="1" applyBorder="1" applyAlignment="1">
      <alignment horizontal="center"/>
    </xf>
    <xf numFmtId="0" fontId="5" fillId="10" borderId="6" xfId="0" applyFont="1" applyFill="1" applyBorder="1" applyAlignment="1">
      <alignment horizontal="center"/>
    </xf>
    <xf numFmtId="0" fontId="5" fillId="10" borderId="3" xfId="0" applyFont="1" applyFill="1" applyBorder="1" applyAlignment="1" applyProtection="1">
      <alignment horizontal="center" vertical="top" wrapText="1"/>
      <protection locked="0"/>
    </xf>
    <xf numFmtId="0" fontId="5" fillId="0" borderId="3" xfId="0" applyFont="1" applyBorder="1" applyAlignment="1" applyProtection="1">
      <alignment horizontal="center" vertical="top"/>
      <protection locked="0"/>
    </xf>
    <xf numFmtId="0" fontId="6" fillId="0" borderId="0" xfId="0" applyFont="1" applyFill="1" applyAlignment="1" applyProtection="1">
      <alignment horizontal="center"/>
      <protection locked="0"/>
    </xf>
    <xf numFmtId="0" fontId="6" fillId="0" borderId="0" xfId="0" applyFont="1" applyFill="1"/>
    <xf numFmtId="0" fontId="0" fillId="0" borderId="0" xfId="0" applyFill="1" applyAlignment="1"/>
    <xf numFmtId="0" fontId="5" fillId="0" borderId="0" xfId="0" applyFont="1" applyFill="1" applyProtection="1">
      <protection locked="0"/>
    </xf>
    <xf numFmtId="0" fontId="5" fillId="10" borderId="5" xfId="0" applyFont="1" applyFill="1" applyBorder="1" applyAlignment="1" applyProtection="1">
      <alignment horizontal="center" vertical="top"/>
      <protection locked="0"/>
    </xf>
    <xf numFmtId="0" fontId="5" fillId="10" borderId="7" xfId="0" applyFont="1" applyFill="1" applyBorder="1" applyAlignment="1" applyProtection="1">
      <alignment horizontal="center" vertical="top"/>
      <protection locked="0"/>
    </xf>
    <xf numFmtId="0" fontId="5" fillId="10" borderId="6" xfId="0" applyFont="1" applyFill="1" applyBorder="1" applyAlignment="1" applyProtection="1">
      <alignment horizontal="center" vertical="top"/>
      <protection locked="0"/>
    </xf>
    <xf numFmtId="0" fontId="6" fillId="0" borderId="0" xfId="0" applyFont="1" applyFill="1" applyProtection="1">
      <protection locked="0"/>
    </xf>
    <xf numFmtId="0" fontId="5" fillId="10" borderId="0" xfId="0" applyFont="1" applyFill="1" applyProtection="1">
      <protection locked="0"/>
    </xf>
    <xf numFmtId="0" fontId="5" fillId="10" borderId="0" xfId="0" applyFont="1" applyFill="1" applyProtection="1">
      <protection locked="0"/>
    </xf>
    <xf numFmtId="0" fontId="5" fillId="0" borderId="0" xfId="0" applyFont="1" applyFill="1" applyBorder="1"/>
    <xf numFmtId="0" fontId="4" fillId="0" borderId="0" xfId="0" applyFont="1" applyFill="1" applyBorder="1" applyAlignment="1">
      <alignment horizontal="center"/>
    </xf>
    <xf numFmtId="0" fontId="5" fillId="0" borderId="3" xfId="0" applyFont="1" applyBorder="1" applyAlignment="1">
      <alignment horizontal="center" vertical="top"/>
    </xf>
    <xf numFmtId="0" fontId="4" fillId="0" borderId="3" xfId="0" applyFont="1" applyBorder="1" applyAlignment="1">
      <alignment horizontal="center" vertical="top"/>
    </xf>
    <xf numFmtId="0" fontId="4" fillId="0" borderId="3" xfId="0" applyFont="1" applyBorder="1" applyAlignment="1" applyProtection="1">
      <alignment horizontal="center" vertical="top"/>
      <protection locked="0"/>
    </xf>
    <xf numFmtId="0" fontId="5" fillId="5" borderId="3" xfId="0" applyFont="1" applyFill="1" applyBorder="1" applyAlignment="1">
      <alignment horizontal="center" vertical="top"/>
    </xf>
    <xf numFmtId="0" fontId="5" fillId="11" borderId="0" xfId="0" applyFont="1" applyFill="1" applyAlignment="1">
      <alignment horizontal="center"/>
    </xf>
    <xf numFmtId="1" fontId="5" fillId="11" borderId="0" xfId="0" applyNumberFormat="1" applyFont="1" applyFill="1" applyAlignment="1">
      <alignment horizontal="center"/>
    </xf>
    <xf numFmtId="2" fontId="5" fillId="0" borderId="0" xfId="0" applyNumberFormat="1" applyFont="1" applyFill="1" applyBorder="1"/>
    <xf numFmtId="2" fontId="5" fillId="11" borderId="0" xfId="0" applyNumberFormat="1" applyFont="1" applyFill="1" applyAlignment="1">
      <alignment horizontal="center"/>
    </xf>
    <xf numFmtId="2" fontId="5" fillId="10" borderId="0" xfId="0" applyNumberFormat="1" applyFont="1" applyFill="1" applyAlignment="1">
      <alignment horizontal="center"/>
    </xf>
    <xf numFmtId="0" fontId="4" fillId="0" borderId="0" xfId="0" applyFont="1" applyFill="1" applyBorder="1" applyAlignment="1" applyProtection="1">
      <alignment horizontal="center"/>
      <protection locked="0"/>
    </xf>
    <xf numFmtId="2" fontId="5" fillId="0" borderId="0" xfId="0" applyNumberFormat="1" applyFont="1" applyFill="1" applyBorder="1" applyProtection="1">
      <protection locked="0"/>
    </xf>
    <xf numFmtId="2" fontId="5" fillId="10" borderId="0" xfId="0" applyNumberFormat="1" applyFont="1" applyFill="1" applyAlignment="1" applyProtection="1">
      <alignment horizontal="center"/>
      <protection locked="0"/>
    </xf>
    <xf numFmtId="0" fontId="4" fillId="0" borderId="0" xfId="0" applyFont="1" applyAlignment="1"/>
    <xf numFmtId="0" fontId="5" fillId="0" borderId="0" xfId="0" applyFont="1" applyAlignment="1"/>
    <xf numFmtId="0" fontId="5" fillId="10" borderId="3" xfId="0" applyFont="1" applyFill="1" applyBorder="1" applyAlignment="1" applyProtection="1">
      <alignment horizontal="center" vertical="top"/>
      <protection locked="0"/>
    </xf>
    <xf numFmtId="0" fontId="0" fillId="0" borderId="3" xfId="0" applyBorder="1" applyAlignment="1">
      <alignment horizontal="center" vertical="top"/>
    </xf>
    <xf numFmtId="0" fontId="4" fillId="5" borderId="3" xfId="0" applyFont="1" applyFill="1" applyBorder="1" applyAlignment="1">
      <alignment horizontal="center"/>
    </xf>
    <xf numFmtId="0" fontId="0" fillId="5" borderId="3" xfId="0" applyFill="1" applyBorder="1" applyAlignment="1"/>
    <xf numFmtId="0" fontId="6" fillId="3" borderId="0" xfId="0" applyFont="1" applyFill="1" applyAlignment="1">
      <alignment vertical="top" wrapText="1"/>
    </xf>
    <xf numFmtId="0" fontId="5" fillId="3" borderId="0" xfId="0" applyFont="1" applyFill="1" applyAlignment="1">
      <alignment vertical="top" wrapText="1"/>
    </xf>
    <xf numFmtId="0" fontId="0" fillId="0" borderId="0" xfId="0" applyAlignment="1"/>
    <xf numFmtId="0" fontId="6" fillId="3" borderId="0" xfId="0" applyFont="1" applyFill="1" applyAlignment="1">
      <alignment horizontal="center"/>
    </xf>
    <xf numFmtId="0" fontId="5" fillId="0" borderId="0" xfId="0" applyFont="1" applyAlignment="1">
      <alignment horizontal="center"/>
    </xf>
    <xf numFmtId="0" fontId="22" fillId="0" borderId="0" xfId="3" applyAlignment="1">
      <alignment horizontal="center"/>
    </xf>
    <xf numFmtId="0" fontId="5" fillId="10" borderId="0" xfId="0" applyFont="1" applyFill="1" applyProtection="1">
      <protection locked="0"/>
    </xf>
    <xf numFmtId="0" fontId="0" fillId="10" borderId="0" xfId="0" applyFill="1"/>
    <xf numFmtId="0" fontId="6" fillId="3" borderId="0" xfId="0" applyFont="1" applyFill="1" applyAlignment="1" applyProtection="1">
      <alignment horizontal="center"/>
      <protection locked="0"/>
    </xf>
    <xf numFmtId="0" fontId="5" fillId="0" borderId="0" xfId="0" applyFont="1" applyAlignment="1" applyProtection="1">
      <alignment horizontal="center"/>
      <protection locked="0"/>
    </xf>
  </cellXfs>
  <cellStyles count="5">
    <cellStyle name="Hyperlink" xfId="3" builtinId="8"/>
    <cellStyle name="Normal" xfId="0" builtinId="0"/>
    <cellStyle name="Normal 2" xfId="1" xr:uid="{00000000-0005-0000-0000-000001000000}"/>
    <cellStyle name="Normal 3" xfId="2" xr:uid="{00000000-0005-0000-0000-000002000000}"/>
    <cellStyle name="Normal 5" xfId="4" xr:uid="{C89DADDB-1987-4C2F-B051-E1122A7806A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67</xdr:row>
      <xdr:rowOff>9522</xdr:rowOff>
    </xdr:from>
    <xdr:to>
      <xdr:col>10</xdr:col>
      <xdr:colOff>605517</xdr:colOff>
      <xdr:row>132</xdr:row>
      <xdr:rowOff>114300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0" y="11241402"/>
          <a:ext cx="7463517" cy="11001378"/>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pl-PL" sz="1000" b="0" i="0" u="none" strike="noStrike" baseline="0">
            <a:solidFill>
              <a:srgbClr val="000000"/>
            </a:solidFill>
            <a:latin typeface="Arial"/>
            <a:cs typeface="Arial"/>
          </a:endParaRPr>
        </a:p>
        <a:p>
          <a:pPr lvl="1"/>
          <a:endParaRPr lang="pl-PL" sz="1000" baseline="0">
            <a:latin typeface="Arial" pitchFamily="34" charset="0"/>
            <a:ea typeface="+mn-ea"/>
            <a:cs typeface="Arial" pitchFamily="34" charset="0"/>
          </a:endParaRPr>
        </a:p>
        <a:p>
          <a:pPr lvl="1"/>
          <a:endParaRPr lang="pl-PL" sz="1000" baseline="0">
            <a:latin typeface="Arial" pitchFamily="34" charset="0"/>
            <a:ea typeface="+mn-ea"/>
            <a:cs typeface="Arial" pitchFamily="34" charset="0"/>
          </a:endParaRPr>
        </a:p>
        <a:p>
          <a:pPr lvl="1"/>
          <a:endParaRPr lang="pl-PL" sz="1000" baseline="0">
            <a:latin typeface="Arial" pitchFamily="34" charset="0"/>
            <a:ea typeface="+mn-ea"/>
            <a:cs typeface="Arial" pitchFamily="34" charset="0"/>
          </a:endParaRPr>
        </a:p>
        <a:p>
          <a:r>
            <a:rPr lang="pl-PL" sz="1100" baseline="0">
              <a:latin typeface="+mn-lt"/>
              <a:ea typeface="+mn-ea"/>
              <a:cs typeface="+mn-cs"/>
            </a:rPr>
            <a:t>	</a:t>
          </a:r>
          <a:r>
            <a:rPr lang="en-US" sz="1000" baseline="0">
              <a:latin typeface="Arial" pitchFamily="34" charset="0"/>
              <a:ea typeface="+mn-ea"/>
              <a:cs typeface="Arial" pitchFamily="34" charset="0"/>
            </a:rPr>
            <a:t>The information in this document applies solely to the hardware/software product (“Product”) specified</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herein, and only as specified herein.</a:t>
          </a:r>
          <a:endParaRPr lang="pl-PL" sz="1000" baseline="0">
            <a:latin typeface="Arial" pitchFamily="34" charset="0"/>
            <a:ea typeface="+mn-ea"/>
            <a:cs typeface="Arial" pitchFamily="34" charset="0"/>
          </a:endParaRPr>
        </a:p>
        <a:p>
          <a:endParaRPr lang="en-US"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This document is intended for use by Nokia Solutions and Networks' customers (“You”) only, and it may not</a:t>
          </a:r>
        </a:p>
        <a:p>
          <a:pPr algn="l"/>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be used except for the purposes defined in the agreement between You and Nokia Solutions and Networks</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(“Agreement”) under which this document is distributed. No part of this document may be used, copied,</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reproduced, modified or transmitted in any form or means without the prior written permission of Nokia</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Solutions and Networks. If you have not entered into an Agreement applicable to the Product, or if that</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Agreement has expired or has been terminated, You may not use this document in any manner and You</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are obliged to return it to Nokia Solutions and Networks and destroy or delete any copies thereof.</a:t>
          </a:r>
        </a:p>
        <a:p>
          <a:endParaRPr lang="pl-PL"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The document has been prepared to be used by professional and properly trained personnel, and You</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assume full responsibility when using it. Nokia Solutions and Networks welcome Your comments as part of</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the process of continuous development and improvement of the documentation.</a:t>
          </a:r>
        </a:p>
        <a:p>
          <a:endParaRPr lang="pl-PL"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This document and its contents are provided as a convenience to You. Any information or statements</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concerning the suitability, capacity, fitness for purpose or performance of the Product are given solely on</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an “as is” and “as available” basis in this document, and Nokia Solutions and Networks reserves the right</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to change any such information and statements without notice. Nokia Solutions Networks has made all</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reasonable efforts to ensure that the content of this document is adequate and free of material errors and</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omissions, and Nokia Solutions and Networks will correct errors that You identify in this document. But,</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Nokia Solutions and Networks' total liability for any errors in the document is strictly limited to the correction</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of such error(s). Nokia Solutions and Networks does not warrant that the use of the software in the Product</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will be uninterrupted or error-free.</a:t>
          </a:r>
          <a:endParaRPr lang="pl-PL" sz="1000" baseline="0">
            <a:latin typeface="Arial" pitchFamily="34" charset="0"/>
            <a:ea typeface="+mn-ea"/>
            <a:cs typeface="Arial" pitchFamily="34" charset="0"/>
          </a:endParaRPr>
        </a:p>
        <a:p>
          <a:endParaRPr lang="en-US"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NO WARRANTY OF ANY KIND, EITHER EXPRESS OR IMPLIED, INCLUDING BUT NOT LIMITED TO</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ANY WARRANTY OF AVAILABILITY, ACCURACY, RELIABILITY, TITLE, NON-INFRINGEMENT,</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MERCHANTABILITY OR FITNESS FOR A PARTICULAR PURPOSE, IS MADE IN RELATION TO THE</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CONTENT OF THIS DOCUMENT. IN NO EVENT WILL NOKIA SOLUTIONS AND NETWORKS BE</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LIABLE FOR ANY DAMAGES, INCLUDING BUT NOT LIMITED TO SPECIAL, DIRECT, INDIRECT,</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INCIDENTAL OR CONSEQUENTIAL OR ANY LOSSES, SUCH AS BUT NOT LIMITED TO LOSS OF</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PROFIT, REVENUE, BUSINESS INTERRUPTION, BUSINESS OPPORTUNITY OR DATA THAT MAY</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ARISE FROM THE USE OF THIS DOCUMENT OR THE INFORMATION IN IT, EVEN IN THE CASE OF</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ERRORS IN OR OMISSIONS FROM THIS DOCUMENT OR ITS CONTENT.</a:t>
          </a:r>
        </a:p>
        <a:p>
          <a:endParaRPr lang="pl-PL"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This document is Nokia Solutions and Networks’ proprietary and confidential information, which may not be</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distributed or disclosed to any third parties without the prior written consent of Nokia Solutions and</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Networks.</a:t>
          </a:r>
          <a:endParaRPr lang="pl-PL" sz="1000" baseline="0">
            <a:latin typeface="Arial" pitchFamily="34" charset="0"/>
            <a:ea typeface="+mn-ea"/>
            <a:cs typeface="Arial" pitchFamily="34" charset="0"/>
          </a:endParaRPr>
        </a:p>
        <a:p>
          <a:endParaRPr lang="en-US"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Nokia is a registered trademark of Nokia Corporation. Other product names mentioned in this document</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may be trademarks of their respective owners, and they are mentioned for identification purposes only.</a:t>
          </a:r>
        </a:p>
        <a:p>
          <a:endParaRPr lang="pl-PL"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Copyright © 2017 Nokia Solutions and Networks. All rights reserved.</a:t>
          </a:r>
        </a:p>
        <a:p>
          <a:endParaRPr lang="pl-PL"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1" baseline="0">
              <a:latin typeface="Arial" pitchFamily="34" charset="0"/>
              <a:ea typeface="+mn-ea"/>
              <a:cs typeface="Arial" pitchFamily="34" charset="0"/>
            </a:rPr>
            <a:t>Important Notice on Product Safety</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This product may present safety risks due to laser, electricity, heat, and other sources of </a:t>
          </a:r>
          <a:endParaRPr lang="pl-PL"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d</a:t>
          </a:r>
          <a:r>
            <a:rPr lang="en-US" sz="1000" baseline="0">
              <a:latin typeface="Arial" pitchFamily="34" charset="0"/>
              <a:ea typeface="+mn-ea"/>
              <a:cs typeface="Arial" pitchFamily="34" charset="0"/>
            </a:rPr>
            <a:t>anger.</a:t>
          </a:r>
          <a:endParaRPr lang="pl-PL" sz="1000" baseline="0">
            <a:latin typeface="Arial" pitchFamily="34" charset="0"/>
            <a:ea typeface="+mn-ea"/>
            <a:cs typeface="Arial" pitchFamily="34" charset="0"/>
          </a:endParaRPr>
        </a:p>
        <a:p>
          <a:endParaRPr lang="en-US"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Only trained and qualified personnel may install, operate, maintain or otherwise handle this</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product and only after having carefully read the safety information applicable to this product.</a:t>
          </a:r>
        </a:p>
        <a:p>
          <a:endParaRPr lang="pl-PL" sz="1000" baseline="0">
            <a:latin typeface="Arial" pitchFamily="34" charset="0"/>
            <a:ea typeface="+mn-ea"/>
            <a:cs typeface="Arial" pitchFamily="34" charset="0"/>
          </a:endParaRP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The safety information is provided in the Safety Information section in the “Legal, Safety and</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Environmental Information” part of this document or documentation set.</a:t>
          </a:r>
        </a:p>
        <a:p>
          <a:r>
            <a:rPr lang="pl-PL" sz="1000" baseline="0">
              <a:latin typeface="Arial" pitchFamily="34" charset="0"/>
              <a:ea typeface="+mn-ea"/>
              <a:cs typeface="Arial" pitchFamily="34" charset="0"/>
            </a:rPr>
            <a:t>	</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Nokia Solutions and Networks is continually striving to reduce the adverse environmental effects of its</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products and services. We would like to encourage you as our customers and users to join us in working</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towards a cleaner, safer environment. Please recycle product packaging and follow the recommendations</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for power use and proper disposal of our products and their components.</a:t>
          </a:r>
        </a:p>
        <a:p>
          <a:r>
            <a:rPr lang="pl-PL" sz="1000" baseline="0">
              <a:latin typeface="Arial" pitchFamily="34" charset="0"/>
              <a:ea typeface="+mn-ea"/>
              <a:cs typeface="Arial" pitchFamily="34" charset="0"/>
            </a:rPr>
            <a:t>	</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If you should have questions regarding our Environmental Policy or any of the environmental services we</a:t>
          </a:r>
        </a:p>
        <a:p>
          <a:r>
            <a:rPr lang="pl-PL" sz="1000" baseline="0">
              <a:latin typeface="Arial" pitchFamily="34" charset="0"/>
              <a:ea typeface="+mn-ea"/>
              <a:cs typeface="Arial" pitchFamily="34" charset="0"/>
            </a:rPr>
            <a:t>	</a:t>
          </a:r>
          <a:r>
            <a:rPr lang="en-US" sz="1000" baseline="0">
              <a:latin typeface="Arial" pitchFamily="34" charset="0"/>
              <a:ea typeface="+mn-ea"/>
              <a:cs typeface="Arial" pitchFamily="34" charset="0"/>
            </a:rPr>
            <a:t>offer, please contact us at Nokia Solutions and Networks for any additional information.</a:t>
          </a:r>
          <a:endParaRPr lang="pl-PL" sz="1000" baseline="0">
            <a:latin typeface="Arial" pitchFamily="34" charset="0"/>
            <a:ea typeface="+mn-ea"/>
            <a:cs typeface="Arial" pitchFamily="34" charset="0"/>
          </a:endParaRPr>
        </a:p>
      </xdr:txBody>
    </xdr:sp>
    <xdr:clientData/>
  </xdr:twoCellAnchor>
  <xdr:twoCellAnchor>
    <xdr:from>
      <xdr:col>0</xdr:col>
      <xdr:colOff>0</xdr:colOff>
      <xdr:row>0</xdr:row>
      <xdr:rowOff>0</xdr:rowOff>
    </xdr:from>
    <xdr:to>
      <xdr:col>10</xdr:col>
      <xdr:colOff>608322</xdr:colOff>
      <xdr:row>65</xdr:row>
      <xdr:rowOff>136071</xdr:rowOff>
    </xdr:to>
    <xdr:sp macro="" textlink="">
      <xdr:nvSpPr>
        <xdr:cNvPr id="3" name="Text Box 1">
          <a:extLst>
            <a:ext uri="{FF2B5EF4-FFF2-40B4-BE49-F238E27FC236}">
              <a16:creationId xmlns:a16="http://schemas.microsoft.com/office/drawing/2014/main" id="{00000000-0008-0000-0000-000003000000}"/>
            </a:ext>
          </a:extLst>
        </xdr:cNvPr>
        <xdr:cNvSpPr txBox="1">
          <a:spLocks noChangeArrowheads="1"/>
        </xdr:cNvSpPr>
      </xdr:nvSpPr>
      <xdr:spPr bwMode="auto">
        <a:xfrm>
          <a:off x="0" y="0"/>
          <a:ext cx="7466322" cy="11032671"/>
        </a:xfrm>
        <a:prstGeom prst="rect">
          <a:avLst/>
        </a:prstGeom>
        <a:solidFill>
          <a:srgbClr val="FFFFFF"/>
        </a:solidFill>
        <a:ln w="9525">
          <a:solidFill>
            <a:srgbClr val="000000"/>
          </a:solidFill>
          <a:miter lim="800000"/>
          <a:headEnd/>
          <a:tailEnd/>
        </a:ln>
      </xdr:spPr>
      <xdr:txBody>
        <a:bodyPr vertOverflow="clip" wrap="square" lIns="45720" tIns="36576" rIns="0" bIns="0" anchor="t" upright="1"/>
        <a:lstStyle/>
        <a:p>
          <a:pPr algn="l" rtl="0">
            <a:defRPr sz="1000"/>
          </a:pPr>
          <a:endParaRPr lang="en-US" sz="1800" b="0" i="0" u="none" strike="noStrike" baseline="0">
            <a:solidFill>
              <a:srgbClr val="000000"/>
            </a:solidFill>
            <a:latin typeface="宋体"/>
            <a:ea typeface="宋体"/>
          </a:endParaRPr>
        </a:p>
        <a:p>
          <a:pPr algn="l" rtl="0">
            <a:defRPr sz="1000"/>
          </a:pPr>
          <a:endParaRPr lang="en-US" sz="1800" b="0" i="0" u="none" strike="noStrike" baseline="0">
            <a:solidFill>
              <a:srgbClr val="969696"/>
            </a:solidFill>
            <a:latin typeface="宋体"/>
            <a:ea typeface="宋体"/>
          </a:endParaRPr>
        </a:p>
        <a:p>
          <a:pPr algn="l" rtl="0">
            <a:defRPr sz="1000"/>
          </a:pPr>
          <a:endParaRPr lang="en-US" sz="1800" b="0" i="0" u="none" strike="noStrike" baseline="0">
            <a:solidFill>
              <a:srgbClr val="969696"/>
            </a:solidFill>
            <a:latin typeface="宋体"/>
            <a:ea typeface="宋体"/>
          </a:endParaRPr>
        </a:p>
        <a:p>
          <a:pPr algn="l" rtl="0">
            <a:defRPr sz="1000"/>
          </a:pPr>
          <a:endParaRPr lang="en-US" sz="1800" b="0" i="0" u="none" strike="noStrike" baseline="0">
            <a:solidFill>
              <a:srgbClr val="969696"/>
            </a:solidFill>
            <a:latin typeface="宋体"/>
            <a:ea typeface="宋体"/>
          </a:endParaRPr>
        </a:p>
        <a:p>
          <a:pPr algn="l" rtl="0">
            <a:defRPr sz="1000"/>
          </a:pPr>
          <a:endParaRPr lang="en-US" sz="2200" b="1" i="0" u="none" strike="noStrike" baseline="0">
            <a:solidFill>
              <a:srgbClr val="333333"/>
            </a:solidFill>
            <a:latin typeface="宋体"/>
            <a:ea typeface="宋体"/>
          </a:endParaRPr>
        </a:p>
        <a:p>
          <a:pPr algn="l" rtl="0">
            <a:defRPr sz="1000"/>
          </a:pPr>
          <a:endParaRPr lang="en-US" sz="2200" b="1" i="0" u="none" strike="noStrike" baseline="0">
            <a:solidFill>
              <a:srgbClr val="333333"/>
            </a:solidFill>
            <a:latin typeface="宋体"/>
            <a:ea typeface="宋体"/>
          </a:endParaRPr>
        </a:p>
        <a:p>
          <a:pPr algn="l" rtl="0">
            <a:defRPr sz="1000"/>
          </a:pPr>
          <a:endParaRPr lang="en-US" sz="2200" b="1" i="0" u="none" strike="noStrike" baseline="0">
            <a:solidFill>
              <a:srgbClr val="333333"/>
            </a:solidFill>
            <a:latin typeface="宋体"/>
            <a:ea typeface="宋体"/>
          </a:endParaRPr>
        </a:p>
        <a:p>
          <a:pPr algn="l" rtl="0">
            <a:defRPr sz="1000"/>
          </a:pPr>
          <a:endParaRPr lang="en-US" sz="2200" b="1" i="0" u="none" strike="noStrike" baseline="0">
            <a:solidFill>
              <a:srgbClr val="808080"/>
            </a:solidFill>
            <a:latin typeface="宋体"/>
            <a:ea typeface="宋体"/>
          </a:endParaRPr>
        </a:p>
        <a:p>
          <a:pPr algn="l" rtl="0">
            <a:defRPr sz="1000"/>
          </a:pPr>
          <a:endParaRPr lang="en-US" sz="2200" b="1" i="0" u="none" strike="noStrike" baseline="0">
            <a:solidFill>
              <a:srgbClr val="333333"/>
            </a:solidFill>
            <a:latin typeface="宋体"/>
            <a:ea typeface="宋体"/>
          </a:endParaRPr>
        </a:p>
        <a:p>
          <a:pPr algn="l" rtl="0">
            <a:defRPr sz="1000"/>
          </a:pPr>
          <a:endParaRPr lang="en-US" sz="2200" b="1" i="0" u="none" strike="noStrike" baseline="0">
            <a:solidFill>
              <a:srgbClr val="808080"/>
            </a:solidFill>
            <a:latin typeface="宋体"/>
            <a:ea typeface="宋体"/>
          </a:endParaRPr>
        </a:p>
        <a:p>
          <a:pPr algn="l" rtl="0">
            <a:defRPr sz="1000"/>
          </a:pPr>
          <a:endParaRPr lang="en-US" sz="2400" b="1" i="0" u="none" strike="noStrike" baseline="0">
            <a:solidFill>
              <a:srgbClr val="1F497D"/>
            </a:solidFill>
            <a:latin typeface="宋体"/>
            <a:ea typeface="宋体"/>
          </a:endParaRPr>
        </a:p>
        <a:p>
          <a:pPr algn="l" rtl="0">
            <a:defRPr sz="1000"/>
          </a:pPr>
          <a:endParaRPr lang="en-US" sz="1400" b="1" i="0" u="none" strike="noStrike" baseline="0">
            <a:solidFill>
              <a:srgbClr val="808080"/>
            </a:solidFill>
            <a:latin typeface="宋体"/>
            <a:ea typeface="宋体"/>
          </a:endParaRPr>
        </a:p>
        <a:p>
          <a:pPr algn="l" rtl="0">
            <a:defRPr sz="1000"/>
          </a:pPr>
          <a:r>
            <a:rPr lang="en-US" sz="1400" b="1" i="0" u="none" strike="noStrike" baseline="0">
              <a:solidFill>
                <a:srgbClr val="1F497D"/>
              </a:solidFill>
              <a:latin typeface="Arial"/>
              <a:cs typeface="Arial"/>
            </a:rPr>
            <a:t>                                  </a:t>
          </a:r>
          <a:endParaRPr lang="en-US" sz="1400" b="1" i="0" u="none" strike="noStrike" baseline="0">
            <a:solidFill>
              <a:srgbClr val="1F497D"/>
            </a:solidFill>
            <a:latin typeface="宋体"/>
            <a:ea typeface="宋体"/>
          </a:endParaRPr>
        </a:p>
        <a:p>
          <a:pPr algn="l" rtl="0">
            <a:defRPr sz="1000"/>
          </a:pPr>
          <a:endParaRPr lang="en-US" sz="2200" b="1" i="0" u="none" strike="noStrike" baseline="0">
            <a:solidFill>
              <a:srgbClr val="000000"/>
            </a:solidFill>
            <a:latin typeface="宋体"/>
            <a:ea typeface="宋体"/>
          </a:endParaRPr>
        </a:p>
        <a:p>
          <a:pPr algn="l" rtl="0">
            <a:defRPr sz="1000"/>
          </a:pPr>
          <a:endParaRPr lang="en-US" sz="1800" b="0" i="0" u="none" strike="noStrike" baseline="0">
            <a:solidFill>
              <a:srgbClr val="000000"/>
            </a:solidFill>
            <a:latin typeface="宋体"/>
            <a:ea typeface="宋体"/>
          </a:endParaRPr>
        </a:p>
        <a:p>
          <a:pPr algn="l" rtl="0">
            <a:defRPr sz="1000"/>
          </a:pPr>
          <a:endParaRPr lang="en-US" sz="1800" b="0" i="0" u="none" strike="noStrike" baseline="0">
            <a:solidFill>
              <a:srgbClr val="000000"/>
            </a:solidFill>
            <a:latin typeface="宋体"/>
            <a:ea typeface="宋体"/>
          </a:endParaRPr>
        </a:p>
        <a:p>
          <a:pPr algn="l" rtl="0">
            <a:defRPr sz="1000"/>
          </a:pPr>
          <a:endParaRPr lang="en-US" sz="1800" b="0" i="0" u="none" strike="noStrike" baseline="0">
            <a:solidFill>
              <a:srgbClr val="000000"/>
            </a:solidFill>
            <a:latin typeface="宋体"/>
            <a:ea typeface="宋体"/>
          </a:endParaRPr>
        </a:p>
        <a:p>
          <a:pPr algn="l" rtl="0">
            <a:defRPr sz="1000"/>
          </a:pPr>
          <a:endParaRPr lang="en-US" sz="1800" b="0" i="0" u="none" strike="noStrike" baseline="0">
            <a:solidFill>
              <a:srgbClr val="000000"/>
            </a:solidFill>
            <a:latin typeface="宋体"/>
            <a:ea typeface="宋体"/>
          </a:endParaRPr>
        </a:p>
        <a:p>
          <a:pPr algn="l" rtl="0">
            <a:defRPr sz="1000"/>
          </a:pPr>
          <a:endParaRPr lang="en-US" sz="1800" b="0" i="0" u="none" strike="noStrike" baseline="0">
            <a:solidFill>
              <a:srgbClr val="000000"/>
            </a:solidFill>
            <a:latin typeface="宋体"/>
            <a:ea typeface="宋体"/>
          </a:endParaRPr>
        </a:p>
        <a:p>
          <a:pPr algn="l" rtl="0">
            <a:defRPr sz="1000"/>
          </a:pPr>
          <a:endParaRPr lang="en-US" sz="1800" b="0" i="0" u="none" strike="noStrike" baseline="0">
            <a:solidFill>
              <a:srgbClr val="000000"/>
            </a:solidFill>
            <a:latin typeface="宋体"/>
            <a:ea typeface="宋体"/>
          </a:endParaRPr>
        </a:p>
        <a:p>
          <a:pPr algn="l" rtl="0">
            <a:defRPr sz="1000"/>
          </a:pPr>
          <a:endParaRPr lang="en-US" sz="1800" b="0" i="0" u="none" strike="noStrike" baseline="0">
            <a:solidFill>
              <a:srgbClr val="000000"/>
            </a:solidFill>
            <a:latin typeface="宋体"/>
            <a:ea typeface="宋体"/>
          </a:endParaRPr>
        </a:p>
        <a:p>
          <a:pPr algn="l" rtl="0">
            <a:defRPr sz="1000"/>
          </a:pPr>
          <a:endParaRPr lang="en-US" sz="1200" b="1" i="0" u="none" strike="noStrike" baseline="0">
            <a:solidFill>
              <a:srgbClr val="000000"/>
            </a:solidFill>
            <a:latin typeface="宋体"/>
            <a:ea typeface="宋体"/>
          </a:endParaRPr>
        </a:p>
        <a:p>
          <a:pPr algn="l" rtl="0">
            <a:defRPr sz="1000"/>
          </a:pPr>
          <a:endParaRPr lang="en-US" sz="1200" b="1" i="0" u="none" strike="noStrike" baseline="0">
            <a:solidFill>
              <a:srgbClr val="000000"/>
            </a:solidFill>
            <a:latin typeface="宋体"/>
            <a:ea typeface="宋体"/>
          </a:endParaRPr>
        </a:p>
      </xdr:txBody>
    </xdr:sp>
    <xdr:clientData/>
  </xdr:twoCellAnchor>
  <xdr:twoCellAnchor>
    <xdr:from>
      <xdr:col>0</xdr:col>
      <xdr:colOff>600075</xdr:colOff>
      <xdr:row>0</xdr:row>
      <xdr:rowOff>123825</xdr:rowOff>
    </xdr:from>
    <xdr:to>
      <xdr:col>4</xdr:col>
      <xdr:colOff>147764</xdr:colOff>
      <xdr:row>13</xdr:row>
      <xdr:rowOff>95250</xdr:rowOff>
    </xdr:to>
    <xdr:pic>
      <xdr:nvPicPr>
        <xdr:cNvPr id="5" name="Picture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r="66731"/>
        <a:stretch>
          <a:fillRect/>
        </a:stretch>
      </xdr:blipFill>
      <xdr:spPr bwMode="auto">
        <a:xfrm>
          <a:off x="600075" y="123825"/>
          <a:ext cx="2290889" cy="2150745"/>
        </a:xfrm>
        <a:prstGeom prst="rect">
          <a:avLst/>
        </a:prstGeom>
        <a:noFill/>
        <a:ln w="9525">
          <a:noFill/>
          <a:miter lim="800000"/>
          <a:headEnd/>
          <a:tailEnd/>
        </a:ln>
      </xdr:spPr>
    </xdr:pic>
    <xdr:clientData/>
  </xdr:twoCellAnchor>
  <xdr:oneCellAnchor>
    <xdr:from>
      <xdr:col>2</xdr:col>
      <xdr:colOff>261893</xdr:colOff>
      <xdr:row>13</xdr:row>
      <xdr:rowOff>61079</xdr:rowOff>
    </xdr:from>
    <xdr:ext cx="4764667" cy="641823"/>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633493" y="2240399"/>
          <a:ext cx="4764667" cy="6418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rtl="0">
            <a:lnSpc>
              <a:spcPts val="1300"/>
            </a:lnSpc>
            <a:defRPr sz="1000"/>
          </a:pPr>
          <a:r>
            <a:rPr lang="en-US" sz="1600" b="1" i="0" u="none" strike="noStrike" baseline="0">
              <a:solidFill>
                <a:srgbClr val="808080"/>
              </a:solidFill>
              <a:latin typeface="Arial"/>
              <a:ea typeface="Arial"/>
              <a:cs typeface="Arial"/>
            </a:rPr>
            <a:t>NetAct 20</a:t>
          </a:r>
        </a:p>
        <a:p>
          <a:pPr algn="l" rtl="0">
            <a:lnSpc>
              <a:spcPts val="2100"/>
            </a:lnSpc>
            <a:defRPr sz="1000"/>
          </a:pPr>
          <a:endParaRPr lang="en-US" sz="2200" b="1" i="0" u="none" strike="noStrike" baseline="0">
            <a:solidFill>
              <a:srgbClr val="808080"/>
            </a:solidFill>
            <a:latin typeface="Arial"/>
            <a:ea typeface="Arial"/>
            <a:cs typeface="Arial"/>
          </a:endParaRPr>
        </a:p>
        <a:p>
          <a:pPr algn="l" rtl="0">
            <a:lnSpc>
              <a:spcPts val="2100"/>
            </a:lnSpc>
            <a:defRPr sz="1000"/>
          </a:pPr>
          <a:endParaRPr/>
        </a:p>
        <a:p>
          <a:pPr algn="l" rtl="0">
            <a:lnSpc>
              <a:spcPts val="2100"/>
            </a:lnSpc>
            <a:defRPr sz="1000"/>
          </a:pPr>
          <a:endParaRPr lang="en-US" sz="2200" b="1" i="0" u="none" strike="noStrike" baseline="0">
            <a:solidFill>
              <a:srgbClr val="808080"/>
            </a:solidFill>
            <a:latin typeface="Arial"/>
            <a:ea typeface="Arial"/>
            <a:cs typeface="Arial"/>
          </a:endParaRPr>
        </a:p>
      </xdr:txBody>
    </xdr:sp>
    <xdr:clientData/>
  </xdr:oneCellAnchor>
  <xdr:oneCellAnchor>
    <xdr:from>
      <xdr:col>2</xdr:col>
      <xdr:colOff>288876</xdr:colOff>
      <xdr:row>28</xdr:row>
      <xdr:rowOff>152050</xdr:rowOff>
    </xdr:from>
    <xdr:ext cx="3428831" cy="510771"/>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660476" y="4845970"/>
          <a:ext cx="3428831" cy="5107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rtl="0">
            <a:defRPr sz="1000"/>
          </a:pPr>
          <a:r>
            <a:rPr lang="en-US" sz="1100" b="1" i="0" u="none" strike="noStrike" baseline="0">
              <a:solidFill>
                <a:srgbClr val="969696"/>
              </a:solidFill>
              <a:latin typeface="Arial"/>
              <a:cs typeface="Arial"/>
            </a:rPr>
            <a:t>DN</a:t>
          </a:r>
          <a:r>
            <a:rPr lang="fi-FI" sz="1100" b="1" i="0" u="none" strike="noStrike" baseline="0">
              <a:solidFill>
                <a:srgbClr val="969696"/>
              </a:solidFill>
              <a:latin typeface="Arial"/>
              <a:ea typeface="+mn-ea"/>
              <a:cs typeface="Arial"/>
            </a:rPr>
            <a:t>566095845</a:t>
          </a:r>
          <a:endParaRPr lang="en-US" sz="1100" b="1" i="0" u="none" strike="noStrike" baseline="0">
            <a:solidFill>
              <a:srgbClr val="969696"/>
            </a:solidFill>
            <a:latin typeface="Arial"/>
            <a:ea typeface="+mn-ea"/>
            <a:cs typeface="Arial"/>
          </a:endParaRPr>
        </a:p>
        <a:p>
          <a:pPr algn="l" rtl="0">
            <a:defRPr sz="1000"/>
          </a:pPr>
          <a:r>
            <a:rPr lang="en-US" sz="1100" b="1" i="0" u="none" strike="noStrike" baseline="0">
              <a:solidFill>
                <a:srgbClr val="969696"/>
              </a:solidFill>
              <a:latin typeface="Arial"/>
              <a:cs typeface="Arial"/>
            </a:rPr>
            <a:t>Issue 1-1 en</a:t>
          </a:r>
        </a:p>
      </xdr:txBody>
    </xdr:sp>
    <xdr:clientData/>
  </xdr:oneCellAnchor>
  <xdr:oneCellAnchor>
    <xdr:from>
      <xdr:col>2</xdr:col>
      <xdr:colOff>291354</xdr:colOff>
      <xdr:row>22</xdr:row>
      <xdr:rowOff>96934</xdr:rowOff>
    </xdr:from>
    <xdr:ext cx="5147422" cy="865091"/>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662954" y="3785014"/>
          <a:ext cx="5147422" cy="8650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rtl="0">
            <a:defRPr sz="1000"/>
          </a:pPr>
          <a:r>
            <a:rPr lang="en-US" sz="2000" b="1" i="0" u="none" strike="noStrike" baseline="0">
              <a:solidFill>
                <a:srgbClr val="1F497D"/>
              </a:solidFill>
              <a:latin typeface="Arial"/>
              <a:cs typeface="Arial"/>
            </a:rPr>
            <a:t>NetAct Node Architecture and Resource Plan</a:t>
          </a:r>
        </a:p>
        <a:p>
          <a:pPr algn="l" rtl="0">
            <a:defRPr sz="1000"/>
          </a:pPr>
          <a:endParaRPr lang="en-US" sz="2000" b="1" i="0" u="none" strike="noStrike" baseline="0">
            <a:solidFill>
              <a:srgbClr val="1F497D"/>
            </a:solidFill>
            <a:latin typeface="Arial"/>
            <a:cs typeface="Aria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143788</xdr:colOff>
      <xdr:row>2</xdr:row>
      <xdr:rowOff>72529</xdr:rowOff>
    </xdr:to>
    <xdr:pic>
      <xdr:nvPicPr>
        <xdr:cNvPr id="2" name="Picture 1" descr="Nokia_logo.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0" y="0"/>
          <a:ext cx="1473553" cy="4460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9</xdr:col>
      <xdr:colOff>190250</xdr:colOff>
      <xdr:row>8</xdr:row>
      <xdr:rowOff>32086</xdr:rowOff>
    </xdr:from>
    <xdr:to>
      <xdr:col>10</xdr:col>
      <xdr:colOff>834000</xdr:colOff>
      <xdr:row>12</xdr:row>
      <xdr:rowOff>150869</xdr:rowOff>
    </xdr:to>
    <xdr:sp macro="" textlink="">
      <xdr:nvSpPr>
        <xdr:cNvPr id="2" name="Text Box 29" hidden="1">
          <a:extLst>
            <a:ext uri="{FF2B5EF4-FFF2-40B4-BE49-F238E27FC236}">
              <a16:creationId xmlns:a16="http://schemas.microsoft.com/office/drawing/2014/main" id="{A7160076-30F3-420D-877C-7FA0CD1B253A}"/>
            </a:ext>
          </a:extLst>
        </xdr:cNvPr>
        <xdr:cNvSpPr txBox="1">
          <a:spLocks noChangeArrowheads="1"/>
        </xdr:cNvSpPr>
      </xdr:nvSpPr>
      <xdr:spPr bwMode="auto">
        <a:xfrm>
          <a:off x="12735422" y="1529752"/>
          <a:ext cx="1258206"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7175</xdr:colOff>
      <xdr:row>9</xdr:row>
      <xdr:rowOff>35433</xdr:rowOff>
    </xdr:from>
    <xdr:to>
      <xdr:col>10</xdr:col>
      <xdr:colOff>78223</xdr:colOff>
      <xdr:row>13</xdr:row>
      <xdr:rowOff>157908</xdr:rowOff>
    </xdr:to>
    <xdr:sp macro="" textlink="">
      <xdr:nvSpPr>
        <xdr:cNvPr id="2" name="Text Box 29" hidden="1">
          <a:extLst>
            <a:ext uri="{FF2B5EF4-FFF2-40B4-BE49-F238E27FC236}">
              <a16:creationId xmlns:a16="http://schemas.microsoft.com/office/drawing/2014/main" id="{A68E37A2-212C-4373-90BD-E7AD55CC733B}"/>
            </a:ext>
          </a:extLst>
        </xdr:cNvPr>
        <xdr:cNvSpPr txBox="1">
          <a:spLocks noChangeArrowheads="1"/>
        </xdr:cNvSpPr>
      </xdr:nvSpPr>
      <xdr:spPr bwMode="auto">
        <a:xfrm>
          <a:off x="12879658" y="1490532"/>
          <a:ext cx="1282699" cy="75111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8</xdr:col>
      <xdr:colOff>98348</xdr:colOff>
      <xdr:row>9</xdr:row>
      <xdr:rowOff>42732</xdr:rowOff>
    </xdr:from>
    <xdr:to>
      <xdr:col>10</xdr:col>
      <xdr:colOff>169067</xdr:colOff>
      <xdr:row>14</xdr:row>
      <xdr:rowOff>4632</xdr:rowOff>
    </xdr:to>
    <xdr:sp macro="" textlink="">
      <xdr:nvSpPr>
        <xdr:cNvPr id="2" name="Text Box 29" hidden="1">
          <a:extLst>
            <a:ext uri="{FF2B5EF4-FFF2-40B4-BE49-F238E27FC236}">
              <a16:creationId xmlns:a16="http://schemas.microsoft.com/office/drawing/2014/main" id="{D7C12715-F8D0-4746-A526-C7E0C35B2D16}"/>
            </a:ext>
          </a:extLst>
        </xdr:cNvPr>
        <xdr:cNvSpPr txBox="1">
          <a:spLocks noChangeArrowheads="1"/>
        </xdr:cNvSpPr>
      </xdr:nvSpPr>
      <xdr:spPr bwMode="auto">
        <a:xfrm>
          <a:off x="12735422" y="1529752"/>
          <a:ext cx="1258206"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Rastogi, Alok (Nokia - IN/Bangalore)" id="{3EDD63F4-FB1F-4030-B0A7-B36E6D0CF8CC}" userId="S::alok.rastogi@nokia.com::240b4525-5e49-4db0-9fb2-1771daf910a7" providerId="AD"/>
  <person displayName="Singh, Vishek P. (Nokia - IN/Bangalore)" id="{4402D49C-6795-4BF3-A5A5-2B3C70834705}" userId="S::vishek.p.singh@nokia.com::95b975c7-b7cd-4dcf-b855-59bcbc799a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1" dT="2020-10-06T12:38:12.08" personId="{4402D49C-6795-4BF3-A5A5-2B3C70834705}" id="{E2177D7A-65C1-4072-82B6-2A4D72B5020B}">
    <text>Small vCPU: 6
Extended small vCPU: 11</text>
  </threadedComment>
  <threadedComment ref="G11" dT="2020-10-06T12:38:42.13" personId="{4402D49C-6795-4BF3-A5A5-2B3C70834705}" id="{78E52C62-78FF-4FE4-80F2-E2F8BF093D20}">
    <text>Small vRAM: 40GB
Extended small vRAM: 70GB</text>
  </threadedComment>
  <threadedComment ref="H11" dT="2020-10-06T12:40:50.20" personId="{4402D49C-6795-4BF3-A5A5-2B3C70834705}" id="{1AC17928-A20A-4244-BF68-F4B9FBDB75E5}">
    <text>Small memory reservation: 33GB
Extended small memory reservation : 57.75GB</text>
  </threadedComment>
  <threadedComment ref="E35" dT="2019-10-24T03:43:18.22" personId="{3EDD63F4-FB1F-4030-B0A7-B36E6D0CF8CC}" id="{0AA948F0-66AC-42AE-B826-6A1599152949}">
    <text>GEN9/GEN10 can be used for HW expansion</text>
  </threadedComment>
  <threadedComment ref="A89" dT="2020-04-24T13:36:44.07" personId="{4402D49C-6795-4BF3-A5A5-2B3C70834705}" id="{D565F005-A99D-455F-A331-B221AB0C3775}">
    <text>SP2004 onwards</text>
  </threadedComment>
  <threadedComment ref="A110" dT="2019-09-09T12:05:24.95" personId="{3EDD63F4-FB1F-4030-B0A7-B36E6D0CF8CC}" id="{7B0F2634-F86E-4D99-A853-EDFE79222A9E}">
    <text>optional</text>
  </threadedComment>
</ThreadedComments>
</file>

<file path=xl/threadedComments/threadedComment2.xml><?xml version="1.0" encoding="utf-8"?>
<ThreadedComments xmlns="http://schemas.microsoft.com/office/spreadsheetml/2018/threadedcomments" xmlns:x="http://schemas.openxmlformats.org/spreadsheetml/2006/main">
  <threadedComment ref="A96" dT="2020-04-24T13:36:44.07" personId="{4402D49C-6795-4BF3-A5A5-2B3C70834705}" id="{3B84699E-3F6C-4B76-812E-7A7CDD6C0CC9}">
    <text>SP2004 onwards</text>
  </threadedComment>
  <threadedComment ref="A119" dT="2019-09-09T12:06:15.39" personId="{3EDD63F4-FB1F-4030-B0A7-B36E6D0CF8CC}" id="{4EE9E420-5A2D-44D5-B2B8-9EE568A79A96}">
    <text>optional</text>
  </threadedComment>
</ThreadedComments>
</file>

<file path=xl/threadedComments/threadedComment3.xml><?xml version="1.0" encoding="utf-8"?>
<ThreadedComments xmlns="http://schemas.microsoft.com/office/spreadsheetml/2018/threadedcomments" xmlns:x="http://schemas.openxmlformats.org/spreadsheetml/2006/main">
  <threadedComment ref="F11" dT="2020-10-06T12:42:59.48" personId="{4402D49C-6795-4BF3-A5A5-2B3C70834705}" id="{AF246EFC-3934-4A82-B62C-267592827338}">
    <text>Large vCPU: 16
Extended large vCPU: 16</text>
  </threadedComment>
  <threadedComment ref="G11" dT="2020-10-06T12:44:06.85" personId="{4402D49C-6795-4BF3-A5A5-2B3C70834705}" id="{63FEB8CC-7FD7-42D1-A57F-F5F4298518A9}">
    <text>Large vRAM: 90GB
Extended large vRAM: 115GB</text>
  </threadedComment>
  <threadedComment ref="H11" dT="2020-10-06T12:45:13.48" personId="{4402D49C-6795-4BF3-A5A5-2B3C70834705}" id="{C3792A41-BBC5-482B-B9CE-239B909C75E0}">
    <text>Large memory reservation: 74.25GB
Extended large memory reservation: 94.875GB</text>
  </threadedComment>
  <threadedComment ref="E47" dT="2019-10-24T03:45:40.27" personId="{3EDD63F4-FB1F-4030-B0A7-B36E6D0CF8CC}" id="{2D617B94-1EE4-4DFF-97E1-518DD0747A82}">
    <text>GEN9/GEN10 can be used for HW expansion</text>
  </threadedComment>
  <threadedComment ref="A108" dT="2020-04-24T13:36:44.07" personId="{4402D49C-6795-4BF3-A5A5-2B3C70834705}" id="{67D9AFC5-8B05-4A6F-99FA-13942425B17F}">
    <text>SP2004 onwards</text>
  </threadedComment>
  <threadedComment ref="A132" dT="2019-09-09T12:06:29.14" personId="{3EDD63F4-FB1F-4030-B0A7-B36E6D0CF8CC}" id="{824BD304-5CDD-4121-AED2-48071748C54F}">
    <text>optional</text>
  </threadedComment>
</ThreadedComments>
</file>

<file path=xl/threadedComments/threadedComment4.xml><?xml version="1.0" encoding="utf-8"?>
<ThreadedComments xmlns="http://schemas.microsoft.com/office/spreadsheetml/2018/threadedcomments" xmlns:x="http://schemas.openxmlformats.org/spreadsheetml/2006/main">
  <threadedComment ref="A106" dT="2020-04-24T13:36:44.07" personId="{4402D49C-6795-4BF3-A5A5-2B3C70834705}" id="{8F3263D4-1FEF-4213-B89B-CE1D3EC1A98A}">
    <text>SP2004 onwards</text>
  </threadedComment>
</ThreadedComments>
</file>

<file path=xl/threadedComments/threadedComment5.xml><?xml version="1.0" encoding="utf-8"?>
<ThreadedComments xmlns="http://schemas.microsoft.com/office/spreadsheetml/2018/threadedcomments" xmlns:x="http://schemas.openxmlformats.org/spreadsheetml/2006/main">
  <threadedComment ref="A107" dT="2020-04-24T13:36:44.07" personId="{4402D49C-6795-4BF3-A5A5-2B3C70834705}" id="{4412FE42-50F6-4A7F-B07F-358DE0E0E78B}">
    <text>SP2004 onwards</text>
  </threadedComment>
</ThreadedComments>
</file>

<file path=xl/threadedComments/threadedComment6.xml><?xml version="1.0" encoding="utf-8"?>
<ThreadedComments xmlns="http://schemas.microsoft.com/office/spreadsheetml/2018/threadedcomments" xmlns:x="http://schemas.openxmlformats.org/spreadsheetml/2006/main">
  <threadedComment ref="AG12" dT="2020-05-20T06:33:04.39" personId="{4402D49C-6795-4BF3-A5A5-2B3C70834705}" id="{614204BF-E8B8-4904-9183-31EB6C504695}">
    <text>CRSR218: 20GB added</text>
  </threadedComment>
</ThreadedComments>
</file>

<file path=xl/threadedComments/threadedComment7.xml><?xml version="1.0" encoding="utf-8"?>
<ThreadedComments xmlns="http://schemas.microsoft.com/office/spreadsheetml/2018/threadedcomments" xmlns:x="http://schemas.openxmlformats.org/spreadsheetml/2006/main">
  <threadedComment ref="AG12" dT="2020-05-20T06:33:38.60" personId="{4402D49C-6795-4BF3-A5A5-2B3C70834705}" id="{27D8890A-C5F8-4B83-81EF-62071238B2E9}">
    <text>CRSR218: 20GB added</text>
  </threadedComment>
</ThreadedComments>
</file>

<file path=xl/threadedComments/threadedComment8.xml><?xml version="1.0" encoding="utf-8"?>
<ThreadedComments xmlns="http://schemas.microsoft.com/office/spreadsheetml/2018/threadedcomments" xmlns:x="http://schemas.openxmlformats.org/spreadsheetml/2006/main">
  <threadedComment ref="AG12" dT="2020-05-20T06:37:21.14" personId="{4402D49C-6795-4BF3-A5A5-2B3C70834705}" id="{B5A8A195-21B4-4471-981B-DE7EEF2ECE4A}">
    <text>CRSR218: 20GB added</text>
  </threadedComment>
</ThreadedComments>
</file>

<file path=xl/threadedComments/threadedComment9.xml><?xml version="1.0" encoding="utf-8"?>
<ThreadedComments xmlns="http://schemas.microsoft.com/office/spreadsheetml/2018/threadedcomments" xmlns:x="http://schemas.openxmlformats.org/spreadsheetml/2006/main">
  <threadedComment ref="AG12" dT="2020-05-20T06:42:55.98" personId="{4402D49C-6795-4BF3-A5A5-2B3C70834705}" id="{27870D9C-D8E7-4DCA-8987-05B5D8580070}">
    <text>CRSR218: 20GB added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5" Type="http://schemas.microsoft.com/office/2017/10/relationships/threadedComment" Target="../threadedComments/threadedComment3.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9.bin"/><Relationship Id="rId5" Type="http://schemas.microsoft.com/office/2017/10/relationships/threadedComment" Target="../threadedComments/threadedComment4.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10.bin"/><Relationship Id="rId5" Type="http://schemas.microsoft.com/office/2017/10/relationships/threadedComment" Target="../threadedComments/threadedComment5.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 Id="rId4" Type="http://schemas.microsoft.com/office/2017/10/relationships/threadedComment" Target="../threadedComments/threadedComment6.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 Id="rId4" Type="http://schemas.microsoft.com/office/2017/10/relationships/threadedComment" Target="../threadedComments/threadedComment7.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 Id="rId4" Type="http://schemas.microsoft.com/office/2017/10/relationships/threadedComment" Target="../threadedComments/threadedComment8.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8.bin"/><Relationship Id="rId4" Type="http://schemas.microsoft.com/office/2017/10/relationships/threadedComment" Target="../threadedComments/threadedComment9.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L5"/>
  <sheetViews>
    <sheetView topLeftCell="A14" workbookViewId="0">
      <selection activeCell="E51" sqref="E51"/>
    </sheetView>
  </sheetViews>
  <sheetFormatPr defaultColWidth="9.140625" defaultRowHeight="12.75"/>
  <cols>
    <col min="1" max="11" width="10" style="2" customWidth="1"/>
    <col min="12" max="16384" width="9.140625" style="2"/>
  </cols>
  <sheetData>
    <row r="5" spans="12:12">
      <c r="L5" s="2" t="s">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2"/>
  <sheetViews>
    <sheetView zoomScale="86" zoomScaleNormal="86" workbookViewId="0">
      <selection activeCell="B7" sqref="B7"/>
    </sheetView>
  </sheetViews>
  <sheetFormatPr defaultColWidth="8.5703125" defaultRowHeight="15"/>
  <cols>
    <col min="1" max="1" width="19" customWidth="1"/>
    <col min="2" max="2" width="143.5703125" customWidth="1"/>
    <col min="3" max="3" width="41" customWidth="1"/>
    <col min="4" max="4" width="10.85546875" customWidth="1"/>
  </cols>
  <sheetData>
    <row r="1" spans="1:3">
      <c r="B1" s="106"/>
      <c r="C1" s="106"/>
    </row>
    <row r="2" spans="1:3">
      <c r="B2" s="106"/>
      <c r="C2" s="106"/>
    </row>
    <row r="3" spans="1:3">
      <c r="B3" s="106"/>
      <c r="C3" s="106"/>
    </row>
    <row r="4" spans="1:3">
      <c r="B4" s="104"/>
      <c r="C4" s="106"/>
    </row>
    <row r="5" spans="1:3">
      <c r="B5" s="106" t="s">
        <v>1</v>
      </c>
      <c r="C5" s="106"/>
    </row>
    <row r="6" spans="1:3">
      <c r="A6" s="107" t="s">
        <v>2</v>
      </c>
      <c r="B6" s="107" t="s">
        <v>3</v>
      </c>
      <c r="C6" s="106"/>
    </row>
    <row r="7" spans="1:3">
      <c r="A7" s="119">
        <v>44273</v>
      </c>
      <c r="B7" s="121" t="s">
        <v>718</v>
      </c>
      <c r="C7" s="106"/>
    </row>
    <row r="8" spans="1:3">
      <c r="A8" s="119">
        <v>44270</v>
      </c>
      <c r="B8" s="121" t="s">
        <v>716</v>
      </c>
      <c r="C8" s="106"/>
    </row>
    <row r="9" spans="1:3">
      <c r="A9" s="119">
        <v>44267</v>
      </c>
      <c r="B9" s="121" t="s">
        <v>691</v>
      </c>
      <c r="C9" s="106"/>
    </row>
    <row r="10" spans="1:3">
      <c r="A10" s="119">
        <v>44263</v>
      </c>
      <c r="B10" s="174" t="s">
        <v>690</v>
      </c>
      <c r="C10" s="106"/>
    </row>
    <row r="11" spans="1:3">
      <c r="A11" s="119">
        <v>44253</v>
      </c>
      <c r="B11" s="174" t="s">
        <v>689</v>
      </c>
      <c r="C11" s="106"/>
    </row>
    <row r="12" spans="1:3">
      <c r="A12" s="119">
        <v>44253</v>
      </c>
      <c r="B12" s="174" t="s">
        <v>688</v>
      </c>
      <c r="C12" s="106"/>
    </row>
    <row r="13" spans="1:3">
      <c r="A13" s="119">
        <v>44238</v>
      </c>
      <c r="B13" s="174" t="s">
        <v>687</v>
      </c>
      <c r="C13" s="106"/>
    </row>
    <row r="14" spans="1:3">
      <c r="A14" s="119">
        <v>44236</v>
      </c>
      <c r="B14" s="174" t="s">
        <v>686</v>
      </c>
      <c r="C14" s="106"/>
    </row>
    <row r="15" spans="1:3">
      <c r="A15" s="119">
        <v>44236</v>
      </c>
      <c r="B15" s="174" t="s">
        <v>685</v>
      </c>
      <c r="C15" s="106"/>
    </row>
    <row r="16" spans="1:3">
      <c r="A16" s="119">
        <v>44235</v>
      </c>
      <c r="B16" s="121" t="s">
        <v>684</v>
      </c>
      <c r="C16" s="106"/>
    </row>
    <row r="17" spans="1:3">
      <c r="A17" s="119">
        <v>44229</v>
      </c>
      <c r="B17" s="121" t="s">
        <v>681</v>
      </c>
      <c r="C17" s="106"/>
    </row>
    <row r="18" spans="1:3">
      <c r="A18" s="119">
        <v>44225</v>
      </c>
      <c r="B18" s="121" t="s">
        <v>672</v>
      </c>
      <c r="C18" s="106"/>
    </row>
    <row r="19" spans="1:3">
      <c r="A19" s="119">
        <v>44223</v>
      </c>
      <c r="B19" s="121" t="s">
        <v>654</v>
      </c>
      <c r="C19" s="106"/>
    </row>
    <row r="20" spans="1:3">
      <c r="A20" s="119">
        <v>44221</v>
      </c>
      <c r="B20" s="121" t="s">
        <v>649</v>
      </c>
      <c r="C20" s="106"/>
    </row>
    <row r="21" spans="1:3">
      <c r="C21" s="106"/>
    </row>
    <row r="22" spans="1:3">
      <c r="A22" s="119"/>
      <c r="B22" s="121"/>
      <c r="C22" s="106"/>
    </row>
    <row r="23" spans="1:3">
      <c r="A23" s="119"/>
      <c r="B23" s="121"/>
      <c r="C23" s="106"/>
    </row>
    <row r="24" spans="1:3">
      <c r="A24" s="119"/>
      <c r="C24" s="106"/>
    </row>
    <row r="25" spans="1:3">
      <c r="A25" s="119"/>
      <c r="C25" s="106"/>
    </row>
    <row r="26" spans="1:3">
      <c r="A26" s="119"/>
      <c r="C26" s="106"/>
    </row>
    <row r="27" spans="1:3">
      <c r="A27" s="119"/>
      <c r="C27" s="106"/>
    </row>
    <row r="28" spans="1:3">
      <c r="A28" s="119"/>
      <c r="C28" s="106"/>
    </row>
    <row r="29" spans="1:3">
      <c r="A29" s="119"/>
      <c r="C29" s="106"/>
    </row>
    <row r="30" spans="1:3">
      <c r="A30" s="119"/>
      <c r="C30" s="106"/>
    </row>
    <row r="31" spans="1:3">
      <c r="A31" s="119"/>
      <c r="C31" s="106"/>
    </row>
    <row r="32" spans="1:3">
      <c r="A32" s="119"/>
      <c r="B32" s="121"/>
      <c r="C32" s="106"/>
    </row>
    <row r="33" spans="1:3">
      <c r="A33" s="119"/>
      <c r="B33" s="121"/>
      <c r="C33" s="106"/>
    </row>
    <row r="34" spans="1:3">
      <c r="A34" s="119"/>
      <c r="B34" s="121"/>
      <c r="C34" s="106"/>
    </row>
    <row r="35" spans="1:3">
      <c r="A35" s="119"/>
      <c r="B35" s="121"/>
      <c r="C35" s="106"/>
    </row>
    <row r="36" spans="1:3">
      <c r="A36" s="119"/>
      <c r="B36" s="120"/>
      <c r="C36" s="106"/>
    </row>
    <row r="37" spans="1:3">
      <c r="A37" s="119"/>
      <c r="B37" s="120"/>
      <c r="C37" s="106"/>
    </row>
    <row r="38" spans="1:3">
      <c r="A38" s="119"/>
      <c r="B38" s="120"/>
      <c r="C38" s="106"/>
    </row>
    <row r="39" spans="1:3">
      <c r="A39" s="119"/>
      <c r="B39" s="120"/>
      <c r="C39" s="106"/>
    </row>
    <row r="40" spans="1:3">
      <c r="A40" s="119"/>
      <c r="B40" s="120"/>
      <c r="C40" s="106"/>
    </row>
    <row r="41" spans="1:3">
      <c r="A41" s="119"/>
      <c r="B41" s="120"/>
      <c r="C41" s="106"/>
    </row>
    <row r="42" spans="1:3">
      <c r="A42" s="119"/>
      <c r="B42" s="120"/>
      <c r="C42" s="106"/>
    </row>
    <row r="43" spans="1:3">
      <c r="A43" s="119"/>
      <c r="B43" s="120"/>
      <c r="C43" s="106"/>
    </row>
    <row r="44" spans="1:3">
      <c r="A44" s="119"/>
      <c r="B44" s="120"/>
      <c r="C44" s="106"/>
    </row>
    <row r="45" spans="1:3">
      <c r="A45" s="119"/>
      <c r="B45" s="120"/>
      <c r="C45" s="106"/>
    </row>
    <row r="46" spans="1:3">
      <c r="A46" s="108"/>
      <c r="B46" s="118"/>
      <c r="C46" s="106"/>
    </row>
    <row r="47" spans="1:3">
      <c r="A47" s="108"/>
      <c r="B47" s="118"/>
      <c r="C47" s="106"/>
    </row>
    <row r="48" spans="1:3">
      <c r="A48" s="108"/>
      <c r="B48" s="118"/>
      <c r="C48" s="106"/>
    </row>
    <row r="49" spans="1:3">
      <c r="A49" s="108"/>
      <c r="B49" s="118"/>
      <c r="C49" s="106"/>
    </row>
    <row r="50" spans="1:3">
      <c r="A50" s="108"/>
      <c r="B50" s="118"/>
      <c r="C50" s="106"/>
    </row>
    <row r="51" spans="1:3">
      <c r="A51" s="108"/>
      <c r="B51" s="118"/>
      <c r="C51" s="106"/>
    </row>
    <row r="52" spans="1:3">
      <c r="A52" s="108"/>
      <c r="B52" s="118"/>
      <c r="C52" s="106"/>
    </row>
    <row r="53" spans="1:3">
      <c r="A53" s="108"/>
      <c r="B53" s="118"/>
      <c r="C53" s="106"/>
    </row>
    <row r="54" spans="1:3">
      <c r="A54" s="108"/>
      <c r="B54" s="118"/>
      <c r="C54" s="106"/>
    </row>
    <row r="55" spans="1:3">
      <c r="A55" s="108"/>
      <c r="B55" s="113"/>
      <c r="C55" s="106"/>
    </row>
    <row r="56" spans="1:3">
      <c r="A56" s="108"/>
      <c r="B56" s="109"/>
      <c r="C56" s="106"/>
    </row>
    <row r="57" spans="1:3">
      <c r="A57" s="108"/>
      <c r="B57" s="109"/>
      <c r="C57" s="106"/>
    </row>
    <row r="58" spans="1:3">
      <c r="A58" s="108"/>
      <c r="B58" s="109"/>
      <c r="C58" s="106"/>
    </row>
    <row r="59" spans="1:3">
      <c r="A59" s="108"/>
      <c r="B59" s="109"/>
    </row>
    <row r="60" spans="1:3">
      <c r="A60" s="108"/>
      <c r="B60" s="109"/>
      <c r="C60" s="106"/>
    </row>
    <row r="61" spans="1:3">
      <c r="A61" s="108"/>
      <c r="B61" s="109"/>
      <c r="C61" s="106"/>
    </row>
    <row r="62" spans="1:3">
      <c r="A62" s="108"/>
      <c r="B62" s="109"/>
      <c r="C62" s="106"/>
    </row>
    <row r="63" spans="1:3">
      <c r="A63" s="108"/>
      <c r="B63" s="109"/>
      <c r="C63" s="106"/>
    </row>
    <row r="64" spans="1:3">
      <c r="A64" s="108"/>
      <c r="B64" s="109"/>
      <c r="C64" s="106"/>
    </row>
    <row r="65" spans="1:3" s="105" customFormat="1">
      <c r="A65" s="108"/>
      <c r="B65" s="109"/>
      <c r="C65" s="104"/>
    </row>
    <row r="66" spans="1:3" s="105" customFormat="1">
      <c r="A66" s="108"/>
      <c r="B66" s="110"/>
      <c r="C66" s="104"/>
    </row>
    <row r="67" spans="1:3">
      <c r="A67" s="108"/>
      <c r="B67" s="110"/>
      <c r="C67" s="106"/>
    </row>
    <row r="68" spans="1:3">
      <c r="A68" s="108"/>
      <c r="B68" s="111"/>
      <c r="C68" s="106"/>
    </row>
    <row r="69" spans="1:3">
      <c r="A69" s="108"/>
      <c r="B69" s="111"/>
      <c r="C69" s="106"/>
    </row>
    <row r="70" spans="1:3">
      <c r="A70" s="108"/>
      <c r="B70" s="111"/>
      <c r="C70" s="106"/>
    </row>
    <row r="71" spans="1:3">
      <c r="A71" s="112"/>
      <c r="B71" s="111"/>
      <c r="C71" s="106"/>
    </row>
    <row r="72" spans="1:3">
      <c r="A72" s="112"/>
      <c r="B72" s="111"/>
      <c r="C72" s="106"/>
    </row>
    <row r="73" spans="1:3">
      <c r="A73" s="112"/>
      <c r="B73" s="111"/>
      <c r="C73" s="106"/>
    </row>
    <row r="74" spans="1:3">
      <c r="A74" s="112"/>
      <c r="B74" s="111"/>
      <c r="C74" s="106"/>
    </row>
    <row r="75" spans="1:3">
      <c r="A75" s="112"/>
      <c r="B75" s="111"/>
      <c r="C75" s="106"/>
    </row>
    <row r="76" spans="1:3">
      <c r="A76" s="112"/>
      <c r="B76" s="111"/>
      <c r="C76" s="106"/>
    </row>
    <row r="77" spans="1:3">
      <c r="A77" s="112"/>
      <c r="B77" s="111"/>
      <c r="C77" s="106"/>
    </row>
    <row r="78" spans="1:3">
      <c r="A78" s="112"/>
      <c r="B78" s="111"/>
      <c r="C78" s="106"/>
    </row>
    <row r="79" spans="1:3">
      <c r="A79" s="112"/>
      <c r="B79" s="111"/>
      <c r="C79" s="106"/>
    </row>
    <row r="80" spans="1:3">
      <c r="A80" s="112"/>
      <c r="B80" s="111"/>
      <c r="C80" s="106"/>
    </row>
    <row r="81" spans="1:3">
      <c r="A81" s="112"/>
      <c r="B81" s="111"/>
      <c r="C81" s="59"/>
    </row>
    <row r="82" spans="1:3">
      <c r="A82" s="112"/>
      <c r="B82" s="111"/>
      <c r="C82" s="59"/>
    </row>
    <row r="83" spans="1:3">
      <c r="A83" s="112"/>
      <c r="B83" s="111"/>
      <c r="C83" s="106"/>
    </row>
    <row r="84" spans="1:3">
      <c r="A84" s="112"/>
      <c r="B84" s="111"/>
      <c r="C84" s="23"/>
    </row>
    <row r="85" spans="1:3">
      <c r="B85" s="59"/>
      <c r="C85" s="23"/>
    </row>
    <row r="86" spans="1:3">
      <c r="B86" s="59"/>
      <c r="C86" s="23"/>
    </row>
    <row r="87" spans="1:3">
      <c r="B87" s="59"/>
      <c r="C87" s="23"/>
    </row>
    <row r="88" spans="1:3">
      <c r="B88" s="59"/>
      <c r="C88" s="23"/>
    </row>
    <row r="89" spans="1:3">
      <c r="B89" s="59"/>
      <c r="C89" s="23"/>
    </row>
    <row r="90" spans="1:3">
      <c r="B90" s="22"/>
      <c r="C90" s="23"/>
    </row>
    <row r="91" spans="1:3">
      <c r="B91" s="22"/>
      <c r="C91" s="23"/>
    </row>
    <row r="92" spans="1:3">
      <c r="B92" s="22"/>
      <c r="C92" s="23"/>
    </row>
    <row r="93" spans="1:3">
      <c r="B93" s="22"/>
      <c r="C93" s="23"/>
    </row>
    <row r="94" spans="1:3">
      <c r="B94" s="22"/>
      <c r="C94" s="23"/>
    </row>
    <row r="95" spans="1:3">
      <c r="B95" s="22"/>
      <c r="C95" s="23"/>
    </row>
    <row r="96" spans="1:3">
      <c r="B96" s="22"/>
      <c r="C96" s="23"/>
    </row>
    <row r="97" spans="2:4">
      <c r="B97" s="22"/>
      <c r="C97" s="23"/>
    </row>
    <row r="98" spans="2:4">
      <c r="B98" s="22"/>
      <c r="C98" s="23"/>
    </row>
    <row r="99" spans="2:4">
      <c r="B99" s="22"/>
      <c r="C99" s="23"/>
    </row>
    <row r="100" spans="2:4">
      <c r="B100" s="22"/>
      <c r="C100" s="23"/>
    </row>
    <row r="101" spans="2:4">
      <c r="B101" s="22"/>
      <c r="C101" s="23"/>
    </row>
    <row r="102" spans="2:4">
      <c r="B102" s="22"/>
      <c r="C102" s="23"/>
    </row>
    <row r="103" spans="2:4">
      <c r="B103" s="22"/>
      <c r="C103" s="23"/>
    </row>
    <row r="104" spans="2:4">
      <c r="B104" s="22"/>
      <c r="C104" s="23"/>
    </row>
    <row r="105" spans="2:4">
      <c r="B105" s="22"/>
      <c r="C105" s="23"/>
    </row>
    <row r="106" spans="2:4">
      <c r="B106" s="22"/>
      <c r="C106" s="23"/>
    </row>
    <row r="107" spans="2:4">
      <c r="B107" s="22"/>
      <c r="C107" s="23"/>
    </row>
    <row r="108" spans="2:4">
      <c r="B108" s="22"/>
      <c r="C108" s="23"/>
    </row>
    <row r="109" spans="2:4">
      <c r="B109" s="22"/>
      <c r="C109" s="23"/>
    </row>
    <row r="110" spans="2:4">
      <c r="B110" s="22"/>
      <c r="C110" s="23"/>
    </row>
    <row r="111" spans="2:4">
      <c r="B111" s="22"/>
      <c r="C111" s="23"/>
      <c r="D111" s="24"/>
    </row>
    <row r="112" spans="2:4">
      <c r="B112" s="22"/>
      <c r="C112" s="23"/>
      <c r="D112" s="24"/>
    </row>
    <row r="113" spans="2:4">
      <c r="B113" s="22"/>
      <c r="C113" s="23"/>
      <c r="D113" s="24"/>
    </row>
    <row r="114" spans="2:4">
      <c r="B114" s="22"/>
      <c r="C114" s="23"/>
    </row>
    <row r="115" spans="2:4">
      <c r="B115" s="22"/>
      <c r="C115" s="23"/>
    </row>
    <row r="116" spans="2:4">
      <c r="B116" s="22"/>
      <c r="C116" s="23"/>
    </row>
    <row r="117" spans="2:4">
      <c r="B117" s="22"/>
      <c r="C117" s="23"/>
    </row>
    <row r="118" spans="2:4">
      <c r="B118" s="22"/>
      <c r="C118" s="23"/>
    </row>
    <row r="119" spans="2:4">
      <c r="B119" s="22"/>
      <c r="C119" s="23"/>
    </row>
    <row r="120" spans="2:4">
      <c r="B120" s="22"/>
      <c r="C120" s="23"/>
    </row>
    <row r="121" spans="2:4">
      <c r="B121" s="22"/>
      <c r="C121" s="23"/>
    </row>
    <row r="122" spans="2:4">
      <c r="B122" s="22"/>
      <c r="C122" s="23"/>
    </row>
    <row r="123" spans="2:4">
      <c r="B123" s="22"/>
      <c r="C123" s="23"/>
    </row>
    <row r="124" spans="2:4">
      <c r="B124" s="22"/>
      <c r="C124" s="23"/>
    </row>
    <row r="125" spans="2:4">
      <c r="B125" s="22"/>
      <c r="C125" s="23"/>
    </row>
    <row r="126" spans="2:4">
      <c r="B126" s="22"/>
      <c r="C126" s="23"/>
    </row>
    <row r="127" spans="2:4">
      <c r="B127" s="22"/>
      <c r="C127" s="23"/>
    </row>
    <row r="128" spans="2:4">
      <c r="B128" s="22"/>
      <c r="C128" s="23"/>
    </row>
    <row r="129" spans="2:3">
      <c r="B129" s="22"/>
      <c r="C129" s="23"/>
    </row>
    <row r="130" spans="2:3">
      <c r="B130" s="22"/>
      <c r="C130" s="23"/>
    </row>
    <row r="131" spans="2:3">
      <c r="B131" s="22"/>
      <c r="C131" s="23"/>
    </row>
    <row r="132" spans="2:3">
      <c r="B132" s="22"/>
      <c r="C132" s="23"/>
    </row>
    <row r="133" spans="2:3">
      <c r="B133" s="22"/>
      <c r="C133" s="23"/>
    </row>
    <row r="134" spans="2:3">
      <c r="B134" s="22"/>
      <c r="C134" s="23"/>
    </row>
    <row r="135" spans="2:3">
      <c r="B135" s="22"/>
      <c r="C135" s="23"/>
    </row>
    <row r="136" spans="2:3">
      <c r="B136" s="22"/>
      <c r="C136" s="22"/>
    </row>
    <row r="137" spans="2:3">
      <c r="B137" s="22"/>
      <c r="C137" s="23"/>
    </row>
    <row r="138" spans="2:3">
      <c r="B138" s="22"/>
      <c r="C138" s="23"/>
    </row>
    <row r="139" spans="2:3">
      <c r="B139" s="22"/>
      <c r="C139" s="23"/>
    </row>
    <row r="140" spans="2:3">
      <c r="B140" s="22"/>
      <c r="C140" s="23"/>
    </row>
    <row r="141" spans="2:3">
      <c r="B141" s="25"/>
      <c r="C141" s="23"/>
    </row>
    <row r="142" spans="2:3">
      <c r="B142" s="25"/>
      <c r="C142" s="27"/>
    </row>
    <row r="143" spans="2:3">
      <c r="B143" s="26"/>
      <c r="C143" s="27"/>
    </row>
    <row r="144" spans="2:3">
      <c r="B144" s="28"/>
      <c r="C144" s="27"/>
    </row>
    <row r="145" spans="2:5">
      <c r="B145" s="28"/>
      <c r="C145" s="27"/>
      <c r="D145" s="29"/>
    </row>
    <row r="146" spans="2:5">
      <c r="B146" s="28"/>
      <c r="C146" s="1"/>
    </row>
    <row r="147" spans="2:5">
      <c r="B147" s="26"/>
      <c r="C147" s="1"/>
    </row>
    <row r="148" spans="2:5">
      <c r="B148" s="1"/>
      <c r="C148" s="1"/>
    </row>
    <row r="149" spans="2:5">
      <c r="B149" s="1"/>
    </row>
    <row r="151" spans="2:5">
      <c r="C151" s="106"/>
      <c r="D151" s="106"/>
      <c r="E151" s="150"/>
    </row>
    <row r="152" spans="2:5">
      <c r="B152" s="106"/>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1"/>
  <sheetViews>
    <sheetView topLeftCell="B17" zoomScale="85" zoomScaleNormal="85" workbookViewId="0">
      <selection activeCell="D20" sqref="D20:E20"/>
    </sheetView>
  </sheetViews>
  <sheetFormatPr defaultColWidth="8.5703125" defaultRowHeight="12.75"/>
  <cols>
    <col min="1" max="1" width="40.42578125" style="3" bestFit="1" customWidth="1"/>
    <col min="2" max="2" width="57" style="3" customWidth="1"/>
    <col min="3" max="3" width="13.5703125" style="3" bestFit="1" customWidth="1"/>
    <col min="4" max="4" width="25.140625" style="3" customWidth="1"/>
    <col min="5" max="5" width="59" style="3" customWidth="1"/>
    <col min="6" max="16384" width="8.5703125" style="3"/>
  </cols>
  <sheetData>
    <row r="1" spans="1:6">
      <c r="A1" s="215" t="s">
        <v>4</v>
      </c>
      <c r="B1" s="215"/>
      <c r="C1" s="215"/>
      <c r="D1" s="215"/>
      <c r="E1" s="215"/>
      <c r="F1" s="216"/>
    </row>
    <row r="4" spans="1:6">
      <c r="A4" s="21" t="s">
        <v>5</v>
      </c>
      <c r="B4" s="21" t="s">
        <v>6</v>
      </c>
      <c r="C4" s="156"/>
      <c r="D4" s="21" t="s">
        <v>7</v>
      </c>
      <c r="E4" s="21" t="s">
        <v>6</v>
      </c>
      <c r="F4" s="156"/>
    </row>
    <row r="5" spans="1:6" ht="25.5">
      <c r="A5" s="6" t="s">
        <v>8</v>
      </c>
      <c r="B5" s="6" t="s">
        <v>9</v>
      </c>
      <c r="C5" s="6"/>
      <c r="D5" s="6" t="s">
        <v>10</v>
      </c>
      <c r="E5" s="6" t="s">
        <v>11</v>
      </c>
      <c r="F5" s="156"/>
    </row>
    <row r="6" spans="1:6" ht="51">
      <c r="A6" s="6" t="s">
        <v>12</v>
      </c>
      <c r="B6" s="6" t="s">
        <v>13</v>
      </c>
      <c r="C6" s="6"/>
      <c r="D6" s="30" t="s">
        <v>14</v>
      </c>
      <c r="E6" s="6" t="s">
        <v>15</v>
      </c>
      <c r="F6" s="156"/>
    </row>
    <row r="7" spans="1:6" ht="38.25">
      <c r="A7" s="6" t="s">
        <v>16</v>
      </c>
      <c r="B7" s="6" t="s">
        <v>17</v>
      </c>
      <c r="C7" s="6"/>
      <c r="D7" s="14" t="s">
        <v>18</v>
      </c>
      <c r="E7" s="6" t="s">
        <v>19</v>
      </c>
      <c r="F7" s="156"/>
    </row>
    <row r="8" spans="1:6" ht="25.5">
      <c r="A8" s="6" t="s">
        <v>20</v>
      </c>
      <c r="B8" s="6" t="s">
        <v>21</v>
      </c>
      <c r="C8" s="6"/>
      <c r="D8" s="14" t="s">
        <v>22</v>
      </c>
      <c r="E8" s="14" t="s">
        <v>23</v>
      </c>
      <c r="F8" s="156"/>
    </row>
    <row r="9" spans="1:6" ht="25.5">
      <c r="A9" s="6" t="s">
        <v>24</v>
      </c>
      <c r="B9" s="6" t="s">
        <v>25</v>
      </c>
      <c r="C9" s="6"/>
      <c r="D9" s="14" t="s">
        <v>26</v>
      </c>
      <c r="E9" s="14" t="s">
        <v>27</v>
      </c>
      <c r="F9" s="156"/>
    </row>
    <row r="10" spans="1:6">
      <c r="A10" s="6" t="s">
        <v>28</v>
      </c>
      <c r="B10" s="6" t="s">
        <v>29</v>
      </c>
      <c r="C10" s="6"/>
      <c r="D10" s="14" t="s">
        <v>30</v>
      </c>
      <c r="E10" s="14" t="s">
        <v>31</v>
      </c>
      <c r="F10" s="156"/>
    </row>
    <row r="11" spans="1:6" ht="66" customHeight="1">
      <c r="A11" s="6" t="s">
        <v>32</v>
      </c>
      <c r="B11" s="6" t="s">
        <v>33</v>
      </c>
      <c r="C11" s="6"/>
      <c r="D11" s="30" t="s">
        <v>34</v>
      </c>
      <c r="E11" s="14" t="s">
        <v>35</v>
      </c>
      <c r="F11" s="156"/>
    </row>
    <row r="12" spans="1:6" ht="40.5" customHeight="1">
      <c r="A12" s="6" t="s">
        <v>36</v>
      </c>
      <c r="B12" s="6" t="s">
        <v>37</v>
      </c>
      <c r="C12" s="6"/>
      <c r="D12" s="30" t="s">
        <v>38</v>
      </c>
      <c r="E12" s="30" t="s">
        <v>39</v>
      </c>
      <c r="F12" s="156"/>
    </row>
    <row r="13" spans="1:6" ht="113.25" customHeight="1">
      <c r="A13" s="6" t="s">
        <v>40</v>
      </c>
      <c r="B13" s="6" t="s">
        <v>41</v>
      </c>
      <c r="C13" s="6"/>
      <c r="D13" s="6" t="s">
        <v>18</v>
      </c>
      <c r="E13" s="86" t="s">
        <v>42</v>
      </c>
      <c r="F13" s="156"/>
    </row>
    <row r="14" spans="1:6" ht="124.5" customHeight="1">
      <c r="A14" s="6" t="s">
        <v>43</v>
      </c>
      <c r="B14" s="6" t="s">
        <v>44</v>
      </c>
      <c r="C14" s="6"/>
      <c r="D14" s="6" t="s">
        <v>45</v>
      </c>
      <c r="E14" s="6" t="s">
        <v>46</v>
      </c>
      <c r="F14" s="156"/>
    </row>
    <row r="15" spans="1:6" ht="38.25">
      <c r="A15" s="6" t="s">
        <v>47</v>
      </c>
      <c r="B15" s="6" t="s">
        <v>48</v>
      </c>
      <c r="C15" s="6"/>
      <c r="D15" s="6" t="s">
        <v>49</v>
      </c>
      <c r="E15" s="6" t="s">
        <v>50</v>
      </c>
      <c r="F15" s="156"/>
    </row>
    <row r="16" spans="1:6" ht="40.5" customHeight="1">
      <c r="A16" s="6" t="s">
        <v>51</v>
      </c>
      <c r="B16" s="6" t="s">
        <v>52</v>
      </c>
      <c r="C16" s="6"/>
      <c r="D16" s="6" t="s">
        <v>53</v>
      </c>
      <c r="E16" s="6" t="s">
        <v>54</v>
      </c>
      <c r="F16" s="156"/>
    </row>
    <row r="17" spans="1:5" ht="63.75">
      <c r="A17" s="6" t="s">
        <v>55</v>
      </c>
      <c r="B17" s="6" t="s">
        <v>56</v>
      </c>
      <c r="C17" s="6"/>
      <c r="D17" s="84" t="s">
        <v>57</v>
      </c>
      <c r="E17" s="6" t="s">
        <v>58</v>
      </c>
    </row>
    <row r="18" spans="1:5" ht="54" customHeight="1">
      <c r="A18" s="6" t="s">
        <v>59</v>
      </c>
      <c r="B18" s="6" t="s">
        <v>60</v>
      </c>
      <c r="C18" s="6"/>
      <c r="D18" s="84" t="s">
        <v>61</v>
      </c>
      <c r="E18" s="6" t="s">
        <v>62</v>
      </c>
    </row>
    <row r="19" spans="1:5" ht="25.5">
      <c r="A19" s="6" t="s">
        <v>63</v>
      </c>
      <c r="B19" s="6" t="s">
        <v>64</v>
      </c>
      <c r="C19" s="6"/>
      <c r="D19" s="135" t="s">
        <v>65</v>
      </c>
      <c r="E19" s="136" t="s">
        <v>66</v>
      </c>
    </row>
    <row r="20" spans="1:5" ht="25.5">
      <c r="A20" s="6" t="s">
        <v>67</v>
      </c>
      <c r="B20" s="6" t="s">
        <v>68</v>
      </c>
      <c r="C20" s="6"/>
      <c r="D20" s="6" t="s">
        <v>694</v>
      </c>
      <c r="E20" s="6" t="s">
        <v>706</v>
      </c>
    </row>
    <row r="21" spans="1:5" ht="25.5">
      <c r="A21" s="6" t="s">
        <v>71</v>
      </c>
      <c r="B21" s="6" t="s">
        <v>72</v>
      </c>
      <c r="C21" s="6"/>
      <c r="D21" s="6" t="s">
        <v>69</v>
      </c>
      <c r="E21" s="6" t="s">
        <v>70</v>
      </c>
    </row>
    <row r="22" spans="1:5" ht="25.5">
      <c r="A22" s="6" t="s">
        <v>73</v>
      </c>
      <c r="B22" s="6" t="s">
        <v>74</v>
      </c>
      <c r="C22" s="6"/>
      <c r="D22" s="156" t="s">
        <v>656</v>
      </c>
      <c r="E22" s="6" t="s">
        <v>679</v>
      </c>
    </row>
    <row r="23" spans="1:5" ht="38.25">
      <c r="A23" s="6" t="s">
        <v>75</v>
      </c>
      <c r="B23" s="6" t="s">
        <v>76</v>
      </c>
      <c r="C23" s="6"/>
      <c r="D23" s="6"/>
      <c r="E23" s="6"/>
    </row>
    <row r="24" spans="1:5" ht="26.45" customHeight="1">
      <c r="A24" s="6" t="s">
        <v>77</v>
      </c>
      <c r="B24" s="6" t="s">
        <v>78</v>
      </c>
      <c r="C24" s="6"/>
      <c r="D24" s="6"/>
      <c r="E24" s="6"/>
    </row>
    <row r="25" spans="1:5" ht="79.349999999999994" customHeight="1">
      <c r="A25" s="6" t="s">
        <v>79</v>
      </c>
      <c r="B25" s="6" t="s">
        <v>80</v>
      </c>
      <c r="C25" s="6"/>
      <c r="D25" s="6"/>
      <c r="E25" s="6"/>
    </row>
    <row r="26" spans="1:5">
      <c r="A26" s="6" t="s">
        <v>81</v>
      </c>
      <c r="B26" s="6" t="s">
        <v>82</v>
      </c>
      <c r="C26" s="6"/>
      <c r="D26" s="6"/>
      <c r="E26" s="6"/>
    </row>
    <row r="27" spans="1:5" ht="25.5">
      <c r="A27" s="6" t="s">
        <v>83</v>
      </c>
      <c r="B27" s="6" t="s">
        <v>84</v>
      </c>
      <c r="C27" s="6"/>
      <c r="D27" s="6"/>
      <c r="E27" s="6"/>
    </row>
    <row r="28" spans="1:5">
      <c r="A28" s="84" t="s">
        <v>85</v>
      </c>
      <c r="B28" s="84" t="s">
        <v>86</v>
      </c>
      <c r="C28" s="84"/>
      <c r="D28" s="84"/>
      <c r="E28" s="84"/>
    </row>
    <row r="29" spans="1:5">
      <c r="A29" s="156" t="s">
        <v>87</v>
      </c>
      <c r="B29" s="156" t="s">
        <v>88</v>
      </c>
      <c r="C29" s="84"/>
      <c r="D29" s="84"/>
      <c r="E29" s="84"/>
    </row>
    <row r="30" spans="1:5">
      <c r="A30" s="156" t="s">
        <v>89</v>
      </c>
      <c r="B30" s="156" t="s">
        <v>90</v>
      </c>
      <c r="C30" s="84"/>
      <c r="D30" s="84"/>
      <c r="E30" s="84"/>
    </row>
    <row r="31" spans="1:5">
      <c r="A31" s="84"/>
      <c r="B31" s="84"/>
      <c r="C31" s="84"/>
      <c r="D31" s="84"/>
      <c r="E31" s="84"/>
    </row>
    <row r="32" spans="1:5">
      <c r="A32" s="84"/>
      <c r="B32" s="84"/>
      <c r="C32" s="84"/>
      <c r="D32" s="84"/>
      <c r="E32" s="84"/>
    </row>
    <row r="33" spans="1:5">
      <c r="A33" s="84"/>
      <c r="B33" s="84"/>
      <c r="C33" s="84"/>
      <c r="D33" s="84"/>
      <c r="E33" s="84"/>
    </row>
    <row r="34" spans="1:5">
      <c r="A34" s="84"/>
      <c r="B34" s="84"/>
      <c r="C34" s="84"/>
      <c r="D34" s="84"/>
      <c r="E34" s="84"/>
    </row>
    <row r="35" spans="1:5">
      <c r="A35" s="84"/>
      <c r="B35" s="84"/>
      <c r="C35" s="84"/>
      <c r="D35" s="84"/>
      <c r="E35" s="84"/>
    </row>
    <row r="36" spans="1:5">
      <c r="A36" s="84"/>
      <c r="B36" s="84"/>
      <c r="C36" s="84"/>
      <c r="D36" s="84"/>
      <c r="E36" s="84"/>
    </row>
    <row r="37" spans="1:5">
      <c r="A37" s="84"/>
      <c r="B37" s="84"/>
      <c r="C37" s="84"/>
      <c r="D37" s="84"/>
      <c r="E37" s="84"/>
    </row>
    <row r="38" spans="1:5">
      <c r="A38" s="84"/>
      <c r="B38" s="84"/>
      <c r="C38" s="84"/>
      <c r="D38" s="84"/>
      <c r="E38" s="84"/>
    </row>
    <row r="39" spans="1:5">
      <c r="A39" s="84"/>
      <c r="B39" s="84"/>
      <c r="C39" s="84"/>
      <c r="D39" s="84"/>
      <c r="E39" s="84"/>
    </row>
    <row r="40" spans="1:5">
      <c r="A40" s="84"/>
      <c r="B40" s="84"/>
      <c r="C40" s="84"/>
      <c r="D40" s="84"/>
      <c r="E40" s="84"/>
    </row>
    <row r="41" spans="1:5">
      <c r="A41" s="84"/>
      <c r="B41" s="84"/>
      <c r="C41" s="84"/>
      <c r="D41" s="84"/>
      <c r="E41" s="84"/>
    </row>
    <row r="42" spans="1:5">
      <c r="A42" s="84"/>
      <c r="B42" s="84"/>
      <c r="C42" s="84"/>
      <c r="D42" s="84"/>
      <c r="E42" s="84"/>
    </row>
    <row r="43" spans="1:5">
      <c r="A43" s="84"/>
      <c r="B43" s="84"/>
      <c r="C43" s="84"/>
      <c r="D43" s="84"/>
      <c r="E43" s="84"/>
    </row>
    <row r="44" spans="1:5">
      <c r="A44" s="84"/>
      <c r="B44" s="84"/>
      <c r="C44" s="84"/>
      <c r="D44" s="84"/>
      <c r="E44" s="84"/>
    </row>
    <row r="45" spans="1:5">
      <c r="A45" s="84"/>
      <c r="B45" s="84"/>
      <c r="C45" s="84"/>
      <c r="D45" s="84"/>
      <c r="E45" s="84"/>
    </row>
    <row r="46" spans="1:5">
      <c r="A46" s="84"/>
      <c r="B46" s="84"/>
      <c r="C46" s="84"/>
      <c r="D46" s="84"/>
      <c r="E46" s="84"/>
    </row>
    <row r="47" spans="1:5">
      <c r="A47" s="84"/>
      <c r="B47" s="84"/>
      <c r="C47" s="84"/>
      <c r="D47" s="84"/>
      <c r="E47" s="84"/>
    </row>
    <row r="48" spans="1:5">
      <c r="A48" s="84"/>
      <c r="B48" s="84"/>
      <c r="C48" s="84"/>
      <c r="D48" s="84"/>
      <c r="E48" s="84"/>
    </row>
    <row r="49" spans="1:5">
      <c r="A49" s="84"/>
      <c r="B49" s="84"/>
      <c r="C49" s="84"/>
      <c r="D49" s="84"/>
      <c r="E49" s="84"/>
    </row>
    <row r="50" spans="1:5">
      <c r="A50" s="84"/>
      <c r="B50" s="84"/>
      <c r="C50" s="84"/>
      <c r="D50" s="84"/>
      <c r="E50" s="84"/>
    </row>
    <row r="51" spans="1:5">
      <c r="A51" s="84"/>
      <c r="B51" s="84"/>
      <c r="C51" s="84"/>
      <c r="D51" s="84"/>
      <c r="E51" s="84"/>
    </row>
    <row r="52" spans="1:5">
      <c r="A52" s="84"/>
      <c r="B52" s="84"/>
      <c r="C52" s="84"/>
      <c r="D52" s="84"/>
      <c r="E52" s="84"/>
    </row>
    <row r="53" spans="1:5">
      <c r="A53" s="84"/>
      <c r="B53" s="84"/>
      <c r="C53" s="84"/>
      <c r="D53" s="84"/>
      <c r="E53" s="84"/>
    </row>
    <row r="54" spans="1:5">
      <c r="A54" s="84"/>
      <c r="B54" s="84"/>
      <c r="C54" s="84"/>
      <c r="D54" s="84"/>
      <c r="E54" s="84"/>
    </row>
    <row r="55" spans="1:5">
      <c r="A55" s="84"/>
      <c r="B55" s="84"/>
      <c r="C55" s="84"/>
      <c r="D55" s="84"/>
      <c r="E55" s="84"/>
    </row>
    <row r="56" spans="1:5">
      <c r="A56" s="84"/>
      <c r="B56" s="84"/>
      <c r="C56" s="84"/>
      <c r="D56" s="84"/>
      <c r="E56" s="84"/>
    </row>
    <row r="57" spans="1:5">
      <c r="A57" s="84"/>
      <c r="B57" s="84"/>
      <c r="C57" s="84"/>
      <c r="D57" s="84"/>
      <c r="E57" s="84"/>
    </row>
    <row r="58" spans="1:5">
      <c r="A58" s="84"/>
      <c r="B58" s="84"/>
      <c r="C58" s="84"/>
      <c r="D58" s="84"/>
      <c r="E58" s="84"/>
    </row>
    <row r="59" spans="1:5">
      <c r="A59" s="84"/>
      <c r="B59" s="84"/>
      <c r="C59" s="84"/>
      <c r="D59" s="84"/>
      <c r="E59" s="84"/>
    </row>
    <row r="60" spans="1:5">
      <c r="A60" s="84"/>
      <c r="B60" s="84"/>
      <c r="C60" s="84"/>
      <c r="D60" s="84"/>
      <c r="E60" s="84"/>
    </row>
    <row r="61" spans="1:5">
      <c r="A61" s="84"/>
      <c r="B61" s="84"/>
      <c r="C61" s="84"/>
      <c r="D61" s="84"/>
      <c r="E61" s="84"/>
    </row>
    <row r="62" spans="1:5">
      <c r="A62" s="84"/>
      <c r="B62" s="84"/>
      <c r="C62" s="84"/>
      <c r="D62" s="84"/>
      <c r="E62" s="84"/>
    </row>
    <row r="63" spans="1:5">
      <c r="A63" s="84"/>
      <c r="B63" s="84"/>
      <c r="C63" s="84"/>
      <c r="D63" s="84"/>
      <c r="E63" s="84"/>
    </row>
    <row r="64" spans="1:5">
      <c r="A64" s="84"/>
      <c r="B64" s="84"/>
      <c r="C64" s="84"/>
      <c r="D64" s="84"/>
      <c r="E64" s="84"/>
    </row>
    <row r="65" spans="1:5">
      <c r="A65" s="84"/>
      <c r="B65" s="84"/>
      <c r="C65" s="84"/>
      <c r="D65" s="84"/>
      <c r="E65" s="84"/>
    </row>
    <row r="66" spans="1:5">
      <c r="A66" s="84"/>
      <c r="B66" s="84"/>
      <c r="C66" s="84"/>
      <c r="D66" s="84"/>
      <c r="E66" s="84"/>
    </row>
    <row r="67" spans="1:5">
      <c r="A67" s="84"/>
      <c r="B67" s="84"/>
      <c r="C67" s="84"/>
      <c r="D67" s="84"/>
      <c r="E67" s="84"/>
    </row>
    <row r="68" spans="1:5">
      <c r="A68" s="84"/>
      <c r="B68" s="84"/>
      <c r="C68" s="84"/>
      <c r="D68" s="84"/>
      <c r="E68" s="84"/>
    </row>
    <row r="69" spans="1:5">
      <c r="A69" s="84"/>
      <c r="B69" s="84"/>
      <c r="C69" s="84"/>
      <c r="D69" s="84"/>
      <c r="E69" s="84"/>
    </row>
    <row r="70" spans="1:5">
      <c r="A70" s="84"/>
      <c r="B70" s="84"/>
      <c r="C70" s="84"/>
      <c r="D70" s="84"/>
      <c r="E70" s="84"/>
    </row>
    <row r="71" spans="1:5">
      <c r="A71" s="84"/>
      <c r="B71" s="84"/>
      <c r="C71" s="84"/>
      <c r="D71" s="84"/>
      <c r="E71" s="84"/>
    </row>
  </sheetData>
  <mergeCells count="1">
    <mergeCell ref="A1:F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9A10-EAFF-4865-91C6-F95476BCEA57}">
  <dimension ref="A1:AA986"/>
  <sheetViews>
    <sheetView topLeftCell="A25" zoomScale="70" zoomScaleNormal="70" workbookViewId="0">
      <selection activeCell="C27" sqref="C27"/>
    </sheetView>
  </sheetViews>
  <sheetFormatPr defaultRowHeight="15"/>
  <cols>
    <col min="1" max="1" width="9.140625" style="48"/>
    <col min="2" max="2" width="33.85546875" customWidth="1"/>
    <col min="3" max="3" width="15.140625" customWidth="1"/>
    <col min="4" max="4" width="12.140625" customWidth="1"/>
    <col min="5" max="5" width="12.85546875" customWidth="1"/>
    <col min="6" max="6" width="11.42578125" customWidth="1"/>
    <col min="7" max="7" width="12.85546875" customWidth="1"/>
    <col min="8" max="8" width="12.42578125" customWidth="1"/>
    <col min="9" max="9" width="16.5703125" customWidth="1"/>
    <col min="10" max="11" width="14.5703125" bestFit="1" customWidth="1"/>
    <col min="13" max="13" width="71.5703125" customWidth="1"/>
    <col min="14" max="16" width="8.85546875" customWidth="1"/>
    <col min="17" max="17" width="32.5703125" customWidth="1"/>
    <col min="18" max="18" width="44.5703125" customWidth="1"/>
    <col min="19" max="20" width="8.85546875" customWidth="1"/>
    <col min="21" max="21" width="15.5703125" customWidth="1"/>
    <col min="22" max="22" width="22.42578125" customWidth="1"/>
    <col min="23" max="23" width="10.85546875" customWidth="1"/>
    <col min="24" max="24" width="8.85546875" customWidth="1"/>
    <col min="25" max="25" width="23.85546875" bestFit="1" customWidth="1"/>
    <col min="26" max="26" width="31.7109375" customWidth="1"/>
    <col min="27" max="27" width="36" customWidth="1"/>
  </cols>
  <sheetData>
    <row r="1" spans="1:27">
      <c r="A1" s="47"/>
      <c r="B1" s="47"/>
      <c r="C1" s="47"/>
      <c r="D1" s="47"/>
      <c r="E1" s="47"/>
      <c r="F1" s="47"/>
      <c r="G1" s="47"/>
      <c r="H1" s="47"/>
      <c r="I1" s="47"/>
      <c r="J1" s="47"/>
      <c r="K1" s="47"/>
      <c r="L1" s="47"/>
      <c r="M1" s="47"/>
      <c r="N1" s="48"/>
      <c r="O1" s="48"/>
      <c r="Q1" t="s">
        <v>91</v>
      </c>
      <c r="S1" t="s">
        <v>92</v>
      </c>
      <c r="T1" t="s">
        <v>93</v>
      </c>
      <c r="U1" t="s">
        <v>94</v>
      </c>
      <c r="V1" t="s">
        <v>95</v>
      </c>
      <c r="W1">
        <f>IF($C$2="OpenStack",2,0)</f>
        <v>0</v>
      </c>
    </row>
    <row r="2" spans="1:27">
      <c r="A2" s="47"/>
      <c r="B2" s="49" t="s">
        <v>96</v>
      </c>
      <c r="C2" s="50" t="s">
        <v>683</v>
      </c>
      <c r="D2" s="47"/>
      <c r="E2" s="87"/>
      <c r="F2" s="47"/>
      <c r="G2" s="47"/>
      <c r="H2" s="51" t="s">
        <v>98</v>
      </c>
      <c r="I2" s="47"/>
      <c r="J2" s="47"/>
      <c r="K2" s="47"/>
      <c r="L2" s="47"/>
      <c r="M2" s="47"/>
      <c r="N2" s="48"/>
      <c r="Q2" t="s">
        <v>99</v>
      </c>
      <c r="R2" t="str">
        <f>CONCATENATE((ADDRESS($R$7+1,$S$2,,,$E$4)),$T$2,$R$7+50)</f>
        <v>'XXL 22 SW on Vmware'!$E$44:$E$93</v>
      </c>
      <c r="S2">
        <f>IF($C$2="OpenStack",4,5)</f>
        <v>5</v>
      </c>
      <c r="T2" t="str">
        <f>IF($C$2="OpenStack",":$D$",":$E$")</f>
        <v>:$E$</v>
      </c>
      <c r="V2" t="s">
        <v>100</v>
      </c>
      <c r="W2">
        <f>IF(C19=20,0,0)+IF(C19=40,12,0)+IF(C19=60,16,0)+IF(C19=80,20,0)+IF(C19=100,24,0)+IF(C19=120,28,0)+IF(C19=140,32,0)+IF(C19=160,36,0)+IF(C19=180,40,0)</f>
        <v>40</v>
      </c>
    </row>
    <row r="3" spans="1:27">
      <c r="A3" s="47"/>
      <c r="B3" s="49" t="s">
        <v>101</v>
      </c>
      <c r="C3" s="50" t="s">
        <v>660</v>
      </c>
      <c r="D3" s="49" t="s">
        <v>102</v>
      </c>
      <c r="E3" s="49" t="str">
        <f>SUBSTITUTE(C3,"Release "," ")</f>
        <v xml:space="preserve"> 22</v>
      </c>
      <c r="F3" s="47"/>
      <c r="G3" s="47"/>
      <c r="H3" s="47"/>
      <c r="I3" s="47"/>
      <c r="J3" s="47"/>
      <c r="K3" s="47"/>
      <c r="L3" s="47"/>
      <c r="M3" s="47"/>
      <c r="N3" s="48"/>
      <c r="O3" s="48"/>
      <c r="Q3" t="s">
        <v>103</v>
      </c>
      <c r="R3" t="str">
        <f>CONCATENATE((ADDRESS($R$7+1,6,,,$E$4)),":$F$",$R$7+50)</f>
        <v>'XXL 22 SW on Vmware'!$F$44:$F$93</v>
      </c>
      <c r="U3">
        <v>3</v>
      </c>
      <c r="V3" t="s">
        <v>104</v>
      </c>
      <c r="W3">
        <f>IF($C$3="Release 22",IF($C$2="OpenStack",IF($C$4="Small",2,0)+IF($C$4="Mainstream",2,0)+IF($C$4="Large",2,0),IF($C$4="Small",0,0)+IF($C$4="Mainstream",0,0)+IF($C$4="Large",0,0)),IF($C$3="Release 19",IF($C$2="OpenStack",IF($C$4="Small",2,0)+IF($C$4="Mainstream",2,0)+IF($C$4="Large",2,0),IF($C$4="Small",0,0)+IF($C$4="Mainstream",0,0)+IF($C$4="Large",0,0)),IF($C$3="Release 18A",IF($C$2="OpenStack",IF($C$4="Small",2,0)+IF($C$4="Mainstream",2,0)+IF($C$4="Large",2,0),IF($C$4="Small",0,0)+IF($C$4="Mainstream",0,0)+IF($C$4="Large",0,0)),IF($C$3="Release 18",IF($C$2="OpenStack",IF($C$4="Small",2,0)+IF($C$4="Mainstream",2,0)+IF($C$4="Large",2,0),IF($C$4="Small",0,0)+IF($C$4="Mainstream",0,0)+IF($C$4="Large",0,0)),IF($C$3="Release 17.8",IF($C$2="OpenStack",IF($C$4="Small",2,0)+IF($C$4="Mainstream",2,0)+IF($C$4="Large",2,0),IF($C$4="Small",0,0)+IF($C$4="Mainstream",0,0)+IF($C$4="Large",0,0)),IF($C$3="Release 17.2",IF($C$2="OpenStack",IF($C$4="Small",0,0)+IF($C$4="Mainstream",0,0)+IF($C$4="Large",0,0),IF($C$4="Small",0,0)+IF($C$4="Mainstream",0,0)+IF($C$4="Large",0,0)),IF($C$3="Release 16.8",IF($C$2="OpenStack",IF($C$4="Small",0,0)+IF($C$4="Mainstream",0,0)+IF($C$4="Large",0,0),IF($C$4="Small",0,0)+IF($C$4="Mainstream",0,0)+IF($C$4="Large",0,0)),IF($C$3="Release 16.5",IF($C$2="OpenStack",IF($C$4="Small",0,0)+IF($C$4="Mainstream",0,0)+IF($C$4="Large",0,0),IF($C$4="Small",0,0)+IF($C$4="Mainstream",0,0)+IF($C$4="Large",0,0))))))))))</f>
        <v>0</v>
      </c>
    </row>
    <row r="4" spans="1:27">
      <c r="A4" s="47"/>
      <c r="B4" s="49" t="s">
        <v>105</v>
      </c>
      <c r="C4" s="50" t="s">
        <v>106</v>
      </c>
      <c r="D4" s="49" t="s">
        <v>107</v>
      </c>
      <c r="E4" s="49" t="str">
        <f>CONCATENATE($C$4,$E$3," SW on ",$C$2)</f>
        <v>XXL 22 SW on Vmware</v>
      </c>
      <c r="F4" s="47"/>
      <c r="G4" s="47"/>
      <c r="H4" s="51" t="s">
        <v>108</v>
      </c>
      <c r="I4" s="47"/>
      <c r="J4" s="47"/>
      <c r="K4" s="47"/>
      <c r="L4" s="47"/>
      <c r="M4" s="47"/>
      <c r="N4" s="48"/>
      <c r="O4" s="48"/>
      <c r="Q4" t="s">
        <v>109</v>
      </c>
      <c r="R4" t="str">
        <f>CONCATENATE((ADDRESS($R$7+1,7,,,$E$4)),":$G$",$R$7+50)</f>
        <v>'XXL 22 SW on Vmware'!$G$44:$G$93</v>
      </c>
      <c r="U4">
        <f>IF($C$2="OpenStack",4,3)</f>
        <v>3</v>
      </c>
      <c r="V4" t="s">
        <v>110</v>
      </c>
      <c r="W4">
        <f>IF($C$2="OpenStack",IF($C$4="Small",4,0)+IF($C$4="Mainstream",8,0)+IF($C$4="Large",8,0)+IF($C$4="XXL",8,0)+IF($C$4="3XL",8,0),IF($C$4="Small",0,0)+IF($C$4="Mainstream",0,0)+IF($C$4="Large",0,0)+IF($C$4="XXL",0,0))</f>
        <v>0</v>
      </c>
    </row>
    <row r="5" spans="1:27">
      <c r="A5" s="47"/>
      <c r="B5" s="49" t="s">
        <v>111</v>
      </c>
      <c r="C5" s="68">
        <v>9000</v>
      </c>
      <c r="D5" s="47"/>
      <c r="E5" s="47"/>
      <c r="F5" s="47"/>
      <c r="G5" s="47"/>
      <c r="H5" s="49" t="s">
        <v>112</v>
      </c>
      <c r="I5" s="47"/>
      <c r="J5" s="47"/>
      <c r="K5" s="47"/>
      <c r="L5" s="47"/>
      <c r="M5" s="47"/>
      <c r="N5" s="48"/>
      <c r="O5" s="48"/>
      <c r="Q5" t="s">
        <v>113</v>
      </c>
      <c r="R5" t="str">
        <f>CONCATENATE((ADDRESS($R$7+1,$S$5,,,$E$4)),$T$5,$R$7+50)</f>
        <v>'XXL 22 SW on Vmware'!$I$44:$I$93</v>
      </c>
      <c r="S5">
        <f>IF($C$2="OpenStack",8,9)</f>
        <v>9</v>
      </c>
      <c r="T5" t="str">
        <f>IF($C$2="OpenStack",":$H$",":$I$")</f>
        <v>:$I$</v>
      </c>
      <c r="U5">
        <f>IF($C$2="OpenStack",5,5)</f>
        <v>5</v>
      </c>
      <c r="V5" t="s">
        <v>114</v>
      </c>
      <c r="W5">
        <v>0</v>
      </c>
    </row>
    <row r="6" spans="1:27">
      <c r="A6" s="47"/>
      <c r="B6" s="49" t="s">
        <v>109</v>
      </c>
      <c r="C6" s="68">
        <v>160</v>
      </c>
      <c r="D6" s="47"/>
      <c r="E6" s="47"/>
      <c r="F6" s="47"/>
      <c r="G6" s="47"/>
      <c r="H6" s="49" t="s">
        <v>115</v>
      </c>
      <c r="I6" s="47"/>
      <c r="J6" s="47"/>
      <c r="K6" s="47"/>
      <c r="L6" s="47"/>
      <c r="M6" s="47"/>
      <c r="N6" s="48"/>
      <c r="O6" s="48"/>
      <c r="Q6" t="s">
        <v>116</v>
      </c>
      <c r="R6" t="str">
        <f>CONCATENATE((ADDRESS($R$7+1,$S$6,,,$E$4)),$T$6,$R$7+50)</f>
        <v>'XXL 22 SW on Vmware'!$C$44:$C$93</v>
      </c>
      <c r="S6">
        <f>IF($C$2="OpenStack",5,3)</f>
        <v>3</v>
      </c>
      <c r="T6" t="str">
        <f>IF($C$2="OpenStack",":$E$",":$C$")</f>
        <v>:$C$</v>
      </c>
      <c r="V6" t="s">
        <v>117</v>
      </c>
      <c r="W6">
        <f>IF($C$3="Release 22",IF($C$2="OpenStack",IF($C$4="Small",6,0)+IF($C$4="Mainstream",6,0)+IF($C$4="Large",6,0)+IF($C$4="XXL",6,0)+IF($C$4="3XL",6,0),IF($C$4="Small",0,0)+IF($C$4="Mainstream",0,0)+IF($C$4="Large",0,0)+IF($C$4="XXL",0,0)))</f>
        <v>0</v>
      </c>
    </row>
    <row r="7" spans="1:27">
      <c r="A7" s="47"/>
      <c r="B7" s="49" t="s">
        <v>118</v>
      </c>
      <c r="C7" s="68">
        <v>500</v>
      </c>
      <c r="D7" s="47"/>
      <c r="E7" s="49"/>
      <c r="F7" s="47"/>
      <c r="G7" s="47"/>
      <c r="H7" s="49" t="s">
        <v>119</v>
      </c>
      <c r="I7" s="47"/>
      <c r="J7" s="47"/>
      <c r="K7" s="47"/>
      <c r="L7" s="47"/>
      <c r="M7" s="47"/>
      <c r="N7" s="48"/>
      <c r="O7" s="48"/>
      <c r="Q7" t="s">
        <v>120</v>
      </c>
      <c r="R7">
        <f>IF($C$3="Release 22",IF($C$2="OpenStack",IF($C$4="Small",32,0)+IF($C$4="Mainstream",38,0)+IF($C$4="Large",44,0)+IF($C$4="XXL",44,0)+IF($C$4="3XL",44,0),IF($C$4="Small",31,0)+IF($C$4="Mainstream",37,0)+IF($C$4="Large",43,0)+IF($C$4="XXL",43,0)),0)</f>
        <v>43</v>
      </c>
      <c r="V7" t="s">
        <v>121</v>
      </c>
      <c r="W7">
        <f>IF($C$3="Release 22",IF($C$2="OpenStack",IF($C$4="Small",0,0)+IF($C$4="Mainstream",0,0)+IF($C$4="Large",0,0)+IF($C$4="XXL",0,0),IF($C$4="Small",0,0)+IF($C$4="Mainstream",0,0)+IF($C$4="Large",0,0)+IF($C$4="XXL",0,0)))</f>
        <v>0</v>
      </c>
    </row>
    <row r="8" spans="1:27">
      <c r="A8" s="47"/>
      <c r="B8" s="49" t="s">
        <v>122</v>
      </c>
      <c r="C8" s="68">
        <v>13500</v>
      </c>
      <c r="D8" s="47"/>
      <c r="E8" s="47"/>
      <c r="F8" s="47"/>
      <c r="G8" s="47"/>
      <c r="H8" s="49" t="s">
        <v>123</v>
      </c>
      <c r="I8" s="47"/>
      <c r="J8" s="47"/>
      <c r="K8" s="47"/>
      <c r="L8" s="47"/>
      <c r="M8" s="47"/>
      <c r="N8" s="48"/>
      <c r="O8" s="48"/>
      <c r="Q8" t="s">
        <v>124</v>
      </c>
      <c r="R8" t="str">
        <f>CONCATENATE((ADDRESS($R$7+1,$S$2,,,$E$4)),":$I$",$R$7+50)</f>
        <v>'XXL 22 SW on Vmware'!$E$44:$I$93</v>
      </c>
      <c r="V8" t="s">
        <v>125</v>
      </c>
      <c r="W8">
        <f>IF($C$3="Release 22",IF($C$2="OpenStack",IF($C$4="Small",2,0)+IF($C$4="Mainstream",2,0)+IF($C$4="Large",2,0)+IF($C$4="XXL",2,0),IF($C$4="Small",0,0)+IF($C$4="Mainstream",0,0)+IF($C$4="Large",0,0)+IF($C$4="XXL",0,0)),IF($C$3="Release 19",IF($C$2="OpenStack",IF($C$4="Small",2,0)+IF($C$4="Mainstream",2,0)+IF($C$4="Large",2,0)+IF($C$4="XXL",2,0),IF($C$4="Small",0,0)+IF($C$4="Mainstream",0,0)+IF($C$4="Large",0,0)+IF($C$4="XXL",0,0)),IF($C$3="Release 18A",IF($C$2="OpenStack",IF($C$4="Small",2,0)+IF($C$4="Mainstream",2,0)+IF($C$4="Large",2,0)+IF($C$4="XXL",2,0),IF($C$4="Small",0,0)+IF($C$4="Mainstream",0,0)+IF($C$4="Large",0,0)+IF($C$4="XXL",0,0)),IF($C$3="Release 18",IF($C$2="OpenStack",IF($C$4="Small",2,0)+IF($C$4="Mainstream",2,0)+IF($C$4="Large",2,0)+IF($C$4="XXL",2,0),IF($C$4="Small",0,0)+IF($C$4="Mainstream",0,0)+IF($C$4="Large",0,0)+IF($C$4="XXL",0,0)),IF($C$3="Release 17.8",IF($C$2="OpenStack",IF($C$4="Small",2,0)+IF($C$4="Mainstream",2,0)+IF($C$4="Large",2,0),IF($C$4="Small",0,0)+IF($C$4="Mainstream",0,0)+IF($C$4="Large",0,0)),IF($C$3="Release 17.2",IF($C$2="OpenStack",IF($C$4="Small",2,0)+IF($C$4="Mainstream",2,0)+IF($C$4="Large",2,0),IF($C$4="Small",0,0)+IF($C$4="Mainstream",0,0)+IF($C$4="Large",0,0)),IF($C$3="Release 16.8",IF($C$2="OpenStack",IF($C$4="Small",0,0)+IF($C$4="Mainstream",0,0)+IF($C$4="Large",0,0),IF($C$4="Small",0,0)+IF($C$4="Mainstream",0,0)+IF($C$4="Large",0,0)),IF($C$3="Release 16.5",IF($C$2="OpenStack",IF($C$4="Small",0,0)+IF($C$4="Mainstream",0,0)+IF($C$4="Large",0,0),IF($C$4="Small",0,0)+IF($C$4="Mainstream",0,0)+IF($C$4="Large",0,0))))))))))</f>
        <v>0</v>
      </c>
    </row>
    <row r="9" spans="1:27">
      <c r="A9" s="47"/>
      <c r="B9" s="49" t="s">
        <v>126</v>
      </c>
      <c r="C9" s="68">
        <v>31056</v>
      </c>
      <c r="D9" s="47"/>
      <c r="E9" s="47"/>
      <c r="F9" s="47"/>
      <c r="G9" s="47"/>
      <c r="H9" s="49" t="s">
        <v>127</v>
      </c>
      <c r="I9" s="47"/>
      <c r="J9" s="47"/>
      <c r="K9" s="47"/>
      <c r="L9" s="47"/>
      <c r="M9" s="47"/>
      <c r="N9" s="48"/>
      <c r="O9" s="48"/>
      <c r="Q9" t="s">
        <v>128</v>
      </c>
      <c r="R9">
        <f>IF($C$3="Release 22",IF($C$2="OpenStack",IF($C$4="Small",24,0)+IF($C$4="Mainstream",30,0)+IF($C$4="Large",36,0)+IF($C$4="XXL",36,0)++IF($C$4="3XL",36,0),
IF($C$4="Small",23,0)+IF($C$4="Mainstream",29,0)+IF($C$4="Large",35,0)+IF($C$4="XXL",35,0)))</f>
        <v>35</v>
      </c>
      <c r="U9" t="s">
        <v>129</v>
      </c>
      <c r="V9" t="s">
        <v>45</v>
      </c>
      <c r="W9">
        <f>IF($C$3="Release 22",IF($C$2="OpenStack",IF($C$4="Small",2,0)+IF($C$4="Mainstream",2,0)+IF($C$4="Large",2,0)+IF($C$4="XXL",2,0),IF($C$4="Small",0,0)+IF($C$4="Mainstream",0,0)+IF($C$4="Large",0,0)+IF($C$4="XXL",0,0)),IF($C$3="Release 19",IF($C$2="OpenStack",IF($C$4="Small",2,0)+IF($C$4="Mainstream",2,0)+IF($C$4="Large",2,0)+IF($C$4="XXL",2,0),IF($C$4="Small",0,0)+IF($C$4="Mainstream",0,0)+IF($C$4="Large",0,0)+IF($C$4="XXL",0,0)),IF($C$3="Release 18A",IF($C$2="OpenStack",IF($C$4="Small",2,0)+IF($C$4="Mainstream",2,0)+IF($C$4="Large",2,0)+IF($C$4="XXL",2,0),IF($C$4="Small",0,0)+IF($C$4="Mainstream",0,0)+IF($C$4="Large",0,0)+IF($C$4="XXL",0,0)),IF($C$3="Release 18",IF($C$2="OpenStack",IF($C$4="Small",2,0)+IF($C$4="Mainstream",2,0)+IF($C$4="Large",2,0)+IF($C$4="XXL",2,0),IF($C$4="Small",0,0)+IF($C$4="Mainstream",0,0)+IF($C$4="Large",0,0)+IF($C$4="XXL",0,0)),IF($C$3="Release 17.8",IF($C$2="OpenStack",IF($C$4="Small",2,0)+IF($C$4="Mainstream",2,0)+IF($C$4="Large",2,0),IF($C$4="Small",0,0)+IF($C$4="Mainstream",0,0)+IF($C$4="Large",0,0)),IF($C$3="Release 17.2",IF($C$2="OpenStack",IF($C$4="Small",2,0)+IF($C$4="Mainstream",2,0)+IF($C$4="Large",2,0),IF($C$4="Small",0,0)+IF($C$4="Mainstream",0,0)+IF($C$4="Large",0,0)),IF($C$3="Release 16.8",IF($C$2="OpenStack",IF($C$4="Small",0,0)+IF($C$4="Mainstream",0,0)+IF($C$4="Large",0,0),IF($C$4="Small",0,0)+IF($C$4="Mainstream",0,0)+IF($C$4="Large",0,0)),IF($C$3="Release 16.5",IF($C$2="OpenStack",IF($C$4="Small",0,0)+IF($C$4="Mainstream",0,0)+IF($C$4="Large",0,0),IF($C$4="Small",0,0)+IF($C$4="Mainstream",0,0)+IF($C$4="Large",0,0))))))))))</f>
        <v>0</v>
      </c>
    </row>
    <row r="10" spans="1:27">
      <c r="A10" s="47"/>
      <c r="B10" s="49" t="s">
        <v>130</v>
      </c>
      <c r="C10" s="68">
        <v>740</v>
      </c>
      <c r="D10" s="47"/>
      <c r="E10" s="47"/>
      <c r="F10" s="47"/>
      <c r="G10" s="47"/>
      <c r="H10" s="49" t="s">
        <v>131</v>
      </c>
      <c r="I10" s="47"/>
      <c r="J10" s="47"/>
      <c r="K10" s="47"/>
      <c r="L10" s="47"/>
      <c r="M10" s="47"/>
      <c r="N10" s="48"/>
      <c r="O10" s="48"/>
      <c r="U10" t="s">
        <v>132</v>
      </c>
      <c r="V10" t="s">
        <v>133</v>
      </c>
      <c r="W10">
        <f>IF($C$3="Release 22",IF($C$2="OpenStack",IF($C$4="Small",2,0)+IF($C$4="Mainstream",2,0)+IF($C$4="Large",4,0)+IF($C$4="XXL",4,0)+IF($C$4="3XL",4,0),IF($C$4="Small",0,0)+IF($C$4="Mainstream",0,0)+IF($C$4="Large",0,0)+IF($C$4="XXL",0,0)),0)</f>
        <v>0</v>
      </c>
    </row>
    <row r="11" spans="1:27">
      <c r="A11" s="47"/>
      <c r="B11" s="49" t="s">
        <v>134</v>
      </c>
      <c r="C11" s="68">
        <v>200</v>
      </c>
      <c r="D11" s="47"/>
      <c r="E11" s="47"/>
      <c r="F11" s="47"/>
      <c r="G11" s="47"/>
      <c r="H11" s="49" t="s">
        <v>135</v>
      </c>
      <c r="I11" s="47"/>
      <c r="J11" s="47"/>
      <c r="K11" s="47"/>
      <c r="L11" s="47"/>
      <c r="M11" s="47"/>
      <c r="N11" s="48"/>
      <c r="O11" s="48"/>
      <c r="Q11" t="s">
        <v>136</v>
      </c>
      <c r="R11" s="123">
        <f>IF($E$4="Small 20 SW on OpenStack",'Small 22 SW on OpenStack'!BA32,IF($E$4="Mainstream 20 SW on OpenStack",'Mainstream 22 SW on OpenStack'!BA38,IF($E$4="Large 20 SW on OpenStack",'Large 22 SW on OpenStack'!BA44,IF($E$4="XXL 20 SW on OpenStack",'XXL 22 SW on OpenStack'!AW44,IF($E$4="3XL 20 SW on OpenStack",'3XL 22 SW on OpenStack'!AW44,0)))))</f>
        <v>0</v>
      </c>
      <c r="V11" t="s">
        <v>34</v>
      </c>
      <c r="W11">
        <f>IF($C$2="OpenStack",14,0)</f>
        <v>0</v>
      </c>
    </row>
    <row r="12" spans="1:27">
      <c r="A12" s="47"/>
      <c r="B12" s="49" t="s">
        <v>137</v>
      </c>
      <c r="C12" s="68">
        <v>300</v>
      </c>
      <c r="D12" s="47"/>
      <c r="E12" s="47"/>
      <c r="F12" s="47"/>
      <c r="G12" s="47"/>
      <c r="H12" s="49" t="s">
        <v>138</v>
      </c>
      <c r="I12" s="47"/>
      <c r="J12" s="47"/>
      <c r="K12" s="47"/>
      <c r="L12" s="47"/>
      <c r="M12" s="47"/>
      <c r="N12" s="48"/>
      <c r="O12" s="48"/>
      <c r="Q12" t="s">
        <v>137</v>
      </c>
      <c r="R12">
        <f>IF($C$2="OpenStack",IF($C$12&gt;0,1,0),0)</f>
        <v>0</v>
      </c>
      <c r="V12" t="s">
        <v>49</v>
      </c>
      <c r="W12">
        <f>IF($C$3="Release 22",IF($C$2="OpenStack",IF($C$4="Small",6,0)+IF($C$4="Mainstream",6,0)+IF($C$4="Large",6,0)+IF($C$4="XXL",6,0)+IF($C$4="3XL",6,0),IF($C$4="Small",0,0)+IF($C$4="Mainstream",0,0)+IF($C$4="Large",0,0)+IF($C$4="XXL",0,0)),0)</f>
        <v>0</v>
      </c>
    </row>
    <row r="13" spans="1:27">
      <c r="A13" s="47"/>
      <c r="B13" s="49" t="s">
        <v>139</v>
      </c>
      <c r="C13" s="68">
        <v>50</v>
      </c>
      <c r="D13" s="47"/>
      <c r="E13" s="47"/>
      <c r="F13" s="47"/>
      <c r="G13" s="47"/>
      <c r="H13" s="49"/>
      <c r="I13" s="47"/>
      <c r="J13" s="47"/>
      <c r="K13" s="47"/>
      <c r="L13" s="47"/>
      <c r="M13" s="47"/>
      <c r="N13" s="48"/>
      <c r="O13" s="48"/>
    </row>
    <row r="14" spans="1:27">
      <c r="A14" s="47"/>
      <c r="B14" s="49" t="s">
        <v>140</v>
      </c>
      <c r="C14" s="68">
        <v>200</v>
      </c>
      <c r="D14" s="47"/>
      <c r="E14" s="47"/>
      <c r="F14" s="47"/>
      <c r="G14" s="47"/>
      <c r="H14" s="49"/>
      <c r="I14" s="47"/>
      <c r="J14" s="47"/>
      <c r="K14" s="47"/>
      <c r="L14" s="47"/>
      <c r="M14" s="47"/>
      <c r="N14" s="48"/>
      <c r="O14" s="48"/>
      <c r="Q14" t="str">
        <f>ADDRESS($R$7,6,,,$E$4)</f>
        <v>'XXL 22 SW on Vmware'!$F$43</v>
      </c>
      <c r="AA14" cm="1">
        <f t="array" aca="1" ref="AA14" ca="1">INDIRECT(ADDRESS($R$7,$S$5,,,$E$4))</f>
        <v>3209</v>
      </c>
    </row>
    <row r="15" spans="1:27">
      <c r="A15" s="47"/>
      <c r="B15" s="47"/>
      <c r="C15" s="47"/>
      <c r="D15" s="47"/>
      <c r="E15" s="47"/>
      <c r="F15" s="47"/>
      <c r="G15" s="47"/>
      <c r="H15" s="47"/>
      <c r="I15" s="47"/>
      <c r="J15" s="47"/>
      <c r="K15" s="47"/>
      <c r="L15" s="47"/>
      <c r="M15" s="47"/>
      <c r="N15" s="48"/>
      <c r="O15" s="48"/>
      <c r="V15" t="s">
        <v>53</v>
      </c>
      <c r="W15">
        <f>IF($C$3="Release 22",IF($C$2="OpenStack",IF($C$4="Small",2,0)+IF($C$4="Mainstream",2,0)+IF($C$4="Large",2,0)+IF($C$4="XXL",2,0)+IF($C$4="3XL",2,0),IF($C$4="Small",0,0)+IF($C$4="Mainstream",0,0)+IF($C$4="Large",0,0)+IF($C$4="XXL",0,0)),0)</f>
        <v>0</v>
      </c>
    </row>
    <row r="16" spans="1:27">
      <c r="A16" s="47"/>
      <c r="B16" s="47"/>
      <c r="C16" s="47"/>
      <c r="D16" s="47"/>
      <c r="E16" s="47"/>
      <c r="F16" s="47"/>
      <c r="G16" s="47"/>
      <c r="H16" s="47"/>
      <c r="I16" s="47"/>
      <c r="J16" s="47"/>
      <c r="K16" s="47"/>
      <c r="L16" s="47"/>
      <c r="M16" s="47"/>
      <c r="N16" s="48"/>
      <c r="O16" s="48"/>
      <c r="R16" t="s">
        <v>141</v>
      </c>
      <c r="S16">
        <f ca="1">VLOOKUP("*VDA*",INDIRECT($R$8),3,FALSE)</f>
        <v>16</v>
      </c>
      <c r="V16" t="s">
        <v>656</v>
      </c>
      <c r="W16">
        <f>IF($C$3="Release 22",IF($C$2="OpenStack",IF($C$4="Small",2,0)+IF($C$4="Mainstream",2,0)+IF($C$4="Large",2,0)+IF($C$4="XXL",2,0)+IF($C$4="3XL",2,0),IF($C$4="Small",0,0)+IF($C$4="Mainstream",0,0)+IF($C$4="Large",0,0)+IF($C$4="XXL",0,0)),0)</f>
        <v>0</v>
      </c>
      <c r="AA16" cm="1">
        <f t="array" aca="1" ref="AA16" ca="1">INDIRECT(ADDRESS($R$7,7,,,$E$4))</f>
        <v>651</v>
      </c>
    </row>
    <row r="17" spans="1:22">
      <c r="A17" s="47"/>
      <c r="B17" s="49" t="s">
        <v>142</v>
      </c>
      <c r="C17" s="49"/>
      <c r="D17" s="47"/>
      <c r="E17" s="47"/>
      <c r="F17" s="47"/>
      <c r="G17" s="47"/>
      <c r="H17" s="47"/>
      <c r="I17" s="47"/>
      <c r="J17" s="47"/>
      <c r="K17" s="47"/>
      <c r="L17" s="47"/>
      <c r="M17" s="47"/>
      <c r="N17" s="48"/>
      <c r="O17" s="48"/>
      <c r="R17">
        <f ca="1">IF(OR($S$22,$S$26,$S$33,$W$33),((($C$19-20)/20)*VLOOKUP("*VDA*",INDIRECT($R$8),3,FALSE)+IF($C$19&gt;20,1,0)*SUMIF(INDIRECT($R$2),"*Controller*",INDIRECT($R$3))),NA())+IF($C$19=180,2,0)</f>
        <v>138</v>
      </c>
    </row>
    <row r="18" spans="1:22">
      <c r="A18" s="47"/>
      <c r="B18" s="49" t="s">
        <v>143</v>
      </c>
      <c r="C18" s="50" t="s">
        <v>129</v>
      </c>
      <c r="D18" s="47"/>
      <c r="E18" s="47"/>
      <c r="F18" s="49" t="s">
        <v>144</v>
      </c>
      <c r="G18" s="47"/>
      <c r="H18" s="47"/>
      <c r="I18" s="47"/>
      <c r="J18" s="47"/>
      <c r="K18" s="47"/>
      <c r="L18" s="47"/>
      <c r="M18" s="47"/>
      <c r="N18" s="48"/>
      <c r="O18" s="48"/>
      <c r="R18">
        <f ca="1">IF(OR($S$22,$S$26,$S$33,$W$33),((($C$19-20)/20)*VLOOKUP("*VDA*",INDIRECT($R$8),3,FALSE)+IF($C$19&gt;20,1,0)*SUMIF(INDIRECT($R$2),"*Controller*",INDIRECT($R$3))),NA())+IF($C$19=180,2,0)</f>
        <v>138</v>
      </c>
    </row>
    <row r="19" spans="1:22">
      <c r="A19" s="47"/>
      <c r="B19" s="49" t="s">
        <v>145</v>
      </c>
      <c r="C19" s="50">
        <v>180</v>
      </c>
      <c r="D19" s="47"/>
      <c r="E19" s="47"/>
      <c r="F19" s="48" t="s">
        <v>146</v>
      </c>
      <c r="G19" s="48" t="s">
        <v>147</v>
      </c>
      <c r="H19" s="48" t="s">
        <v>113</v>
      </c>
      <c r="I19" s="48" t="s">
        <v>148</v>
      </c>
      <c r="J19" s="47"/>
      <c r="K19" s="47"/>
      <c r="L19" s="47"/>
      <c r="M19" s="47"/>
      <c r="N19" s="48"/>
      <c r="O19" s="48"/>
    </row>
    <row r="20" spans="1:22">
      <c r="A20" s="47"/>
      <c r="B20" s="49" t="s">
        <v>149</v>
      </c>
      <c r="C20" s="50" t="s">
        <v>129</v>
      </c>
      <c r="D20" s="47"/>
      <c r="E20" s="49" t="s">
        <v>150</v>
      </c>
      <c r="F20" s="52">
        <v>0</v>
      </c>
      <c r="G20" s="52">
        <v>0</v>
      </c>
      <c r="H20" s="52">
        <v>0</v>
      </c>
      <c r="I20" s="52">
        <v>0</v>
      </c>
      <c r="J20" s="47"/>
      <c r="K20" s="47"/>
      <c r="L20" s="53"/>
      <c r="M20" s="47"/>
      <c r="N20" s="48"/>
      <c r="O20" s="48"/>
    </row>
    <row r="21" spans="1:22">
      <c r="A21" s="47"/>
      <c r="B21" s="49" t="s">
        <v>151</v>
      </c>
      <c r="C21" s="50" t="s">
        <v>152</v>
      </c>
      <c r="D21" s="47"/>
      <c r="E21" s="49" t="s">
        <v>153</v>
      </c>
      <c r="F21" s="64">
        <f ca="1">$D$47</f>
        <v>378</v>
      </c>
      <c r="G21" s="64">
        <f ca="1">$E$47</f>
        <v>1062</v>
      </c>
      <c r="H21" s="64">
        <f ca="1">$F$47</f>
        <v>33491</v>
      </c>
      <c r="I21" s="64">
        <f>$G$47</f>
        <v>31056</v>
      </c>
      <c r="J21" s="47"/>
      <c r="K21" s="47"/>
      <c r="L21" s="47"/>
      <c r="M21" s="47"/>
      <c r="N21" s="48"/>
      <c r="O21" s="48"/>
      <c r="V21" t="s">
        <v>154</v>
      </c>
    </row>
    <row r="22" spans="1:22">
      <c r="A22" s="47"/>
      <c r="B22" s="49" t="s">
        <v>155</v>
      </c>
      <c r="C22" s="50" t="s">
        <v>129</v>
      </c>
      <c r="D22" s="47"/>
      <c r="E22" s="49" t="s">
        <v>156</v>
      </c>
      <c r="F22" s="48" t="str">
        <f>IF(($F$20=0),"More vCPUs",(IF($C$4="Small",IF(($F$21/$F$20)&gt;2.25,"More vCPUs","OK"),IF($C$4="Mainstream",IF(($F$21/$F$20)&gt;1.5,"More vCPUs","OK"),IF($C$4="Large",IF(($F$21/$F$20)&gt;1.5,"More vCPUs","OK"),IF($C$4="XXL",IF(($F$21/$F$20)&gt;1.5,"More vCPUs","OK")))))))</f>
        <v>More vCPUs</v>
      </c>
      <c r="G22" s="48" t="str">
        <f ca="1">IF($G$21&gt;$G$20,"More vRAMs","OK")</f>
        <v>More vRAMs</v>
      </c>
      <c r="H22" s="48" t="str">
        <f ca="1">IF($H$21&gt;$H$20,"More VMDKs","OK")</f>
        <v>More VMDKs</v>
      </c>
      <c r="I22" s="48" t="str">
        <f>IF($I$21&gt;$I$20,"More storage","OK")</f>
        <v>More storage</v>
      </c>
      <c r="J22" s="47"/>
      <c r="K22" s="47"/>
      <c r="L22" s="47"/>
      <c r="M22" s="47"/>
      <c r="N22" s="48"/>
      <c r="O22" s="48"/>
      <c r="Q22" t="s">
        <v>157</v>
      </c>
      <c r="R22" t="s">
        <v>158</v>
      </c>
      <c r="S22" t="b">
        <f>AND($C$4="Small",$C$19&lt;61)</f>
        <v>0</v>
      </c>
      <c r="V22" t="s">
        <v>132</v>
      </c>
    </row>
    <row r="23" spans="1:22">
      <c r="A23" s="47"/>
      <c r="B23" s="49" t="s">
        <v>159</v>
      </c>
      <c r="C23" s="50" t="s">
        <v>132</v>
      </c>
      <c r="D23" s="47"/>
      <c r="E23" s="47"/>
      <c r="F23" s="47"/>
      <c r="G23" s="47"/>
      <c r="H23" s="47"/>
      <c r="I23" s="47"/>
      <c r="J23" s="47"/>
      <c r="K23" s="47"/>
      <c r="L23" s="47"/>
      <c r="M23" s="47"/>
      <c r="N23" s="48"/>
      <c r="O23" s="48"/>
      <c r="Q23" t="s">
        <v>160</v>
      </c>
      <c r="R23">
        <v>20</v>
      </c>
    </row>
    <row r="24" spans="1:22">
      <c r="A24" s="47"/>
      <c r="B24" s="49" t="s">
        <v>38</v>
      </c>
      <c r="C24" s="50" t="s">
        <v>129</v>
      </c>
      <c r="D24" s="47"/>
      <c r="E24" s="47"/>
      <c r="F24" s="47"/>
      <c r="G24" s="47"/>
      <c r="H24" s="47"/>
      <c r="I24" s="47"/>
      <c r="J24" s="47"/>
      <c r="K24" s="47"/>
      <c r="L24" s="47"/>
      <c r="M24" s="47"/>
      <c r="N24" s="48"/>
      <c r="O24" s="48"/>
      <c r="Q24" t="s">
        <v>161</v>
      </c>
      <c r="R24">
        <v>60</v>
      </c>
      <c r="V24" t="s">
        <v>162</v>
      </c>
    </row>
    <row r="25" spans="1:22">
      <c r="A25" s="47"/>
      <c r="B25" s="49" t="s">
        <v>163</v>
      </c>
      <c r="C25" s="50" t="s">
        <v>129</v>
      </c>
      <c r="D25" s="47"/>
      <c r="E25" s="47"/>
      <c r="F25" s="47"/>
      <c r="G25" s="47"/>
      <c r="H25" s="47"/>
      <c r="I25" s="47"/>
      <c r="J25" s="47"/>
      <c r="K25" s="47"/>
      <c r="L25" s="47"/>
      <c r="M25" s="47"/>
      <c r="N25" s="48"/>
      <c r="O25" s="48"/>
      <c r="Q25" t="s">
        <v>164</v>
      </c>
      <c r="V25" t="s">
        <v>132</v>
      </c>
    </row>
    <row r="26" spans="1:22">
      <c r="A26" s="47"/>
      <c r="B26" s="49" t="s">
        <v>49</v>
      </c>
      <c r="C26" s="50" t="s">
        <v>129</v>
      </c>
      <c r="D26" s="47"/>
      <c r="E26" s="47"/>
      <c r="F26" s="47"/>
      <c r="G26" s="47"/>
      <c r="H26" s="47"/>
      <c r="I26" s="47"/>
      <c r="J26" s="47"/>
      <c r="K26" s="47"/>
      <c r="L26" s="47"/>
      <c r="M26" s="47"/>
      <c r="N26" s="48"/>
      <c r="O26" s="48"/>
      <c r="R26" t="s">
        <v>165</v>
      </c>
      <c r="S26" t="b">
        <f>AND($C$4="Mainstream",$C$19&lt;101)</f>
        <v>0</v>
      </c>
      <c r="V26" t="s">
        <v>129</v>
      </c>
    </row>
    <row r="27" spans="1:22">
      <c r="A27" s="47"/>
      <c r="B27" s="49" t="s">
        <v>53</v>
      </c>
      <c r="C27" s="50" t="s">
        <v>129</v>
      </c>
      <c r="D27" s="47"/>
      <c r="E27" s="47"/>
      <c r="F27" s="47"/>
      <c r="G27" s="47"/>
      <c r="H27" s="47"/>
      <c r="I27" s="47"/>
      <c r="J27" s="47"/>
      <c r="K27" s="47"/>
      <c r="L27" s="47"/>
      <c r="M27" s="47"/>
      <c r="N27" s="48"/>
      <c r="O27" s="48"/>
      <c r="R27">
        <v>20</v>
      </c>
    </row>
    <row r="28" spans="1:22">
      <c r="A28" s="47"/>
      <c r="B28" s="49" t="s">
        <v>656</v>
      </c>
      <c r="C28" s="50" t="s">
        <v>129</v>
      </c>
      <c r="D28" s="47"/>
      <c r="E28" s="47"/>
      <c r="F28" s="47"/>
      <c r="G28" s="47"/>
      <c r="H28" s="47"/>
      <c r="I28" s="47"/>
      <c r="J28" s="47"/>
      <c r="K28" s="47"/>
      <c r="L28" s="47"/>
      <c r="M28" s="47"/>
      <c r="N28" s="48"/>
      <c r="O28" s="48"/>
      <c r="Q28" t="s">
        <v>166</v>
      </c>
      <c r="R28">
        <v>60</v>
      </c>
    </row>
    <row r="29" spans="1:22">
      <c r="A29" s="47"/>
      <c r="B29" s="47"/>
      <c r="C29" s="47"/>
      <c r="D29" s="47"/>
      <c r="E29" s="47"/>
      <c r="F29" s="47"/>
      <c r="G29" s="47"/>
      <c r="H29" s="47"/>
      <c r="I29" s="47"/>
      <c r="J29" s="47"/>
      <c r="K29" s="47"/>
      <c r="L29" s="47"/>
      <c r="M29" s="47"/>
      <c r="N29" s="48"/>
      <c r="O29" s="48"/>
      <c r="Q29" t="s">
        <v>160</v>
      </c>
      <c r="R29">
        <v>100</v>
      </c>
    </row>
    <row r="30" spans="1:22">
      <c r="A30" s="47"/>
      <c r="B30" s="47"/>
      <c r="C30" s="47"/>
      <c r="D30" s="47"/>
      <c r="E30" s="47"/>
      <c r="F30" s="47"/>
      <c r="G30" s="47"/>
      <c r="H30" s="47"/>
      <c r="I30" s="47"/>
      <c r="J30" s="47"/>
      <c r="K30" s="47"/>
      <c r="L30" s="47"/>
      <c r="M30" s="47"/>
      <c r="N30" s="48"/>
      <c r="O30" s="48"/>
      <c r="Q30" t="s">
        <v>161</v>
      </c>
    </row>
    <row r="31" spans="1:22">
      <c r="A31" s="47"/>
      <c r="B31" s="47"/>
      <c r="C31" s="47"/>
      <c r="D31" s="47"/>
      <c r="E31" s="47"/>
      <c r="F31" s="47"/>
      <c r="G31" s="47"/>
      <c r="H31" s="47"/>
      <c r="I31" s="47"/>
      <c r="J31" s="47"/>
      <c r="K31" s="47"/>
      <c r="L31" s="47"/>
      <c r="M31" s="47"/>
      <c r="N31" s="48"/>
      <c r="O31" s="48"/>
      <c r="Q31" t="s">
        <v>164</v>
      </c>
    </row>
    <row r="32" spans="1:22">
      <c r="A32" s="54"/>
      <c r="B32" s="54"/>
      <c r="C32" s="54"/>
      <c r="D32" s="54"/>
      <c r="E32" s="54"/>
      <c r="F32" s="54"/>
      <c r="G32" s="54"/>
      <c r="H32" s="54"/>
      <c r="I32" s="55"/>
      <c r="J32" s="56"/>
      <c r="K32" s="56"/>
      <c r="L32" s="56"/>
      <c r="M32" s="56"/>
      <c r="N32" s="48"/>
      <c r="O32" s="48"/>
    </row>
    <row r="33" spans="1:26">
      <c r="A33" s="54"/>
      <c r="B33" s="57" t="s">
        <v>167</v>
      </c>
      <c r="C33" s="57" t="str">
        <f>C4</f>
        <v>XXL</v>
      </c>
      <c r="D33" s="57"/>
      <c r="E33" s="57"/>
      <c r="F33" s="57"/>
      <c r="G33" s="57"/>
      <c r="H33" s="57"/>
      <c r="I33" s="54"/>
      <c r="J33" s="56"/>
      <c r="K33" s="56"/>
      <c r="L33" s="56"/>
      <c r="M33" s="56"/>
      <c r="N33" s="48"/>
      <c r="O33" s="48"/>
      <c r="R33" t="s">
        <v>168</v>
      </c>
      <c r="S33" t="b">
        <f>IF($C$4="Large",TRUE,FALSE)</f>
        <v>0</v>
      </c>
      <c r="V33" t="s">
        <v>169</v>
      </c>
      <c r="W33" t="b">
        <f>IF($C$4="XXL",TRUE,FALSE)</f>
        <v>1</v>
      </c>
      <c r="Y33" t="s">
        <v>643</v>
      </c>
      <c r="Z33" t="b">
        <f>IF($C$4="3XL",TRUE,FALSE)</f>
        <v>0</v>
      </c>
    </row>
    <row r="34" spans="1:26">
      <c r="A34" s="54"/>
      <c r="B34" s="57"/>
      <c r="C34" s="65" t="s">
        <v>170</v>
      </c>
      <c r="D34" s="65" t="s">
        <v>103</v>
      </c>
      <c r="E34" s="65" t="s">
        <v>109</v>
      </c>
      <c r="F34" s="65" t="s">
        <v>171</v>
      </c>
      <c r="G34" s="65" t="s">
        <v>172</v>
      </c>
      <c r="H34" s="65" t="s">
        <v>136</v>
      </c>
      <c r="I34" s="54"/>
      <c r="J34" s="56"/>
      <c r="K34" s="56"/>
      <c r="L34" s="56"/>
      <c r="M34" s="56"/>
      <c r="N34" s="48"/>
      <c r="O34" s="48"/>
      <c r="Q34" t="s">
        <v>173</v>
      </c>
      <c r="R34">
        <v>20</v>
      </c>
      <c r="V34">
        <v>20</v>
      </c>
      <c r="Y34">
        <v>20</v>
      </c>
    </row>
    <row r="35" spans="1:26">
      <c r="A35" s="54"/>
      <c r="B35" s="57" t="s">
        <v>174</v>
      </c>
      <c r="C35" s="66">
        <f>R9</f>
        <v>35</v>
      </c>
      <c r="D35" s="66">
        <f ca="1">INDIRECT(ADDRESS($R$7,6,,,$E$4))</f>
        <v>222</v>
      </c>
      <c r="E35" s="66">
        <f ca="1">IF(C4="Small",INDIRECT(ADDRESS($R$7,7,,,$E$4))-40+C6,IF(C4="Mainstream",INDIRECT(ADDRESS($R$7,7,,,$E$4))-70+C6,IF(C4="Large",INDIRECT(ADDRESS($R$7,7,,,$E$4))-90+C6,IF(C4="XXL",INDIRECT(ADDRESS($R$7,7,,,$E$4))-160+C6,IF(C4="3XL",INDIRECT(ADDRESS($R$7,7,,,$E$4))-240+C6)))))</f>
        <v>651</v>
      </c>
      <c r="F35" s="66">
        <f ca="1">INDIRECT(ADDRESS($R$7,$S$5,,,$E$4))+C5+C7+C8+C10+C11+C12+C13+C14</f>
        <v>27699</v>
      </c>
      <c r="G35" s="66">
        <f>$C$9</f>
        <v>31056</v>
      </c>
      <c r="H35" s="66">
        <f>$R$11</f>
        <v>0</v>
      </c>
      <c r="I35" s="54"/>
      <c r="J35" s="56"/>
      <c r="K35" s="56"/>
      <c r="L35" s="56"/>
      <c r="M35" s="56"/>
      <c r="N35" s="48"/>
      <c r="O35" s="48"/>
      <c r="Q35" t="s">
        <v>160</v>
      </c>
      <c r="R35">
        <v>60</v>
      </c>
      <c r="V35">
        <v>60</v>
      </c>
      <c r="Y35">
        <v>60</v>
      </c>
    </row>
    <row r="36" spans="1:26">
      <c r="A36" s="54"/>
      <c r="B36" s="57" t="str">
        <f>B18</f>
        <v>Thresholder and Profiler</v>
      </c>
      <c r="C36" s="66">
        <f>IF($C$18="Used",IF($C$4="Small",1,0)+IF($C$4="Mainstream",1,0)+IF($C$4="Large",1,0)+IF($C$4="XXL",1,0)+IF($C$4="3XL",1,0),0)</f>
        <v>1</v>
      </c>
      <c r="D36" s="66">
        <f ca="1">IF($C$18="Used",1,0)*SUMIF(INDIRECT($R$2),"T&amp;P",INDIRECT($R$3))</f>
        <v>16</v>
      </c>
      <c r="E36" s="66">
        <f ca="1">IF($C$18="Used",1,0)*SUMIF(INDIRECT($R$2),"T&amp;P",INDIRECT($R$4))</f>
        <v>64</v>
      </c>
      <c r="F36" s="66">
        <f ca="1">IF($C$18="Used",1,0)*SUMIF(INDIRECT($R$2),"T&amp;P",INDIRECT($R$5))</f>
        <v>71</v>
      </c>
      <c r="G36" s="66">
        <f>IF($C$18="Used",IF($C$2="OpenStack",F36*2,0),0)</f>
        <v>0</v>
      </c>
      <c r="H36" s="66">
        <f>IF($C$18="Used",$W$1,0)</f>
        <v>0</v>
      </c>
      <c r="I36" s="54"/>
      <c r="J36" s="56"/>
      <c r="K36" s="56"/>
      <c r="L36" s="56"/>
      <c r="M36" s="56"/>
      <c r="N36" s="48"/>
      <c r="O36" s="48"/>
      <c r="Q36" t="s">
        <v>161</v>
      </c>
      <c r="R36">
        <v>100</v>
      </c>
      <c r="V36">
        <v>100</v>
      </c>
      <c r="Y36">
        <v>100</v>
      </c>
    </row>
    <row r="37" spans="1:26">
      <c r="A37" s="54"/>
      <c r="B37" s="57" t="s">
        <v>175</v>
      </c>
      <c r="C37" s="66">
        <f>IF($C$19&gt;=20, IF(C19=20,3,0)+IF(C19=60,4,0)+IF(C19=100,6,0)+IF(C19=180,10,0),0)</f>
        <v>10</v>
      </c>
      <c r="D37" s="66">
        <f>IF($C$19&gt;=20, 4+4+4*IF($C$19=20,1,0)+4*IF($C$19=60,2,0)+4*IF($C$19=100,4,0)+4*IF($C$19=180,8,0),0)</f>
        <v>40</v>
      </c>
      <c r="E37" s="66">
        <f>IF($C$19&gt;=20, 4+14+16*IF($C$19=20,1,0)+16*IF($C$19=60,2,0)+16*IF($C$19=100,4,0)+16*IF($C$19=180,8,0),0)</f>
        <v>146</v>
      </c>
      <c r="F37" s="66">
        <f>IF($C$19&gt;=20, 100+100+100*IF($C$19=20,1,0)+100*IF($C$19=60,2,0)+100*IF($C$19=100,4,0)+100*IF($C$19=180,8,0),0)</f>
        <v>1000</v>
      </c>
      <c r="G37" s="66">
        <f>IF($C$2="OpenStack",F37*2,0)</f>
        <v>0</v>
      </c>
      <c r="H37" s="66">
        <f>IF($C$2="OpenStack",$W$2,0)</f>
        <v>0</v>
      </c>
      <c r="I37" s="54" t="s">
        <v>176</v>
      </c>
      <c r="J37" s="56"/>
      <c r="K37" s="56"/>
      <c r="L37" s="56"/>
      <c r="M37" s="56"/>
      <c r="N37" s="48"/>
      <c r="O37" s="48"/>
      <c r="Q37" t="s">
        <v>164</v>
      </c>
      <c r="R37">
        <v>180</v>
      </c>
      <c r="V37">
        <v>180</v>
      </c>
      <c r="Y37">
        <v>180</v>
      </c>
    </row>
    <row r="38" spans="1:26">
      <c r="A38" s="54"/>
      <c r="B38" s="57" t="str">
        <f>B20</f>
        <v>Security Log Collector</v>
      </c>
      <c r="C38" s="66">
        <f>IF($C$20="Used",IF($C$4="Small",2,0)+IF($C$4="Mainstream",4,0)+IF($C$4="Large",4,0)+IF($C$4="XXL",4,0)+IF($C$4="3XL",4,0),0)</f>
        <v>4</v>
      </c>
      <c r="D38" s="66">
        <f ca="1">IF($C$20="Used",1,0)*SUMIF(INDIRECT($R$2),"SLC*",INDIRECT($R$3))</f>
        <v>24</v>
      </c>
      <c r="E38" s="66">
        <f ca="1">IF($C$20="Used",1,0)*SUMIF(INDIRECT($R$2),"SLC*",INDIRECT($R$4))</f>
        <v>80</v>
      </c>
      <c r="F38" s="66">
        <f ca="1">IF($C$20="Used",1,0)*SUMIF(INDIRECT($R$2),"SLC*",INDIRECT($R$5))</f>
        <v>804</v>
      </c>
      <c r="G38" s="66">
        <f>IF($C$20="Used",IF($C$2="OpenStack",F38*2,0),0)</f>
        <v>0</v>
      </c>
      <c r="H38" s="66">
        <f>IF($C$20="Used",$W$4,0)</f>
        <v>0</v>
      </c>
      <c r="I38" s="54"/>
      <c r="J38" s="56"/>
      <c r="K38" s="56"/>
      <c r="L38" s="56"/>
      <c r="M38" s="56"/>
      <c r="N38" s="48"/>
      <c r="O38" s="48"/>
      <c r="U38" s="48">
        <f ca="1">VLOOKUP("*VDA*",INDIRECT($R$8),3,FALSE)</f>
        <v>16</v>
      </c>
    </row>
    <row r="39" spans="1:26">
      <c r="A39" s="54"/>
      <c r="B39" s="57" t="str">
        <f>B21</f>
        <v>Single RAN BTS Adapter</v>
      </c>
      <c r="C39" s="66">
        <f>IF($C$21="Used",0,0)</f>
        <v>0</v>
      </c>
      <c r="D39" s="66">
        <f ca="1">IF($C$21="Used",1,0)*SUMIF(INDIRECT($R$2),"SBTS*",INDIRECT($R$3))</f>
        <v>0</v>
      </c>
      <c r="E39" s="66">
        <f ca="1">IF($C$21="Used",1,0)*SUMIF(INDIRECT($R$2),"SBTS*",INDIRECT($R$4))</f>
        <v>0</v>
      </c>
      <c r="F39" s="66">
        <f ca="1">IF($C$21="Used",1,0)*SUMIF(INDIRECT($R$2),"SBTS*",INDIRECT($R$5))</f>
        <v>0</v>
      </c>
      <c r="G39" s="66">
        <f>IF($C$21="Used",IF($C$2="OpenStack",F39*2,0),0)</f>
        <v>0</v>
      </c>
      <c r="H39" s="66">
        <f>IF($C$21="Used",$W$5,0)</f>
        <v>0</v>
      </c>
      <c r="I39" s="54"/>
      <c r="J39" s="56"/>
      <c r="K39" s="56"/>
      <c r="L39" s="56"/>
      <c r="M39" s="56"/>
      <c r="N39" s="48"/>
      <c r="O39" s="48"/>
      <c r="Q39" t="s">
        <v>177</v>
      </c>
    </row>
    <row r="40" spans="1:26">
      <c r="A40" s="54"/>
      <c r="B40" s="57" t="str">
        <f>B22</f>
        <v>Centralized license Server</v>
      </c>
      <c r="C40" s="66">
        <f>IF($C$22="Used",3,0)</f>
        <v>3</v>
      </c>
      <c r="D40" s="66">
        <f ca="1">IF($C$22="Used",1,0)*SUMIF(INDIRECT($R$2),"CLS*",INDIRECT($R$3))</f>
        <v>8</v>
      </c>
      <c r="E40" s="66">
        <f ca="1">IF($C$22="Used",1,0)*SUMIF(INDIRECT($R$2),"CLS*",INDIRECT($R$4))</f>
        <v>12</v>
      </c>
      <c r="F40" s="66">
        <f ca="1">IF($C$22="Used",1,0)*SUMIF(INDIRECT($R$2),"CLS*",INDIRECT($R$5))</f>
        <v>103</v>
      </c>
      <c r="G40" s="66">
        <f>IF($C$22="Used",IF($C$2="OpenStack",F40*2,0),0)</f>
        <v>0</v>
      </c>
      <c r="H40" s="66">
        <f>IF($C$22="Used",$W$6,0)</f>
        <v>0</v>
      </c>
      <c r="I40" s="54"/>
      <c r="J40" s="56"/>
      <c r="K40" s="56"/>
      <c r="L40" s="56"/>
      <c r="M40" s="56"/>
      <c r="N40" s="48"/>
      <c r="O40" s="48"/>
      <c r="Q40" t="s">
        <v>160</v>
      </c>
    </row>
    <row r="41" spans="1:26">
      <c r="A41" s="54"/>
      <c r="B41" s="57" t="s">
        <v>159</v>
      </c>
      <c r="C41" s="66">
        <f>IF($C$23="Used",IF($C$4="Small",2,0)+IF($C$4="Mainstream",2,0)+IF($C$4="Large",2,0)+IF($C$4="XXL",2,0),0)</f>
        <v>0</v>
      </c>
      <c r="D41" s="66">
        <f ca="1">IF($C$23="Used",1,0)*SUMIF(INDIRECT($R$2),"BTSMED*",INDIRECT($R$3))</f>
        <v>0</v>
      </c>
      <c r="E41" s="66">
        <f ca="1">IF($C$23="Used",1,0)*SUMIF(INDIRECT($R$2),"BTSMED*",INDIRECT($R$4))</f>
        <v>0</v>
      </c>
      <c r="F41" s="66">
        <f ca="1">IF($C$23="Used",1,0)*SUMIF(INDIRECT($R$2),"BTSMED*",INDIRECT($R$5))</f>
        <v>0</v>
      </c>
      <c r="G41" s="66">
        <f>IF($C$23="Used",IF($C$2="OpenStack",F41*2,0),0)</f>
        <v>0</v>
      </c>
      <c r="H41" s="66">
        <f>IF($C$23="Used",$W$9,0)</f>
        <v>0</v>
      </c>
      <c r="I41" s="54"/>
      <c r="J41" s="56"/>
      <c r="K41" s="56"/>
      <c r="L41" s="56"/>
      <c r="M41" s="56"/>
      <c r="N41" s="48"/>
      <c r="O41" s="48"/>
      <c r="Q41" t="s">
        <v>161</v>
      </c>
    </row>
    <row r="42" spans="1:26">
      <c r="A42" s="54"/>
      <c r="B42" s="57" t="s">
        <v>38</v>
      </c>
      <c r="C42" s="66">
        <f>IF($C$24="Used",IF($C$4="Small",1,0)+IF($C$4="Mainstream",1,0)+IF($C$4="Large",2,0)+IF($C$4="XXL",2,0)+IF($C$4="3XL",2,0),0)</f>
        <v>2</v>
      </c>
      <c r="D42" s="66">
        <f ca="1">IF($C$24="Used",1,0)*SUMIF(INDIRECT($R$2),"LTE-A*",INDIRECT($R$3))</f>
        <v>12</v>
      </c>
      <c r="E42" s="66">
        <f ca="1">IF($C$24="Used",1,0)*SUMIF(INDIRECT($R$2),"LTE-A*",INDIRECT($R$4))</f>
        <v>14</v>
      </c>
      <c r="F42" s="66">
        <f ca="1">IF($C$24="Used",1,0)*SUMIF(INDIRECT($R$2),"LTE-A*",INDIRECT($R$5))</f>
        <v>222</v>
      </c>
      <c r="G42" s="66">
        <f>IF($C$24="Used",IF($C$2="OpenStack",F42*2,0),0)</f>
        <v>0</v>
      </c>
      <c r="H42" s="66">
        <f>IF($C$24="Used",$W$10,0)</f>
        <v>0</v>
      </c>
      <c r="I42" s="54"/>
      <c r="J42" s="56"/>
      <c r="K42" s="56"/>
      <c r="L42" s="56"/>
      <c r="M42" s="56"/>
      <c r="N42" s="48"/>
      <c r="O42" s="48"/>
      <c r="Q42" t="s">
        <v>164</v>
      </c>
    </row>
    <row r="43" spans="1:26">
      <c r="A43" s="54"/>
      <c r="B43" s="57" t="s">
        <v>163</v>
      </c>
      <c r="C43" s="66">
        <f>IF($C$25="Used",6,0)</f>
        <v>6</v>
      </c>
      <c r="D43" s="66">
        <f ca="1">IF($C$25="Used",1,0)*SUMIF((INDIRECT($R$6)),"*360*",INDIRECT($R$3))</f>
        <v>32</v>
      </c>
      <c r="E43" s="66">
        <f ca="1">IF($C$25="Used",1,0)*SUMIF((INDIRECT($R$6)),"*360*",INDIRECT($R$4))</f>
        <v>60</v>
      </c>
      <c r="F43" s="66">
        <f ca="1">IF($C$25="Used",1,0)*SUMIF((INDIRECT($R$6)),"*360*",INDIRECT($R$5)) + IF($C$25="Used",1,0)*IF($C$2="Vmware",250,IF($C$2="OpenStack",256,0))</f>
        <v>1390</v>
      </c>
      <c r="G43" s="66">
        <f>IF($C$25="Used",IF($C$2="OpenStack",F43*2,0),0)</f>
        <v>0</v>
      </c>
      <c r="H43" s="66">
        <f>IF($C$25="Used",$W$11,0)</f>
        <v>0</v>
      </c>
      <c r="I43" s="54"/>
      <c r="J43" s="56"/>
      <c r="K43" s="56"/>
      <c r="L43" s="56"/>
      <c r="M43" s="56"/>
      <c r="N43" s="48"/>
      <c r="O43" s="48"/>
    </row>
    <row r="44" spans="1:26">
      <c r="A44" s="54"/>
      <c r="B44" s="57" t="s">
        <v>49</v>
      </c>
      <c r="C44" s="66">
        <f>IF($C$26="Used",3,0)</f>
        <v>3</v>
      </c>
      <c r="D44" s="66">
        <f ca="1">IF($C$26="Used",1,0)*SUMIF(INDIRECT($R$2),"NetGuard*",INDIRECT($R$3))</f>
        <v>6</v>
      </c>
      <c r="E44" s="66">
        <f ca="1">IF($C$26="Used",1,0)*SUMIF(INDIRECT($R$2),"NetGuard*",INDIRECT($R$4))</f>
        <v>6</v>
      </c>
      <c r="F44" s="66">
        <f ca="1">IF($C$26="Used",1,0)*SUMIF(INDIRECT($R$2),"NetGuard*",INDIRECT($R$5))</f>
        <v>63</v>
      </c>
      <c r="G44" s="66">
        <f>IF($C$26="Used",IF($C$2="OpenStack",F44*2,0),0)</f>
        <v>0</v>
      </c>
      <c r="H44" s="66">
        <f>IF($C$26="Used",$W$12,0)</f>
        <v>0</v>
      </c>
      <c r="I44" s="54"/>
      <c r="J44" s="56"/>
      <c r="K44" s="56"/>
      <c r="L44" s="56"/>
      <c r="M44" s="56"/>
      <c r="N44" s="48"/>
      <c r="O44" s="48"/>
      <c r="Q44" t="s">
        <v>178</v>
      </c>
      <c r="R44" t="s">
        <v>179</v>
      </c>
    </row>
    <row r="45" spans="1:26">
      <c r="A45" s="54"/>
      <c r="B45" s="57" t="s">
        <v>53</v>
      </c>
      <c r="C45" s="66">
        <f>IF($C$27="Used",1,0)</f>
        <v>1</v>
      </c>
      <c r="D45" s="66">
        <f ca="1">IF($C$27="Used",1,0)*SUMIF(INDIRECT($R$2),"NBIVES*",INDIRECT($R$3))</f>
        <v>6</v>
      </c>
      <c r="E45" s="66">
        <f ca="1">IF($C$27="Used",1,0)*SUMIF(INDIRECT($R$2),"NBIVES*",INDIRECT($R$4))</f>
        <v>5</v>
      </c>
      <c r="F45" s="66">
        <f ca="1">IF($C$27="Used",1,0)*SUMIF(INDIRECT($R$2),"NBIVES*",INDIRECT($R$5))</f>
        <v>41</v>
      </c>
      <c r="G45" s="66">
        <f>IF($C$27="Used",IF($C$2="OpenStack",F45*2,0),0)</f>
        <v>0</v>
      </c>
      <c r="H45" s="66">
        <f>IF($C$27="Used",$W$15,0)</f>
        <v>0</v>
      </c>
      <c r="I45" s="54"/>
      <c r="J45" s="56"/>
      <c r="K45" s="56"/>
      <c r="L45" s="56"/>
      <c r="M45" s="56"/>
      <c r="N45" s="48"/>
      <c r="O45" s="48"/>
      <c r="Q45" t="s">
        <v>160</v>
      </c>
      <c r="R45">
        <v>750</v>
      </c>
      <c r="S45" s="32"/>
      <c r="U45" s="32"/>
      <c r="V45" s="93" t="s">
        <v>180</v>
      </c>
    </row>
    <row r="46" spans="1:26">
      <c r="A46" s="54"/>
      <c r="B46" s="57" t="s">
        <v>656</v>
      </c>
      <c r="C46" s="66">
        <f>IF($C$2="VmWare",IF($C$28="Used",1,0),0)</f>
        <v>1</v>
      </c>
      <c r="D46" s="66">
        <f ca="1">IF($C$28="Used",1,0)*SUMIF(INDIRECT($R$2),"Graylog*",INDIRECT($R$3))</f>
        <v>12</v>
      </c>
      <c r="E46" s="66">
        <f ca="1">IF($C$28="Used",1,0)*SUMIF(INDIRECT($R$2),"Graylog*",INDIRECT($R$4))</f>
        <v>24</v>
      </c>
      <c r="F46" s="66">
        <f ca="1">IF($C$28="Used",1,0)*SUMIF(INDIRECT($R$2),"Graylog*",INDIRECT($R$5))</f>
        <v>2098</v>
      </c>
      <c r="G46" s="66">
        <f>IF($C$27="Used",IF($C$2="OpenStack",F46*2,0),0)</f>
        <v>0</v>
      </c>
      <c r="H46" s="66">
        <f>IF($C$2="VmWare",0,0)</f>
        <v>0</v>
      </c>
      <c r="I46" s="54"/>
      <c r="J46" s="56"/>
      <c r="K46" s="56"/>
      <c r="L46" s="56"/>
      <c r="M46" s="56"/>
      <c r="N46" s="48"/>
      <c r="O46" s="48"/>
      <c r="S46" s="32"/>
      <c r="U46" s="32"/>
      <c r="V46" s="93"/>
    </row>
    <row r="47" spans="1:26">
      <c r="A47" s="54"/>
      <c r="B47" s="58" t="s">
        <v>181</v>
      </c>
      <c r="C47" s="67">
        <f>SUM(C35:C46)</f>
        <v>66</v>
      </c>
      <c r="D47" s="67">
        <f ca="1">SUM(D35:D46)</f>
        <v>378</v>
      </c>
      <c r="E47" s="67">
        <f ca="1">SUM(E35:E46)</f>
        <v>1062</v>
      </c>
      <c r="F47" s="67">
        <f ca="1">SUM(F35:F46)</f>
        <v>33491</v>
      </c>
      <c r="G47" s="67">
        <f>C9+SUM(G36:G46)</f>
        <v>31056</v>
      </c>
      <c r="H47" s="67">
        <f>SUM(H35:H46)+$R$12</f>
        <v>0</v>
      </c>
      <c r="I47" s="54"/>
      <c r="J47" s="56"/>
      <c r="K47" s="56"/>
      <c r="L47" s="56"/>
      <c r="M47" s="56"/>
      <c r="N47" s="48"/>
      <c r="O47" s="48"/>
      <c r="Q47" t="s">
        <v>161</v>
      </c>
      <c r="R47">
        <v>1194</v>
      </c>
      <c r="V47" t="s">
        <v>182</v>
      </c>
    </row>
    <row r="48" spans="1:26">
      <c r="A48" s="54"/>
      <c r="B48" s="54"/>
      <c r="C48" s="54"/>
      <c r="D48" s="56"/>
      <c r="E48" s="56"/>
      <c r="F48" s="89" t="s">
        <v>183</v>
      </c>
      <c r="G48" s="56"/>
      <c r="H48" s="56"/>
      <c r="I48" s="54"/>
      <c r="J48" s="56"/>
      <c r="K48" s="56"/>
      <c r="L48" s="56"/>
      <c r="M48" s="56"/>
      <c r="N48" s="48"/>
      <c r="O48" s="48"/>
      <c r="Q48" t="s">
        <v>164</v>
      </c>
    </row>
    <row r="49" spans="1:22">
      <c r="A49" s="54"/>
      <c r="B49" s="54"/>
      <c r="C49" s="54"/>
      <c r="D49" s="56"/>
      <c r="E49" s="56"/>
      <c r="F49" s="56"/>
      <c r="G49" s="56"/>
      <c r="H49" s="56"/>
      <c r="I49" s="54"/>
      <c r="J49" s="56"/>
      <c r="K49" s="56"/>
      <c r="L49" s="56"/>
      <c r="M49" s="56"/>
      <c r="N49" s="48"/>
      <c r="O49" s="48"/>
      <c r="Q49" t="s">
        <v>106</v>
      </c>
      <c r="V49" t="s">
        <v>184</v>
      </c>
    </row>
    <row r="50" spans="1:22">
      <c r="A50" s="54"/>
      <c r="B50" s="54"/>
      <c r="C50" s="54"/>
      <c r="D50" s="56"/>
      <c r="E50" s="56"/>
      <c r="F50" s="89" t="s">
        <v>183</v>
      </c>
      <c r="G50" s="56"/>
      <c r="H50" s="56"/>
      <c r="I50" s="54"/>
      <c r="J50" s="56"/>
      <c r="K50" s="56"/>
      <c r="L50" s="56"/>
      <c r="M50" s="56"/>
      <c r="N50" s="48"/>
      <c r="O50" s="48"/>
      <c r="V50" t="s">
        <v>182</v>
      </c>
    </row>
    <row r="51" spans="1:22">
      <c r="A51" s="54"/>
      <c r="B51" s="54"/>
      <c r="C51" s="54"/>
      <c r="D51" s="56"/>
      <c r="E51" s="56"/>
      <c r="F51" s="56"/>
      <c r="G51" s="56"/>
      <c r="H51" s="56"/>
      <c r="I51" s="54"/>
      <c r="J51" s="56"/>
      <c r="K51" s="56"/>
      <c r="L51" s="56"/>
      <c r="M51" s="56"/>
      <c r="N51" s="48"/>
      <c r="O51" s="48"/>
      <c r="R51" t="s">
        <v>185</v>
      </c>
      <c r="S51" s="32"/>
      <c r="U51" s="32"/>
      <c r="V51" s="93"/>
    </row>
    <row r="52" spans="1:22">
      <c r="A52" s="54"/>
      <c r="B52" s="54"/>
      <c r="C52" s="54"/>
      <c r="D52" s="56"/>
      <c r="E52" s="56"/>
      <c r="F52" s="56"/>
      <c r="G52" s="56"/>
      <c r="H52" s="56"/>
      <c r="I52" s="54"/>
      <c r="J52" s="56"/>
      <c r="K52" s="56"/>
      <c r="L52" s="56"/>
      <c r="M52" s="56"/>
      <c r="N52" s="48"/>
      <c r="O52" s="48"/>
      <c r="R52">
        <v>1500</v>
      </c>
      <c r="V52" s="93" t="s">
        <v>186</v>
      </c>
    </row>
    <row r="53" spans="1:22">
      <c r="A53" s="55"/>
      <c r="B53" s="54"/>
      <c r="C53" s="54"/>
      <c r="D53" s="56"/>
      <c r="E53" s="56"/>
      <c r="F53" s="56"/>
      <c r="G53" s="56"/>
      <c r="H53" s="56"/>
      <c r="I53" s="54"/>
      <c r="J53" s="56"/>
      <c r="K53" s="56"/>
      <c r="L53" s="56"/>
      <c r="M53" s="56"/>
      <c r="N53" s="48"/>
      <c r="O53" s="48"/>
      <c r="Q53" t="s">
        <v>187</v>
      </c>
      <c r="R53">
        <v>2062</v>
      </c>
      <c r="V53" s="93" t="s">
        <v>182</v>
      </c>
    </row>
    <row r="54" spans="1:22">
      <c r="B54" s="48"/>
      <c r="C54" s="48"/>
      <c r="D54" s="48"/>
      <c r="E54" s="48"/>
      <c r="F54" s="48"/>
      <c r="G54" s="48"/>
      <c r="H54" s="48"/>
      <c r="I54" s="48"/>
      <c r="J54" s="48"/>
      <c r="K54" s="48"/>
      <c r="L54" s="48"/>
      <c r="M54" s="48"/>
      <c r="N54" s="48"/>
      <c r="O54" s="48"/>
      <c r="Q54" t="s">
        <v>160</v>
      </c>
      <c r="S54" s="32"/>
      <c r="U54" s="32"/>
      <c r="V54" s="93" t="s">
        <v>97</v>
      </c>
    </row>
    <row r="55" spans="1:22">
      <c r="B55" s="48"/>
      <c r="C55" s="48"/>
      <c r="D55" s="48"/>
      <c r="E55" s="48"/>
      <c r="F55" s="48"/>
      <c r="G55" s="48"/>
      <c r="H55" s="48"/>
      <c r="I55" s="48"/>
      <c r="J55" s="48"/>
      <c r="K55" s="48"/>
      <c r="L55" s="48"/>
      <c r="M55" s="48"/>
      <c r="N55" s="48"/>
      <c r="O55" s="48"/>
      <c r="Q55" t="s">
        <v>161</v>
      </c>
      <c r="R55" t="s">
        <v>188</v>
      </c>
      <c r="V55" s="93"/>
    </row>
    <row r="56" spans="1:22">
      <c r="B56" s="48"/>
      <c r="C56" s="48"/>
      <c r="D56" s="48"/>
      <c r="E56" s="48"/>
      <c r="F56" s="48"/>
      <c r="G56" s="48"/>
      <c r="H56" s="48"/>
      <c r="I56" s="48"/>
      <c r="J56" s="48"/>
      <c r="K56" s="48"/>
      <c r="L56" s="48"/>
      <c r="M56" s="48"/>
      <c r="N56" s="48"/>
      <c r="O56" s="48"/>
      <c r="Q56" t="s">
        <v>164</v>
      </c>
      <c r="R56">
        <v>2500</v>
      </c>
      <c r="V56" t="s">
        <v>189</v>
      </c>
    </row>
    <row r="57" spans="1:22">
      <c r="B57" s="48"/>
      <c r="C57" s="48"/>
      <c r="D57" s="48"/>
      <c r="E57" s="48"/>
      <c r="F57" s="48"/>
      <c r="G57" s="48"/>
      <c r="H57" s="48"/>
      <c r="I57" s="48"/>
      <c r="J57" s="48"/>
      <c r="K57" s="48"/>
      <c r="L57" s="48"/>
      <c r="M57" s="48"/>
      <c r="N57" s="48"/>
      <c r="O57" s="48"/>
      <c r="Q57" t="s">
        <v>106</v>
      </c>
      <c r="R57" s="35">
        <v>3418</v>
      </c>
      <c r="V57" t="s">
        <v>182</v>
      </c>
    </row>
    <row r="58" spans="1:22">
      <c r="B58" s="48"/>
      <c r="C58" s="48"/>
      <c r="D58" s="48"/>
      <c r="E58" s="48"/>
      <c r="F58" s="48"/>
      <c r="G58" s="48"/>
      <c r="H58" s="48"/>
      <c r="I58" s="48"/>
      <c r="J58" s="48"/>
      <c r="K58" s="48"/>
      <c r="L58" s="48"/>
      <c r="M58" s="48"/>
      <c r="N58" s="48"/>
      <c r="O58" s="48"/>
      <c r="R58" s="35"/>
      <c r="V58" t="s">
        <v>97</v>
      </c>
    </row>
    <row r="59" spans="1:22">
      <c r="B59" s="48"/>
      <c r="C59" s="48"/>
      <c r="D59" s="48"/>
      <c r="E59" s="48"/>
      <c r="F59" s="48"/>
      <c r="G59" s="48"/>
      <c r="H59" s="48"/>
      <c r="I59" s="48"/>
      <c r="J59" s="48"/>
      <c r="K59" s="48"/>
      <c r="L59" s="48"/>
      <c r="M59" s="48"/>
      <c r="N59" s="48"/>
      <c r="O59" s="48"/>
      <c r="Q59" t="s">
        <v>190</v>
      </c>
      <c r="R59" t="s">
        <v>191</v>
      </c>
    </row>
    <row r="60" spans="1:22">
      <c r="B60" s="48"/>
      <c r="C60" s="48"/>
      <c r="D60" s="48"/>
      <c r="E60" s="48"/>
      <c r="F60" s="48"/>
      <c r="G60" s="48"/>
      <c r="H60" s="48"/>
      <c r="I60" s="48"/>
      <c r="J60" s="48"/>
      <c r="K60" s="48"/>
      <c r="L60" s="48"/>
      <c r="M60" s="48"/>
      <c r="N60" s="48"/>
      <c r="O60" s="48"/>
      <c r="Q60" t="s">
        <v>160</v>
      </c>
      <c r="R60">
        <v>9000</v>
      </c>
      <c r="V60" t="s">
        <v>192</v>
      </c>
    </row>
    <row r="61" spans="1:22">
      <c r="B61" s="48"/>
      <c r="C61" s="48"/>
      <c r="D61" s="48"/>
      <c r="E61" s="48"/>
      <c r="F61" s="48"/>
      <c r="G61" s="48"/>
      <c r="H61" s="48"/>
      <c r="I61" s="48"/>
      <c r="J61" s="48"/>
      <c r="K61" s="48"/>
      <c r="L61" s="48"/>
      <c r="M61" s="48"/>
      <c r="N61" s="48"/>
      <c r="O61" s="48"/>
      <c r="Q61" t="s">
        <v>161</v>
      </c>
      <c r="V61" t="s">
        <v>182</v>
      </c>
    </row>
    <row r="62" spans="1:22">
      <c r="B62" s="48"/>
      <c r="C62" s="48"/>
      <c r="D62" s="48"/>
      <c r="E62" s="48"/>
      <c r="F62" s="48"/>
      <c r="G62" s="48"/>
      <c r="H62" s="48"/>
      <c r="I62" s="48"/>
      <c r="J62" s="48"/>
      <c r="K62" s="48"/>
      <c r="L62" s="48"/>
      <c r="M62" s="48"/>
      <c r="N62" s="48"/>
      <c r="O62" s="48"/>
      <c r="Q62" t="s">
        <v>164</v>
      </c>
      <c r="R62" t="s">
        <v>193</v>
      </c>
      <c r="V62" t="s">
        <v>97</v>
      </c>
    </row>
    <row r="63" spans="1:22">
      <c r="B63" s="48"/>
      <c r="C63" s="48"/>
      <c r="D63" s="48"/>
      <c r="E63" s="48"/>
      <c r="F63" s="48"/>
      <c r="G63" s="48"/>
      <c r="H63" s="48"/>
      <c r="I63" s="48"/>
      <c r="J63" s="48"/>
      <c r="K63" s="48"/>
      <c r="L63" s="48"/>
      <c r="M63" s="48"/>
      <c r="N63" s="48"/>
      <c r="O63" s="48"/>
      <c r="Q63" t="s">
        <v>106</v>
      </c>
      <c r="R63">
        <v>8294</v>
      </c>
    </row>
    <row r="64" spans="1:22">
      <c r="B64" s="48"/>
      <c r="C64" s="48"/>
      <c r="D64" s="48"/>
      <c r="E64" s="48"/>
      <c r="F64" s="48"/>
      <c r="G64" s="48"/>
      <c r="H64" s="48"/>
      <c r="I64" s="48"/>
      <c r="J64" s="48"/>
      <c r="K64" s="48"/>
      <c r="L64" s="48"/>
      <c r="M64" s="48"/>
      <c r="N64" s="48"/>
      <c r="O64" s="48"/>
      <c r="R64" s="35"/>
      <c r="V64" t="s">
        <v>194</v>
      </c>
    </row>
    <row r="65" spans="2:22">
      <c r="B65" s="48"/>
      <c r="C65" s="48"/>
      <c r="D65" s="48"/>
      <c r="E65" s="48"/>
      <c r="F65" s="48"/>
      <c r="G65" s="48"/>
      <c r="H65" s="48"/>
      <c r="I65" s="48"/>
      <c r="J65" s="48"/>
      <c r="K65" s="48"/>
      <c r="L65" s="48"/>
      <c r="M65" s="48"/>
      <c r="N65" s="48"/>
      <c r="O65" s="48"/>
      <c r="Q65" t="s">
        <v>661</v>
      </c>
      <c r="R65" t="s">
        <v>195</v>
      </c>
      <c r="V65" t="s">
        <v>182</v>
      </c>
    </row>
    <row r="66" spans="2:22">
      <c r="B66" s="48"/>
      <c r="C66" s="48"/>
      <c r="D66" s="48"/>
      <c r="E66" s="48"/>
      <c r="F66" s="48"/>
      <c r="G66" s="48"/>
      <c r="H66" s="48"/>
      <c r="I66" s="48"/>
      <c r="J66" s="48"/>
      <c r="K66" s="48"/>
      <c r="L66" s="48"/>
      <c r="M66" s="48"/>
      <c r="N66" s="48"/>
      <c r="O66" s="48"/>
      <c r="Q66" t="s">
        <v>160</v>
      </c>
      <c r="R66" s="69">
        <v>691</v>
      </c>
      <c r="V66" t="s">
        <v>97</v>
      </c>
    </row>
    <row r="67" spans="2:22">
      <c r="B67" s="48"/>
      <c r="C67" s="48"/>
      <c r="D67" s="48"/>
      <c r="E67" s="48"/>
      <c r="F67" s="48"/>
      <c r="G67" s="48"/>
      <c r="H67" s="48"/>
      <c r="I67" s="48"/>
      <c r="J67" s="48"/>
      <c r="K67" s="48"/>
      <c r="L67" s="48"/>
      <c r="M67" s="48"/>
      <c r="N67" s="48"/>
      <c r="O67" s="48"/>
      <c r="Q67" t="s">
        <v>161</v>
      </c>
      <c r="R67" s="69">
        <v>1100</v>
      </c>
    </row>
    <row r="68" spans="2:22">
      <c r="B68" s="48"/>
      <c r="C68" s="48"/>
      <c r="D68" s="48"/>
      <c r="E68" s="48"/>
      <c r="F68" s="48"/>
      <c r="G68" s="48"/>
      <c r="H68" s="48"/>
      <c r="I68" s="48"/>
      <c r="J68" s="48"/>
      <c r="K68" s="48"/>
      <c r="L68" s="48"/>
      <c r="M68" s="48"/>
      <c r="N68" s="48"/>
      <c r="O68" s="48"/>
      <c r="Q68" t="s">
        <v>164</v>
      </c>
      <c r="V68" t="s">
        <v>196</v>
      </c>
    </row>
    <row r="69" spans="2:22">
      <c r="B69" s="48"/>
      <c r="C69" s="48"/>
      <c r="D69" s="48"/>
      <c r="E69" s="48"/>
      <c r="F69" s="48"/>
      <c r="G69" s="48"/>
      <c r="H69" s="48"/>
      <c r="I69" s="48"/>
      <c r="J69" s="48"/>
      <c r="K69" s="48"/>
      <c r="L69" s="48"/>
      <c r="M69" s="48"/>
      <c r="N69" s="48"/>
      <c r="O69" s="48"/>
      <c r="Q69" t="s">
        <v>106</v>
      </c>
      <c r="R69" t="s">
        <v>197</v>
      </c>
      <c r="V69" t="s">
        <v>182</v>
      </c>
    </row>
    <row r="70" spans="2:22">
      <c r="B70" s="48"/>
      <c r="C70" s="48"/>
      <c r="D70" s="48"/>
      <c r="E70" s="48"/>
      <c r="F70" s="48"/>
      <c r="G70" s="48"/>
      <c r="H70" s="48"/>
      <c r="I70" s="48"/>
      <c r="J70" s="48"/>
      <c r="K70" s="48"/>
      <c r="L70" s="48"/>
      <c r="M70" s="48"/>
      <c r="N70" s="48"/>
      <c r="O70" s="48"/>
      <c r="R70" s="70">
        <v>1382</v>
      </c>
      <c r="V70" t="s">
        <v>97</v>
      </c>
    </row>
    <row r="71" spans="2:22">
      <c r="B71" s="48"/>
      <c r="C71" s="48"/>
      <c r="D71" s="48"/>
      <c r="E71" s="48"/>
      <c r="F71" s="48"/>
      <c r="G71" s="48"/>
      <c r="H71" s="48"/>
      <c r="I71" s="48"/>
      <c r="J71" s="48"/>
      <c r="K71" s="48"/>
      <c r="L71" s="48"/>
      <c r="M71" s="48"/>
      <c r="N71" s="48"/>
      <c r="O71" s="48"/>
      <c r="Q71" t="s">
        <v>662</v>
      </c>
      <c r="R71" s="71">
        <v>1900</v>
      </c>
    </row>
    <row r="72" spans="2:22">
      <c r="B72" s="48"/>
      <c r="C72" s="48"/>
      <c r="D72" s="48"/>
      <c r="E72" s="48"/>
      <c r="F72" s="48"/>
      <c r="G72" s="48"/>
      <c r="H72" s="48"/>
      <c r="I72" s="48"/>
      <c r="J72" s="48"/>
      <c r="K72" s="48"/>
      <c r="L72" s="48"/>
      <c r="M72" s="48"/>
      <c r="N72" s="48"/>
      <c r="O72" s="48"/>
      <c r="Q72" t="s">
        <v>160</v>
      </c>
      <c r="V72" t="s">
        <v>198</v>
      </c>
    </row>
    <row r="73" spans="2:22">
      <c r="B73" s="48"/>
      <c r="C73" s="48"/>
      <c r="D73" s="48"/>
      <c r="E73" s="48"/>
      <c r="F73" s="48"/>
      <c r="G73" s="48"/>
      <c r="H73" s="48"/>
      <c r="I73" s="48"/>
      <c r="J73" s="48"/>
      <c r="K73" s="48"/>
      <c r="L73" s="48"/>
      <c r="M73" s="48"/>
      <c r="N73" s="48"/>
      <c r="O73" s="48"/>
      <c r="Q73" t="s">
        <v>161</v>
      </c>
      <c r="R73" t="s">
        <v>199</v>
      </c>
      <c r="V73" t="s">
        <v>182</v>
      </c>
    </row>
    <row r="74" spans="2:22" ht="14.1" customHeight="1">
      <c r="B74" s="48"/>
      <c r="C74" s="48"/>
      <c r="D74" s="48"/>
      <c r="E74" s="48"/>
      <c r="F74" s="48"/>
      <c r="G74" s="48"/>
      <c r="H74" s="48"/>
      <c r="I74" s="48"/>
      <c r="J74" s="48"/>
      <c r="K74" s="48"/>
      <c r="L74" s="48"/>
      <c r="M74" s="48"/>
      <c r="N74" s="48"/>
      <c r="O74" s="48"/>
      <c r="Q74" t="s">
        <v>164</v>
      </c>
      <c r="R74" s="72">
        <v>2304</v>
      </c>
      <c r="V74" t="s">
        <v>97</v>
      </c>
    </row>
    <row r="75" spans="2:22">
      <c r="B75" s="48"/>
      <c r="C75" s="48"/>
      <c r="D75" s="48"/>
      <c r="E75" s="48"/>
      <c r="F75" s="48"/>
      <c r="G75" s="48"/>
      <c r="H75" s="48"/>
      <c r="I75" s="48"/>
      <c r="J75" s="48"/>
      <c r="K75" s="48"/>
      <c r="L75" s="48"/>
      <c r="M75" s="48"/>
      <c r="N75" s="48"/>
      <c r="O75" s="48"/>
      <c r="Q75" t="s">
        <v>106</v>
      </c>
      <c r="R75" s="73">
        <v>3150</v>
      </c>
    </row>
    <row r="76" spans="2:22">
      <c r="B76" s="48"/>
      <c r="C76" s="48"/>
      <c r="D76" s="48"/>
      <c r="E76" s="48"/>
      <c r="F76" s="48"/>
      <c r="G76" s="48"/>
      <c r="H76" s="48"/>
      <c r="I76" s="48"/>
      <c r="J76" s="48"/>
      <c r="K76" s="48"/>
      <c r="L76" s="48"/>
      <c r="M76" s="48"/>
      <c r="N76" s="48"/>
      <c r="O76" s="48"/>
      <c r="Q76" s="32" t="s">
        <v>300</v>
      </c>
    </row>
    <row r="77" spans="2:22">
      <c r="B77" s="48"/>
      <c r="C77" s="48"/>
      <c r="D77" s="48"/>
      <c r="E77" s="48"/>
      <c r="F77" s="48"/>
      <c r="G77" s="48"/>
      <c r="H77" s="48"/>
      <c r="I77" s="48"/>
      <c r="J77" s="48"/>
      <c r="K77" s="48"/>
      <c r="L77" s="48"/>
      <c r="M77" s="48"/>
      <c r="N77" s="48"/>
      <c r="O77" s="48"/>
      <c r="Q77" s="32"/>
      <c r="R77" t="s">
        <v>200</v>
      </c>
    </row>
    <row r="78" spans="2:22">
      <c r="B78" s="48"/>
      <c r="C78" s="48"/>
      <c r="D78" s="48"/>
      <c r="E78" s="48"/>
      <c r="F78" s="48"/>
      <c r="G78" s="48"/>
      <c r="H78" s="48"/>
      <c r="I78" s="48"/>
      <c r="J78" s="48"/>
      <c r="K78" s="48"/>
      <c r="L78" s="48"/>
      <c r="M78" s="48"/>
      <c r="N78" s="48"/>
      <c r="O78" s="48"/>
      <c r="Q78" s="32"/>
      <c r="R78">
        <v>40</v>
      </c>
    </row>
    <row r="79" spans="2:22">
      <c r="B79" s="48"/>
      <c r="C79" s="48"/>
      <c r="D79" s="48"/>
      <c r="E79" s="48"/>
      <c r="F79" s="48"/>
      <c r="G79" s="48"/>
      <c r="H79" s="48"/>
      <c r="I79" s="48"/>
      <c r="J79" s="48"/>
      <c r="K79" s="48"/>
      <c r="L79" s="48"/>
      <c r="M79" s="48"/>
      <c r="N79" s="48"/>
      <c r="O79" s="48"/>
      <c r="Q79" s="32"/>
    </row>
    <row r="80" spans="2:22">
      <c r="B80" s="48"/>
      <c r="C80" s="48"/>
      <c r="D80" s="48"/>
      <c r="E80" s="48"/>
      <c r="F80" s="48"/>
      <c r="G80" s="48"/>
      <c r="H80" s="48"/>
      <c r="I80" s="48"/>
      <c r="J80" s="48"/>
      <c r="K80" s="48"/>
      <c r="L80" s="48"/>
      <c r="M80" s="48"/>
      <c r="N80" s="48"/>
      <c r="O80" s="48"/>
      <c r="Q80" s="32"/>
      <c r="R80" t="s">
        <v>201</v>
      </c>
    </row>
    <row r="81" spans="2:18">
      <c r="B81" s="48"/>
      <c r="C81" s="48"/>
      <c r="D81" s="48"/>
      <c r="E81" s="48"/>
      <c r="F81" s="48"/>
      <c r="G81" s="48"/>
      <c r="H81" s="48"/>
      <c r="I81" s="48"/>
      <c r="J81" s="48"/>
      <c r="K81" s="48"/>
      <c r="L81" s="48"/>
      <c r="M81" s="48"/>
      <c r="N81" s="48"/>
      <c r="O81" s="48"/>
      <c r="Q81" s="32"/>
      <c r="R81">
        <v>40</v>
      </c>
    </row>
    <row r="82" spans="2:18">
      <c r="B82" s="48"/>
      <c r="C82" s="48"/>
      <c r="D82" s="48"/>
      <c r="E82" s="48"/>
      <c r="F82" s="48"/>
      <c r="G82" s="48"/>
      <c r="H82" s="48"/>
      <c r="I82" s="48"/>
      <c r="J82" s="48"/>
      <c r="K82" s="48"/>
      <c r="L82" s="48"/>
      <c r="M82" s="48"/>
      <c r="N82" s="48"/>
      <c r="O82" s="48"/>
      <c r="Q82" s="32"/>
    </row>
    <row r="83" spans="2:18">
      <c r="B83" s="48"/>
      <c r="C83" s="48"/>
      <c r="D83" s="48"/>
      <c r="E83" s="48"/>
      <c r="F83" s="48"/>
      <c r="G83" s="48"/>
      <c r="H83" s="48"/>
      <c r="I83" s="48"/>
      <c r="J83" s="48"/>
      <c r="K83" s="48"/>
      <c r="L83" s="48"/>
      <c r="M83" s="48"/>
      <c r="N83" s="48"/>
      <c r="O83" s="48"/>
      <c r="Q83" s="32"/>
      <c r="R83" t="s">
        <v>202</v>
      </c>
    </row>
    <row r="84" spans="2:18">
      <c r="B84" s="48"/>
      <c r="C84" s="48"/>
      <c r="D84" s="48"/>
      <c r="E84" s="48"/>
      <c r="F84" s="48"/>
      <c r="G84" s="48"/>
      <c r="H84" s="48"/>
      <c r="I84" s="48"/>
      <c r="J84" s="48"/>
      <c r="K84" s="48"/>
      <c r="L84" s="48"/>
      <c r="M84" s="48"/>
      <c r="N84" s="48"/>
      <c r="O84" s="48"/>
      <c r="R84">
        <v>40</v>
      </c>
    </row>
    <row r="85" spans="2:18">
      <c r="B85" s="48"/>
      <c r="C85" s="48"/>
      <c r="D85" s="48"/>
      <c r="E85" s="48"/>
      <c r="F85" s="48"/>
      <c r="G85" s="48"/>
      <c r="H85" s="48"/>
      <c r="I85" s="48"/>
      <c r="J85" s="48"/>
      <c r="K85" s="48"/>
      <c r="L85" s="48"/>
      <c r="M85" s="48"/>
      <c r="N85" s="48"/>
      <c r="O85" s="48"/>
    </row>
    <row r="86" spans="2:18">
      <c r="B86" s="48"/>
      <c r="C86" s="48"/>
      <c r="D86" s="48"/>
      <c r="E86" s="48"/>
      <c r="F86" s="48"/>
      <c r="G86" s="48"/>
      <c r="H86" s="48"/>
      <c r="I86" s="48"/>
      <c r="J86" s="48"/>
      <c r="K86" s="48"/>
      <c r="L86" s="48"/>
      <c r="M86" s="48"/>
      <c r="N86" s="48"/>
      <c r="O86" s="48"/>
      <c r="R86" t="s">
        <v>203</v>
      </c>
    </row>
    <row r="87" spans="2:18">
      <c r="B87" s="48"/>
      <c r="C87" s="48"/>
      <c r="D87" s="48"/>
      <c r="E87" s="48"/>
      <c r="F87" s="48"/>
      <c r="G87" s="48"/>
      <c r="H87" s="48"/>
      <c r="I87" s="48"/>
      <c r="J87" s="48"/>
      <c r="K87" s="48"/>
      <c r="L87" s="48"/>
      <c r="M87" s="48"/>
      <c r="N87" s="48"/>
      <c r="O87" s="48"/>
      <c r="R87">
        <v>40</v>
      </c>
    </row>
    <row r="88" spans="2:18">
      <c r="B88" s="48"/>
      <c r="C88" s="48"/>
      <c r="D88" s="48"/>
      <c r="E88" s="48"/>
      <c r="F88" s="48"/>
      <c r="G88" s="48"/>
      <c r="H88" s="48"/>
      <c r="I88" s="48"/>
      <c r="J88" s="48"/>
      <c r="K88" s="48"/>
      <c r="L88" s="48"/>
      <c r="M88" s="48"/>
      <c r="N88" s="48"/>
      <c r="O88" s="48"/>
    </row>
    <row r="89" spans="2:18">
      <c r="M89" s="156"/>
      <c r="R89" t="s">
        <v>204</v>
      </c>
    </row>
    <row r="90" spans="2:18">
      <c r="M90" s="156"/>
      <c r="R90">
        <v>66</v>
      </c>
    </row>
    <row r="91" spans="2:18">
      <c r="M91" s="156"/>
    </row>
    <row r="92" spans="2:18">
      <c r="M92" s="156"/>
      <c r="R92" t="s">
        <v>205</v>
      </c>
    </row>
    <row r="93" spans="2:18">
      <c r="R93" s="74">
        <v>60.83</v>
      </c>
    </row>
    <row r="94" spans="2:18">
      <c r="M94" s="156"/>
    </row>
    <row r="95" spans="2:18">
      <c r="M95" s="156"/>
      <c r="R95" t="s">
        <v>206</v>
      </c>
    </row>
    <row r="96" spans="2:18">
      <c r="M96" s="156"/>
      <c r="R96">
        <v>66</v>
      </c>
    </row>
    <row r="97" spans="2:18">
      <c r="M97" s="156"/>
    </row>
    <row r="98" spans="2:18" ht="18">
      <c r="B98" s="94"/>
      <c r="M98" s="156"/>
      <c r="R98" t="s">
        <v>207</v>
      </c>
    </row>
    <row r="99" spans="2:18">
      <c r="M99" s="156"/>
      <c r="R99" s="74">
        <v>60.83</v>
      </c>
    </row>
    <row r="100" spans="2:18">
      <c r="M100" s="156"/>
    </row>
    <row r="101" spans="2:18">
      <c r="R101" t="s">
        <v>208</v>
      </c>
    </row>
    <row r="102" spans="2:18">
      <c r="R102">
        <v>1125</v>
      </c>
    </row>
    <row r="104" spans="2:18">
      <c r="R104" t="s">
        <v>209</v>
      </c>
    </row>
    <row r="105" spans="2:18">
      <c r="R105" s="74">
        <v>1036.8</v>
      </c>
    </row>
    <row r="107" spans="2:18">
      <c r="R107" t="s">
        <v>210</v>
      </c>
    </row>
    <row r="108" spans="2:18">
      <c r="R108">
        <v>1125</v>
      </c>
    </row>
    <row r="110" spans="2:18">
      <c r="R110" t="s">
        <v>211</v>
      </c>
    </row>
    <row r="111" spans="2:18">
      <c r="R111" s="74">
        <v>1036.8</v>
      </c>
    </row>
    <row r="112" spans="2:18">
      <c r="R112" s="74"/>
    </row>
    <row r="113" spans="18:18">
      <c r="R113" t="s">
        <v>212</v>
      </c>
    </row>
    <row r="114" spans="18:18">
      <c r="R114">
        <v>70</v>
      </c>
    </row>
    <row r="116" spans="18:18">
      <c r="R116" t="s">
        <v>213</v>
      </c>
    </row>
    <row r="117" spans="18:18">
      <c r="R117">
        <v>70</v>
      </c>
    </row>
    <row r="119" spans="18:18">
      <c r="R119" t="s">
        <v>214</v>
      </c>
    </row>
    <row r="120" spans="18:18">
      <c r="R120">
        <v>70</v>
      </c>
    </row>
    <row r="122" spans="18:18">
      <c r="R122" t="s">
        <v>215</v>
      </c>
    </row>
    <row r="123" spans="18:18">
      <c r="R123">
        <v>70</v>
      </c>
    </row>
    <row r="125" spans="18:18">
      <c r="R125" t="s">
        <v>216</v>
      </c>
    </row>
    <row r="126" spans="18:18">
      <c r="R126">
        <v>66</v>
      </c>
    </row>
    <row r="128" spans="18:18">
      <c r="R128" t="s">
        <v>217</v>
      </c>
    </row>
    <row r="129" spans="18:18">
      <c r="R129" s="74">
        <v>60.83</v>
      </c>
    </row>
    <row r="131" spans="18:18">
      <c r="R131" t="s">
        <v>218</v>
      </c>
    </row>
    <row r="132" spans="18:18">
      <c r="R132">
        <v>66</v>
      </c>
    </row>
    <row r="134" spans="18:18">
      <c r="R134" t="s">
        <v>219</v>
      </c>
    </row>
    <row r="135" spans="18:18">
      <c r="R135" s="74">
        <v>60.83</v>
      </c>
    </row>
    <row r="137" spans="18:18">
      <c r="R137" t="s">
        <v>220</v>
      </c>
    </row>
    <row r="138" spans="18:18">
      <c r="R138">
        <v>2250</v>
      </c>
    </row>
    <row r="140" spans="18:18">
      <c r="R140" t="s">
        <v>221</v>
      </c>
    </row>
    <row r="141" spans="18:18">
      <c r="R141" s="74">
        <v>2073.6</v>
      </c>
    </row>
    <row r="143" spans="18:18">
      <c r="R143" t="s">
        <v>222</v>
      </c>
    </row>
    <row r="144" spans="18:18">
      <c r="R144">
        <v>2250</v>
      </c>
    </row>
    <row r="146" spans="18:18">
      <c r="R146" t="s">
        <v>223</v>
      </c>
    </row>
    <row r="147" spans="18:18">
      <c r="R147" s="74">
        <v>2073.6</v>
      </c>
    </row>
    <row r="149" spans="18:18">
      <c r="R149" t="s">
        <v>224</v>
      </c>
    </row>
    <row r="150" spans="18:18">
      <c r="R150">
        <v>90</v>
      </c>
    </row>
    <row r="152" spans="18:18">
      <c r="R152" t="s">
        <v>225</v>
      </c>
    </row>
    <row r="153" spans="18:18">
      <c r="R153">
        <v>90</v>
      </c>
    </row>
    <row r="155" spans="18:18">
      <c r="R155" t="s">
        <v>226</v>
      </c>
    </row>
    <row r="156" spans="18:18">
      <c r="R156">
        <v>115</v>
      </c>
    </row>
    <row r="158" spans="18:18">
      <c r="R158" t="s">
        <v>227</v>
      </c>
    </row>
    <row r="159" spans="18:18">
      <c r="R159">
        <v>115</v>
      </c>
    </row>
    <row r="161" spans="18:18">
      <c r="R161" t="s">
        <v>228</v>
      </c>
    </row>
    <row r="162" spans="18:18">
      <c r="R162">
        <v>160</v>
      </c>
    </row>
    <row r="164" spans="18:18">
      <c r="R164" t="s">
        <v>229</v>
      </c>
    </row>
    <row r="165" spans="18:18">
      <c r="R165">
        <v>160</v>
      </c>
    </row>
    <row r="167" spans="18:18">
      <c r="R167" t="s">
        <v>230</v>
      </c>
    </row>
    <row r="168" spans="18:18">
      <c r="R168">
        <v>160</v>
      </c>
    </row>
    <row r="170" spans="18:18">
      <c r="R170" t="s">
        <v>231</v>
      </c>
    </row>
    <row r="171" spans="18:18">
      <c r="R171">
        <v>160</v>
      </c>
    </row>
    <row r="173" spans="18:18">
      <c r="R173" t="s">
        <v>232</v>
      </c>
    </row>
    <row r="174" spans="18:18">
      <c r="R174">
        <v>130</v>
      </c>
    </row>
    <row r="176" spans="18:18">
      <c r="R176" t="s">
        <v>233</v>
      </c>
    </row>
    <row r="177" spans="18:18">
      <c r="R177" s="74">
        <v>119.8</v>
      </c>
    </row>
    <row r="179" spans="18:18">
      <c r="R179" t="s">
        <v>234</v>
      </c>
    </row>
    <row r="180" spans="18:18">
      <c r="R180">
        <v>130</v>
      </c>
    </row>
    <row r="182" spans="18:18">
      <c r="R182" t="s">
        <v>235</v>
      </c>
    </row>
    <row r="183" spans="18:18">
      <c r="R183" s="74">
        <v>119.8</v>
      </c>
    </row>
    <row r="185" spans="18:18">
      <c r="R185" t="s">
        <v>236</v>
      </c>
    </row>
    <row r="186" spans="18:18">
      <c r="R186">
        <v>300</v>
      </c>
    </row>
    <row r="188" spans="18:18">
      <c r="R188" t="s">
        <v>237</v>
      </c>
    </row>
    <row r="189" spans="18:18">
      <c r="R189" s="75">
        <v>276.48</v>
      </c>
    </row>
    <row r="190" spans="18:18">
      <c r="R190" s="75"/>
    </row>
    <row r="191" spans="18:18">
      <c r="R191" t="s">
        <v>238</v>
      </c>
    </row>
    <row r="192" spans="18:18">
      <c r="R192" s="75">
        <v>500</v>
      </c>
    </row>
    <row r="193" spans="18:18">
      <c r="R193" s="75"/>
    </row>
    <row r="194" spans="18:18">
      <c r="R194" t="s">
        <v>239</v>
      </c>
    </row>
    <row r="195" spans="18:18">
      <c r="R195" s="75">
        <v>471.04</v>
      </c>
    </row>
    <row r="197" spans="18:18">
      <c r="R197" t="s">
        <v>240</v>
      </c>
    </row>
    <row r="198" spans="18:18">
      <c r="R198">
        <v>3750</v>
      </c>
    </row>
    <row r="200" spans="18:18">
      <c r="R200" t="s">
        <v>241</v>
      </c>
    </row>
    <row r="201" spans="18:18">
      <c r="R201">
        <v>3456</v>
      </c>
    </row>
    <row r="203" spans="18:18">
      <c r="R203" t="s">
        <v>242</v>
      </c>
    </row>
    <row r="204" spans="18:18">
      <c r="R204">
        <v>3750</v>
      </c>
    </row>
    <row r="206" spans="18:18">
      <c r="R206" t="s">
        <v>243</v>
      </c>
    </row>
    <row r="207" spans="18:18">
      <c r="R207">
        <v>3456</v>
      </c>
    </row>
    <row r="209" spans="18:18">
      <c r="R209" t="s">
        <v>244</v>
      </c>
    </row>
    <row r="210" spans="18:18">
      <c r="R210">
        <v>6750</v>
      </c>
    </row>
    <row r="212" spans="18:18">
      <c r="R212" t="s">
        <v>245</v>
      </c>
    </row>
    <row r="213" spans="18:18">
      <c r="R213" s="75">
        <v>6220.8</v>
      </c>
    </row>
    <row r="214" spans="18:18">
      <c r="R214" s="75"/>
    </row>
    <row r="215" spans="18:18">
      <c r="R215" t="s">
        <v>246</v>
      </c>
    </row>
    <row r="216" spans="18:18">
      <c r="R216" s="75">
        <v>13500</v>
      </c>
    </row>
    <row r="217" spans="18:18">
      <c r="R217" s="75"/>
    </row>
    <row r="218" spans="18:18">
      <c r="R218" t="s">
        <v>247</v>
      </c>
    </row>
    <row r="219" spans="18:18">
      <c r="R219" s="75">
        <v>12441.6</v>
      </c>
    </row>
    <row r="221" spans="18:18">
      <c r="R221" t="s">
        <v>664</v>
      </c>
    </row>
    <row r="222" spans="18:18">
      <c r="R222">
        <v>220</v>
      </c>
    </row>
    <row r="224" spans="18:18">
      <c r="R224" t="s">
        <v>665</v>
      </c>
    </row>
    <row r="225" spans="18:18">
      <c r="R225" s="74">
        <v>201.73</v>
      </c>
    </row>
    <row r="227" spans="18:18">
      <c r="R227" t="s">
        <v>666</v>
      </c>
    </row>
    <row r="228" spans="18:18">
      <c r="R228">
        <v>300</v>
      </c>
    </row>
    <row r="230" spans="18:18">
      <c r="R230" t="s">
        <v>667</v>
      </c>
    </row>
    <row r="231" spans="18:18">
      <c r="R231">
        <v>264.19200000000001</v>
      </c>
    </row>
    <row r="232" spans="18:18">
      <c r="R232" s="77"/>
    </row>
    <row r="233" spans="18:18">
      <c r="R233" t="s">
        <v>668</v>
      </c>
    </row>
    <row r="234" spans="18:18">
      <c r="R234">
        <v>440</v>
      </c>
    </row>
    <row r="236" spans="18:18">
      <c r="R236" t="s">
        <v>669</v>
      </c>
    </row>
    <row r="237" spans="18:18">
      <c r="R237">
        <v>382.98</v>
      </c>
    </row>
    <row r="239" spans="18:18">
      <c r="R239" t="s">
        <v>670</v>
      </c>
    </row>
    <row r="240" spans="18:18">
      <c r="R240">
        <v>665.59</v>
      </c>
    </row>
    <row r="242" spans="18:18">
      <c r="R242" t="s">
        <v>671</v>
      </c>
    </row>
    <row r="243" spans="18:18">
      <c r="R243">
        <v>740</v>
      </c>
    </row>
    <row r="244" spans="18:18">
      <c r="R244" s="77"/>
    </row>
    <row r="245" spans="18:18">
      <c r="R245" t="s">
        <v>248</v>
      </c>
    </row>
    <row r="246" spans="18:18">
      <c r="R246">
        <v>100</v>
      </c>
    </row>
    <row r="248" spans="18:18">
      <c r="R248" t="s">
        <v>249</v>
      </c>
    </row>
    <row r="249" spans="18:18">
      <c r="R249">
        <v>92.16</v>
      </c>
    </row>
    <row r="251" spans="18:18">
      <c r="R251" t="s">
        <v>250</v>
      </c>
    </row>
    <row r="252" spans="18:18">
      <c r="R252">
        <v>100</v>
      </c>
    </row>
    <row r="254" spans="18:18">
      <c r="R254" t="s">
        <v>251</v>
      </c>
    </row>
    <row r="255" spans="18:18">
      <c r="R255">
        <v>92.16</v>
      </c>
    </row>
    <row r="257" spans="18:18">
      <c r="R257" t="s">
        <v>252</v>
      </c>
    </row>
    <row r="258" spans="18:18">
      <c r="R258">
        <v>200</v>
      </c>
    </row>
    <row r="260" spans="18:18">
      <c r="R260" t="s">
        <v>253</v>
      </c>
    </row>
    <row r="261" spans="18:18">
      <c r="R261" s="74">
        <v>184.32</v>
      </c>
    </row>
    <row r="262" spans="18:18">
      <c r="R262" s="74"/>
    </row>
    <row r="263" spans="18:18">
      <c r="R263" t="s">
        <v>254</v>
      </c>
    </row>
    <row r="264" spans="18:18">
      <c r="R264">
        <v>200</v>
      </c>
    </row>
    <row r="265" spans="18:18">
      <c r="R265" s="74"/>
    </row>
    <row r="266" spans="18:18">
      <c r="R266" t="s">
        <v>255</v>
      </c>
    </row>
    <row r="267" spans="18:18">
      <c r="R267" s="74">
        <v>184.32</v>
      </c>
    </row>
    <row r="269" spans="18:18">
      <c r="R269" t="s">
        <v>256</v>
      </c>
    </row>
    <row r="270" spans="18:18">
      <c r="R270">
        <v>0</v>
      </c>
    </row>
    <row r="271" spans="18:18">
      <c r="R271">
        <v>300</v>
      </c>
    </row>
    <row r="273" spans="18:18">
      <c r="R273" t="s">
        <v>257</v>
      </c>
    </row>
    <row r="274" spans="18:18">
      <c r="R274">
        <v>0</v>
      </c>
    </row>
    <row r="275" spans="18:18">
      <c r="R275" s="74">
        <v>276.48</v>
      </c>
    </row>
    <row r="276" spans="18:18">
      <c r="R276" s="74"/>
    </row>
    <row r="277" spans="18:18">
      <c r="R277" t="s">
        <v>258</v>
      </c>
    </row>
    <row r="278" spans="18:18">
      <c r="R278">
        <v>0</v>
      </c>
    </row>
    <row r="279" spans="18:18">
      <c r="R279">
        <v>300</v>
      </c>
    </row>
    <row r="281" spans="18:18">
      <c r="R281" t="s">
        <v>259</v>
      </c>
    </row>
    <row r="282" spans="18:18">
      <c r="R282">
        <v>0</v>
      </c>
    </row>
    <row r="283" spans="18:18">
      <c r="R283" s="74">
        <v>276.48</v>
      </c>
    </row>
    <row r="284" spans="18:18">
      <c r="R284" s="74"/>
    </row>
    <row r="285" spans="18:18">
      <c r="R285" t="s">
        <v>260</v>
      </c>
    </row>
    <row r="286" spans="18:18">
      <c r="R286">
        <v>0</v>
      </c>
    </row>
    <row r="287" spans="18:18">
      <c r="R287">
        <v>300</v>
      </c>
    </row>
    <row r="289" spans="18:18">
      <c r="R289" t="s">
        <v>261</v>
      </c>
    </row>
    <row r="290" spans="18:18">
      <c r="R290">
        <v>0</v>
      </c>
    </row>
    <row r="291" spans="18:18">
      <c r="R291" s="74">
        <v>276.48</v>
      </c>
    </row>
    <row r="292" spans="18:18">
      <c r="R292" s="74"/>
    </row>
    <row r="293" spans="18:18">
      <c r="R293" t="s">
        <v>262</v>
      </c>
    </row>
    <row r="294" spans="18:18">
      <c r="R294">
        <v>0</v>
      </c>
    </row>
    <row r="295" spans="18:18">
      <c r="R295" s="74">
        <v>276.48</v>
      </c>
    </row>
    <row r="297" spans="18:18">
      <c r="R297" t="s">
        <v>263</v>
      </c>
    </row>
    <row r="298" spans="18:18">
      <c r="R298" s="74">
        <v>300</v>
      </c>
    </row>
    <row r="300" spans="18:18">
      <c r="R300" t="s">
        <v>663</v>
      </c>
    </row>
    <row r="301" spans="18:18">
      <c r="R301">
        <v>3050</v>
      </c>
    </row>
    <row r="303" spans="18:18">
      <c r="R303" t="s">
        <v>264</v>
      </c>
    </row>
    <row r="304" spans="18:18">
      <c r="R304" s="74">
        <v>6736</v>
      </c>
    </row>
    <row r="306" spans="18:18">
      <c r="R306" t="s">
        <v>265</v>
      </c>
    </row>
    <row r="307" spans="18:18">
      <c r="R307">
        <v>3050</v>
      </c>
    </row>
    <row r="309" spans="18:18">
      <c r="R309" t="s">
        <v>266</v>
      </c>
    </row>
    <row r="310" spans="18:18">
      <c r="R310" s="74">
        <v>6736</v>
      </c>
    </row>
    <row r="312" spans="18:18">
      <c r="R312" t="s">
        <v>267</v>
      </c>
    </row>
    <row r="313" spans="18:18">
      <c r="R313">
        <v>6855</v>
      </c>
    </row>
    <row r="315" spans="18:18">
      <c r="R315" t="s">
        <v>268</v>
      </c>
    </row>
    <row r="316" spans="18:18">
      <c r="R316" s="74">
        <v>11356.33</v>
      </c>
    </row>
    <row r="318" spans="18:18">
      <c r="R318" t="s">
        <v>269</v>
      </c>
    </row>
    <row r="319" spans="18:18">
      <c r="R319">
        <v>6855</v>
      </c>
    </row>
    <row r="321" spans="18:18">
      <c r="R321" t="s">
        <v>270</v>
      </c>
    </row>
    <row r="322" spans="18:18">
      <c r="R322" s="74">
        <v>11356.33</v>
      </c>
    </row>
    <row r="324" spans="18:18">
      <c r="R324" t="s">
        <v>271</v>
      </c>
    </row>
    <row r="325" spans="18:18">
      <c r="R325">
        <v>11375</v>
      </c>
    </row>
    <row r="327" spans="18:18">
      <c r="R327" t="s">
        <v>272</v>
      </c>
    </row>
    <row r="328" spans="18:18">
      <c r="R328" s="74">
        <v>16993.38</v>
      </c>
    </row>
    <row r="330" spans="18:18">
      <c r="R330" t="s">
        <v>273</v>
      </c>
    </row>
    <row r="331" spans="18:18">
      <c r="R331">
        <v>11375</v>
      </c>
    </row>
    <row r="333" spans="18:18">
      <c r="R333" t="s">
        <v>274</v>
      </c>
    </row>
    <row r="334" spans="18:18">
      <c r="R334" s="74">
        <v>16993.38</v>
      </c>
    </row>
    <row r="336" spans="18:18">
      <c r="R336" t="s">
        <v>275</v>
      </c>
    </row>
    <row r="337" spans="18:18">
      <c r="R337">
        <v>18325</v>
      </c>
    </row>
    <row r="339" spans="18:18">
      <c r="R339" t="s">
        <v>276</v>
      </c>
    </row>
    <row r="340" spans="18:18">
      <c r="R340" s="74">
        <v>19443.3</v>
      </c>
    </row>
    <row r="342" spans="18:18">
      <c r="R342" t="s">
        <v>277</v>
      </c>
    </row>
    <row r="343" spans="18:18">
      <c r="R343">
        <v>31056</v>
      </c>
    </row>
    <row r="345" spans="18:18">
      <c r="R345" t="s">
        <v>278</v>
      </c>
    </row>
    <row r="346" spans="18:18">
      <c r="R346">
        <v>36636.26</v>
      </c>
    </row>
    <row r="348" spans="18:18">
      <c r="R348" t="s">
        <v>279</v>
      </c>
    </row>
    <row r="349" spans="18:18">
      <c r="R349" s="74">
        <v>50</v>
      </c>
    </row>
    <row r="351" spans="18:18">
      <c r="R351" t="s">
        <v>280</v>
      </c>
    </row>
    <row r="352" spans="18:18">
      <c r="R352">
        <v>65</v>
      </c>
    </row>
    <row r="355" spans="18:18">
      <c r="R355" t="s">
        <v>281</v>
      </c>
    </row>
    <row r="356" spans="18:18">
      <c r="R356" s="74">
        <v>50</v>
      </c>
    </row>
    <row r="358" spans="18:18">
      <c r="R358" t="s">
        <v>282</v>
      </c>
    </row>
    <row r="359" spans="18:18">
      <c r="R359">
        <v>170</v>
      </c>
    </row>
    <row r="360" spans="18:18">
      <c r="R360" s="76"/>
    </row>
    <row r="361" spans="18:18">
      <c r="R361" t="s">
        <v>283</v>
      </c>
    </row>
    <row r="362" spans="18:18">
      <c r="R362" s="74">
        <v>50</v>
      </c>
    </row>
    <row r="364" spans="18:18">
      <c r="R364" t="s">
        <v>284</v>
      </c>
    </row>
    <row r="365" spans="18:18">
      <c r="R365">
        <v>170</v>
      </c>
    </row>
    <row r="366" spans="18:18">
      <c r="R366" s="76"/>
    </row>
    <row r="367" spans="18:18">
      <c r="R367" t="s">
        <v>285</v>
      </c>
    </row>
    <row r="368" spans="18:18">
      <c r="R368" s="74">
        <v>50</v>
      </c>
    </row>
    <row r="370" spans="18:18">
      <c r="R370" t="s">
        <v>286</v>
      </c>
    </row>
    <row r="371" spans="18:18">
      <c r="R371">
        <v>200</v>
      </c>
    </row>
    <row r="372" spans="18:18">
      <c r="R372" s="76"/>
    </row>
    <row r="373" spans="18:18">
      <c r="R373" t="s">
        <v>287</v>
      </c>
    </row>
    <row r="374" spans="18:18">
      <c r="R374" s="74">
        <v>51.2</v>
      </c>
    </row>
    <row r="376" spans="18:18">
      <c r="R376" t="s">
        <v>288</v>
      </c>
    </row>
    <row r="377" spans="18:18">
      <c r="R377">
        <v>66.56</v>
      </c>
    </row>
    <row r="380" spans="18:18">
      <c r="R380" t="s">
        <v>289</v>
      </c>
    </row>
    <row r="381" spans="18:18">
      <c r="R381" s="74">
        <v>51.2</v>
      </c>
    </row>
    <row r="383" spans="18:18">
      <c r="R383" t="s">
        <v>290</v>
      </c>
    </row>
    <row r="384" spans="18:18">
      <c r="R384">
        <v>174.08</v>
      </c>
    </row>
    <row r="385" spans="18:18">
      <c r="R385" s="76"/>
    </row>
    <row r="386" spans="18:18">
      <c r="R386" t="s">
        <v>291</v>
      </c>
    </row>
    <row r="387" spans="18:18">
      <c r="R387" s="74">
        <v>51.2</v>
      </c>
    </row>
    <row r="389" spans="18:18">
      <c r="R389" t="s">
        <v>292</v>
      </c>
    </row>
    <row r="390" spans="18:18">
      <c r="R390">
        <v>174.08</v>
      </c>
    </row>
    <row r="391" spans="18:18">
      <c r="R391" s="76"/>
    </row>
    <row r="392" spans="18:18">
      <c r="R392" t="s">
        <v>293</v>
      </c>
    </row>
    <row r="393" spans="18:18">
      <c r="R393" s="74">
        <v>51.2</v>
      </c>
    </row>
    <row r="395" spans="18:18">
      <c r="R395" t="s">
        <v>294</v>
      </c>
    </row>
    <row r="396" spans="18:18">
      <c r="R396">
        <v>204.8</v>
      </c>
    </row>
    <row r="398" spans="18:18">
      <c r="R398" t="s">
        <v>633</v>
      </c>
    </row>
    <row r="399" spans="18:18">
      <c r="R399" s="74">
        <v>15565</v>
      </c>
    </row>
    <row r="401" spans="18:18">
      <c r="R401" t="s">
        <v>634</v>
      </c>
    </row>
    <row r="402" spans="18:18">
      <c r="R402">
        <v>240</v>
      </c>
    </row>
    <row r="404" spans="18:18">
      <c r="R404" t="s">
        <v>635</v>
      </c>
    </row>
    <row r="405" spans="18:18">
      <c r="R405">
        <v>16998.400000000001</v>
      </c>
    </row>
    <row r="407" spans="18:18">
      <c r="R407" t="s">
        <v>636</v>
      </c>
    </row>
    <row r="408" spans="18:18">
      <c r="R408">
        <v>38880.86</v>
      </c>
    </row>
    <row r="409" spans="18:18">
      <c r="R409" s="77"/>
    </row>
    <row r="410" spans="18:18">
      <c r="R410" t="s">
        <v>637</v>
      </c>
    </row>
    <row r="411" spans="18:18">
      <c r="R411">
        <v>1076.22</v>
      </c>
    </row>
    <row r="413" spans="18:18">
      <c r="R413" t="s">
        <v>638</v>
      </c>
    </row>
    <row r="414" spans="18:18">
      <c r="R414">
        <v>307.2</v>
      </c>
    </row>
    <row r="416" spans="18:18">
      <c r="R416" t="s">
        <v>639</v>
      </c>
    </row>
    <row r="417" spans="18:18">
      <c r="R417">
        <v>276.48</v>
      </c>
    </row>
    <row r="419" spans="18:18">
      <c r="R419" t="s">
        <v>640</v>
      </c>
    </row>
    <row r="420" spans="18:18">
      <c r="R420">
        <v>51.2</v>
      </c>
    </row>
    <row r="422" spans="18:18">
      <c r="R422" t="s">
        <v>641</v>
      </c>
    </row>
    <row r="423" spans="18:18">
      <c r="R423">
        <v>204.8</v>
      </c>
    </row>
    <row r="425" spans="18:18">
      <c r="R425" t="s">
        <v>642</v>
      </c>
    </row>
    <row r="426" spans="18:18">
      <c r="R426">
        <v>471.04</v>
      </c>
    </row>
    <row r="854" spans="18:18">
      <c r="R854" s="74"/>
    </row>
    <row r="860" spans="18:18">
      <c r="R860" s="74"/>
    </row>
    <row r="866" spans="18:18">
      <c r="R866" s="74"/>
    </row>
    <row r="872" spans="18:18">
      <c r="R872" s="74"/>
    </row>
    <row r="878" spans="18:18">
      <c r="R878" s="74"/>
    </row>
    <row r="884" spans="18:18">
      <c r="R884" s="74"/>
    </row>
    <row r="890" spans="18:18">
      <c r="R890" s="74"/>
    </row>
    <row r="891" spans="18:18">
      <c r="R891" s="74"/>
    </row>
    <row r="902" spans="18:18">
      <c r="R902" s="74"/>
    </row>
    <row r="908" spans="18:18">
      <c r="R908" s="74"/>
    </row>
    <row r="914" spans="18:18">
      <c r="R914" s="74"/>
    </row>
    <row r="920" spans="18:18">
      <c r="R920" s="74"/>
    </row>
    <row r="926" spans="18:18">
      <c r="R926" s="74"/>
    </row>
    <row r="932" spans="18:18">
      <c r="R932" s="74"/>
    </row>
    <row r="938" spans="18:18">
      <c r="R938" s="74"/>
    </row>
    <row r="950" spans="18:18">
      <c r="R950" s="74"/>
    </row>
    <row r="956" spans="18:18">
      <c r="R956" s="74"/>
    </row>
    <row r="962" spans="18:18">
      <c r="R962" s="74"/>
    </row>
    <row r="968" spans="18:18">
      <c r="R968" s="74"/>
    </row>
    <row r="974" spans="18:18">
      <c r="R974" s="74"/>
    </row>
    <row r="980" spans="18:18">
      <c r="R980" s="74"/>
    </row>
    <row r="986" spans="18:18">
      <c r="R986" s="74"/>
    </row>
  </sheetData>
  <dataConsolidate link="1"/>
  <dataValidations xWindow="544" yWindow="518" count="25">
    <dataValidation type="list" allowBlank="1" showInputMessage="1" showErrorMessage="1" prompt="Select if NBIVES is used." sqref="C27" xr:uid="{36D61624-6A0C-4621-85A2-F3BC84D1ED70}">
      <formula1>"Not used,Used"</formula1>
    </dataValidation>
    <dataValidation type="list" allowBlank="1" showInputMessage="1" showErrorMessage="1" prompt="Select if NetGuard is used." sqref="C26" xr:uid="{1F7F5698-66D3-4286-A738-AE1D4C71C375}">
      <formula1>"Not used,Used"</formula1>
    </dataValidation>
    <dataValidation type="list" allowBlank="1" showInputMessage="1" showErrorMessage="1" prompt="Backup size in GB (VM root disks and data)" sqref="C9" xr:uid="{4FD14239-C3D6-464D-9A68-EBC597EEEEBC}">
      <formula1>INDIRECT(CONCATENATE(IF($C$4="3XL","XXXL",$C$4),$B$5,C5,$B$9,$C$2,SUBSTITUTE(C3,"Release ","")))</formula1>
    </dataValidation>
    <dataValidation type="list" allowBlank="1" showInputMessage="1" showErrorMessage="1" prompt="Archive in GB" sqref="C8" xr:uid="{58ECE8FF-CD36-4511-9946-4E87A994F1A7}">
      <formula1>INDIRECT(CONCATENATE(IF($C$4="3XL","XXXL",$C$4),$B$5,C5,$B$8))</formula1>
    </dataValidation>
    <dataValidation type="list" allowBlank="1" showInputMessage="1" showErrorMessage="1" prompt="Redo in GB" sqref="C7" xr:uid="{8EB253DB-2942-429B-94F0-077FA9D5A03A}">
      <formula1>INDIRECT(CONCATENATE(IF($C$4="3XL","XXXL",$C$4),$B$5,C5,$B$7))</formula1>
    </dataValidation>
    <dataValidation type="list" allowBlank="1" showInputMessage="1" showErrorMessage="1" prompt="Oracle DB VM vRAM in GB" sqref="C6" xr:uid="{21CE8FDD-C74E-4FD7-BADC-9EA5824962E1}">
      <formula1>INDIRECT(CONCATENATE(IF($C$4="3XL","XXXL",$C$4),$B$5,$C$5,$B$6))</formula1>
    </dataValidation>
    <dataValidation type="list" allowBlank="1" showInputMessage="1" showErrorMessage="1" prompt="DB size:_x000a_- standard_x000a_- customized_x000a_- XL large" sqref="C5" xr:uid="{495AA060-C236-46BA-8B11-7A117CF7209A}">
      <formula1>INDIRECT(CONCATENATE(IF($C$4="3XL","XXXL",$C$4),$B$5,$C$2))</formula1>
    </dataValidation>
    <dataValidation type="list" allowBlank="1" showInputMessage="1" showErrorMessage="1" prompt="Ext Rep size in GB" sqref="C12" xr:uid="{F26D7DE5-01FB-443B-A68C-DC741368EA03}">
      <formula1>INDIRECT(CONCATENATE(IF($C$4="3XL","XXXL",$C$4),$B$12,SUBSTITUTE(C3,"Release ",""),C2))</formula1>
    </dataValidation>
    <dataValidation type="list" allowBlank="1" showInputMessage="1" showErrorMessage="1" prompt="Ext Rep size in GB" sqref="C11" xr:uid="{F9CB3E08-1E01-4D55-AB96-CBB259316FC1}">
      <formula1>INDIRECT(CONCATENATE(IF($C$4="3XL","XXXL",$C$4),$B$11,SUBSTITUTE(C3,"Release ",""),C2))</formula1>
    </dataValidation>
    <dataValidation type="list" allowBlank="1" showInputMessage="1" showErrorMessage="1" prompt="Global size in GB" sqref="C10" xr:uid="{CE9CE8FB-6078-4B9E-A549-5778B0A7C38F}">
      <formula1>INDIRECT(CONCATENATE(IF($C$4="3XL","XXXL",$C$4),$B$10,SUBSTITUTE(C3,"Release ",""),C2))</formula1>
    </dataValidation>
    <dataValidation type="list" allowBlank="1" showInputMessage="1" showErrorMessage="1" prompt="Number of additional node managers" sqref="C19" xr:uid="{C5284B4C-EC7A-411C-A2F9-AC8FB5027B92}">
      <formula1>INDIRECT(CONCATENATE(IF($C$4="3XL","XXXL",$C$4),"Users"))</formula1>
    </dataValidation>
    <dataValidation type="list" allowBlank="1" showInputMessage="1" showErrorMessage="1" prompt="Select NetAct configuration" sqref="C4" xr:uid="{57FD905B-CA53-4165-84B1-2B9FDF9D242F}">
      <formula1>INDIRECT(CONCATENATE($C$2,SUBSTITUTE($C$3,"Release ","")))</formula1>
    </dataValidation>
    <dataValidation type="list" allowBlank="1" showInputMessage="1" showErrorMessage="1" prompt="Select if Alcatel-Lucent LTE mediation is used." sqref="C24" xr:uid="{15DC0A5A-15BF-4353-AA73-1AE04E85EFA9}">
      <formula1>"Not used,Used"</formula1>
    </dataValidation>
    <dataValidation type="list" allowBlank="1" showInputMessage="1" showErrorMessage="1" prompt="Select if Network 360 is used." sqref="C25" xr:uid="{59EB75F4-1D37-4172-8443-7F9901CE0471}">
      <formula1>"Not used,Used"</formula1>
    </dataValidation>
    <dataValidation type="list" allowBlank="1" showInputMessage="1" showErrorMessage="1" prompt="Select if BTS mediation is used." sqref="C23" xr:uid="{7245D9B8-5C16-4517-ABE8-E25FC7888033}">
      <formula1>INDIRECT(CONCATENATE($B$23,$C$2))</formula1>
    </dataValidation>
    <dataValidation type="list" allowBlank="1" showInputMessage="1" showErrorMessage="1" prompt="Select stack" sqref="C2" xr:uid="{3BDD5BCE-E640-4FF8-88EF-862EBDA1E362}">
      <formula1>"Vmware,OpenStack"</formula1>
    </dataValidation>
    <dataValidation type="list" allowBlank="1" showInputMessage="1" showErrorMessage="1" prompt="Select release" sqref="C3" xr:uid="{500237E4-B0CD-42D8-88E2-E6CD51F9EA48}">
      <formula1>"Release 22"</formula1>
    </dataValidation>
    <dataValidation allowBlank="1" showInputMessage="1" showErrorMessage="1" prompt="Select NetAct configuration" sqref="D15" xr:uid="{C3642DC2-6F77-4D67-BA49-3D13B91A1B03}"/>
    <dataValidation type="list" allowBlank="1" showInputMessage="1" showErrorMessage="1" prompt="Select if T&amp;P is used." sqref="C18" xr:uid="{AF707C83-3718-4A84-922B-B9ACF5410C2F}">
      <formula1>"Not used,Used"</formula1>
    </dataValidation>
    <dataValidation type="list" allowBlank="1" showInputMessage="1" showErrorMessage="1" prompt="Select if Security Log interface is used." sqref="C20" xr:uid="{D8681EB7-6641-4525-B051-0453B94AE89A}">
      <formula1>"Not used,Used"</formula1>
    </dataValidation>
    <dataValidation type="list" allowBlank="1" showInputMessage="1" showErrorMessage="1" prompt="Select if Single RAN is used." sqref="C21" xr:uid="{6835F336-6F5C-462B-8536-4273F069CE56}">
      <formula1>"Not Used"</formula1>
    </dataValidation>
    <dataValidation type="list" allowBlank="1" showInputMessage="1" showErrorMessage="1" prompt="Select if CLS is used." sqref="C22" xr:uid="{841EA57A-D656-405A-AF56-BAE38D642667}">
      <formula1>"Not used,Used"</formula1>
    </dataValidation>
    <dataValidation type="list" allowBlank="1" showInputMessage="1" showErrorMessage="1" prompt="ADM size in GB" sqref="C13" xr:uid="{756214FE-7F83-4C43-9F99-D78AFAB2AE19}">
      <formula1>INDIRECT(CONCATENATE(IF($C$4="3XL","XXXL",$C$4),$B$13,SUBSTITUTE(C3,"Release ",""),C2))</formula1>
    </dataValidation>
    <dataValidation type="list" allowBlank="1" showInputMessage="1" showErrorMessage="1" prompt="ISDK size in GB" sqref="C14" xr:uid="{09E5CA5A-CF23-4161-8DEC-99C2090D0338}">
      <formula1>INDIRECT(CONCATENATE(IF($C$4="3XL","XXXL",$C$4),$B$14,SUBSTITUTE(C3,"Release ",""),C2))</formula1>
    </dataValidation>
    <dataValidation type="list" allowBlank="1" showInputMessage="1" showErrorMessage="1" prompt="Select if Graylog is used." sqref="C28" xr:uid="{ACF098E3-6028-413F-BB7F-5AE81ED5D843}">
      <formula1>"Not used,Used"</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topLeftCell="A3" workbookViewId="0">
      <selection activeCell="A9" sqref="A9"/>
    </sheetView>
  </sheetViews>
  <sheetFormatPr defaultRowHeight="15"/>
  <cols>
    <col min="1" max="1" width="15.42578125" customWidth="1"/>
    <col min="2" max="2" width="20.140625" customWidth="1"/>
    <col min="3" max="3" width="19" bestFit="1" customWidth="1"/>
  </cols>
  <sheetData>
    <row r="1" spans="1:6">
      <c r="A1" s="215" t="s">
        <v>4</v>
      </c>
      <c r="B1" s="215"/>
      <c r="C1" s="215"/>
      <c r="D1" s="215"/>
      <c r="E1" s="215"/>
      <c r="F1" s="216"/>
    </row>
    <row r="3" spans="1:6">
      <c r="A3" s="32" t="s">
        <v>295</v>
      </c>
    </row>
    <row r="4" spans="1:6" s="33" customFormat="1">
      <c r="A4" s="33" t="s">
        <v>296</v>
      </c>
    </row>
    <row r="5" spans="1:6">
      <c r="A5" s="33" t="s">
        <v>297</v>
      </c>
    </row>
    <row r="6" spans="1:6">
      <c r="A6" s="150" t="s">
        <v>298</v>
      </c>
    </row>
    <row r="7" spans="1:6">
      <c r="A7" s="32" t="s">
        <v>301</v>
      </c>
    </row>
    <row r="8" spans="1:6">
      <c r="A8" s="32"/>
    </row>
    <row r="9" spans="1:6">
      <c r="A9" s="32" t="s">
        <v>680</v>
      </c>
      <c r="C9" s="103"/>
    </row>
    <row r="10" spans="1:6">
      <c r="A10" s="32" t="s">
        <v>299</v>
      </c>
      <c r="B10">
        <v>4.5</v>
      </c>
    </row>
    <row r="11" spans="1:6">
      <c r="A11" s="32" t="s">
        <v>160</v>
      </c>
      <c r="B11">
        <v>4.5</v>
      </c>
    </row>
    <row r="12" spans="1:6">
      <c r="A12" s="32" t="s">
        <v>630</v>
      </c>
      <c r="B12">
        <v>2.5</v>
      </c>
      <c r="C12" s="103"/>
    </row>
    <row r="13" spans="1:6">
      <c r="A13" s="32" t="s">
        <v>161</v>
      </c>
      <c r="B13">
        <v>3</v>
      </c>
    </row>
    <row r="14" spans="1:6">
      <c r="A14" s="32" t="s">
        <v>164</v>
      </c>
      <c r="B14">
        <v>3</v>
      </c>
    </row>
    <row r="15" spans="1:6">
      <c r="A15" s="32" t="s">
        <v>631</v>
      </c>
      <c r="B15">
        <v>3</v>
      </c>
    </row>
    <row r="16" spans="1:6">
      <c r="A16" s="32" t="s">
        <v>106</v>
      </c>
      <c r="B16">
        <v>2.5</v>
      </c>
    </row>
    <row r="17" spans="1:2">
      <c r="A17" s="32" t="s">
        <v>300</v>
      </c>
      <c r="B17">
        <v>1.5</v>
      </c>
    </row>
  </sheetData>
  <mergeCells count="1">
    <mergeCell ref="A1: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BC2B3-CC36-49B6-A4CC-CBDF08F75F33}">
  <dimension ref="A1:AX140"/>
  <sheetViews>
    <sheetView topLeftCell="A3" zoomScale="85" zoomScaleNormal="85" zoomScalePageLayoutView="70" workbookViewId="0">
      <selection activeCell="F11" sqref="F11"/>
    </sheetView>
  </sheetViews>
  <sheetFormatPr defaultColWidth="8.5703125" defaultRowHeight="12.75"/>
  <cols>
    <col min="1" max="1" width="52.42578125" style="3" customWidth="1"/>
    <col min="2" max="2" width="15" style="3" customWidth="1"/>
    <col min="3" max="3" width="16" style="3" customWidth="1"/>
    <col min="4" max="4" width="10.140625" style="3" customWidth="1"/>
    <col min="5" max="5" width="56" style="3" customWidth="1"/>
    <col min="6" max="7" width="8.5703125" style="3"/>
    <col min="8" max="8" width="21.42578125" style="3" customWidth="1"/>
    <col min="9" max="10" width="8.5703125" style="3"/>
    <col min="11" max="11" width="27.85546875" style="3" customWidth="1"/>
    <col min="12" max="12" width="8.5703125" style="3"/>
    <col min="13" max="13" width="10.42578125" style="3" customWidth="1"/>
    <col min="14" max="14" width="8.5703125" style="3"/>
    <col min="15" max="15" width="10.42578125" style="3" customWidth="1"/>
    <col min="16" max="16" width="8.5703125" style="3"/>
    <col min="17" max="17" width="10.42578125" style="3" customWidth="1"/>
    <col min="18" max="18" width="8.5703125" style="3"/>
    <col min="19" max="19" width="10.42578125" style="3" customWidth="1"/>
    <col min="20" max="20" width="11.85546875" style="3" customWidth="1"/>
    <col min="21" max="21" width="10.42578125" style="3" customWidth="1"/>
    <col min="22" max="22" width="8.5703125" style="3"/>
    <col min="23" max="23" width="10.42578125" style="3" customWidth="1"/>
    <col min="24" max="24" width="12.140625" style="3" customWidth="1"/>
    <col min="25" max="26" width="10.42578125" style="3" customWidth="1"/>
    <col min="27" max="31" width="13.42578125" style="3" customWidth="1"/>
    <col min="32" max="33" width="13.42578125" style="156" customWidth="1"/>
    <col min="34" max="34" width="19.42578125" style="3" customWidth="1"/>
    <col min="35" max="35" width="13.42578125" style="3" customWidth="1"/>
    <col min="36" max="36" width="22" style="3" customWidth="1"/>
    <col min="37" max="37" width="12.42578125" style="3" customWidth="1"/>
    <col min="38" max="38" width="13.42578125" style="3" customWidth="1"/>
    <col min="39" max="41" width="8.5703125" style="3"/>
    <col min="42" max="42" width="21.5703125" style="3" customWidth="1"/>
    <col min="43" max="49" width="8.5703125" style="3"/>
    <col min="50" max="50" width="11.140625" style="3" customWidth="1"/>
    <col min="51" max="16384" width="8.5703125" style="3"/>
  </cols>
  <sheetData>
    <row r="1" spans="1:50">
      <c r="A1" s="215" t="s">
        <v>4</v>
      </c>
      <c r="B1" s="215"/>
      <c r="C1" s="215"/>
      <c r="D1" s="215"/>
      <c r="E1" s="216"/>
      <c r="F1" s="60" t="s">
        <v>707</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H1" s="156"/>
      <c r="AI1" s="156"/>
      <c r="AJ1" s="156"/>
      <c r="AK1" s="156"/>
      <c r="AL1" s="156"/>
      <c r="AM1" s="156"/>
      <c r="AN1" s="156"/>
      <c r="AO1" s="156"/>
      <c r="AP1" s="156"/>
      <c r="AQ1" s="156"/>
      <c r="AR1" s="156"/>
      <c r="AS1" s="156"/>
      <c r="AT1" s="156"/>
      <c r="AU1" s="156"/>
      <c r="AV1" s="156"/>
      <c r="AW1" s="156"/>
      <c r="AX1" s="156"/>
    </row>
    <row r="2" spans="1:50">
      <c r="A2" s="155"/>
      <c r="B2" s="155"/>
      <c r="C2" s="155"/>
      <c r="D2" s="155"/>
      <c r="E2" s="156"/>
      <c r="F2" s="156"/>
      <c r="G2" s="156"/>
      <c r="H2" s="156"/>
      <c r="I2" s="156"/>
      <c r="J2" s="156"/>
      <c r="K2" s="156"/>
      <c r="L2" s="156"/>
      <c r="M2" s="156"/>
      <c r="N2" s="156"/>
      <c r="O2" s="156"/>
      <c r="P2" s="156"/>
      <c r="Q2" s="156"/>
      <c r="R2" s="156"/>
      <c r="S2" s="156"/>
      <c r="T2" s="156"/>
      <c r="U2" s="156"/>
      <c r="V2" s="156"/>
      <c r="W2" s="156"/>
      <c r="X2" s="156"/>
      <c r="Y2" s="156"/>
      <c r="Z2" s="156"/>
      <c r="AA2" s="156"/>
      <c r="AB2" s="156"/>
      <c r="AC2" s="156"/>
      <c r="AD2" s="156"/>
      <c r="AE2" s="156"/>
      <c r="AH2" s="156"/>
      <c r="AI2" s="156"/>
      <c r="AJ2" s="156"/>
      <c r="AK2" s="156"/>
      <c r="AL2" s="156"/>
      <c r="AM2" s="156"/>
      <c r="AN2" s="156"/>
      <c r="AO2" s="156"/>
      <c r="AP2" s="156"/>
      <c r="AQ2" s="156"/>
      <c r="AR2" s="156"/>
      <c r="AS2" s="156"/>
      <c r="AT2" s="156"/>
      <c r="AU2" s="156"/>
      <c r="AV2" s="156"/>
      <c r="AW2" s="156"/>
      <c r="AX2" s="156"/>
    </row>
    <row r="3" spans="1:50" ht="15">
      <c r="A3" s="225" t="s">
        <v>632</v>
      </c>
      <c r="B3" s="225"/>
      <c r="C3" s="160"/>
      <c r="D3" s="156" t="s">
        <v>304</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H3" s="156"/>
      <c r="AI3" s="156"/>
      <c r="AJ3" s="156"/>
      <c r="AK3" s="156"/>
      <c r="AL3" s="156"/>
      <c r="AM3" s="156"/>
      <c r="AN3" s="156"/>
      <c r="AO3" s="156"/>
      <c r="AP3" s="156"/>
      <c r="AQ3" s="156"/>
      <c r="AR3" s="156"/>
      <c r="AS3" s="156"/>
      <c r="AT3" s="156"/>
      <c r="AU3" s="156"/>
      <c r="AV3" s="156"/>
      <c r="AW3" s="156"/>
      <c r="AX3" s="156"/>
    </row>
    <row r="4" spans="1:50">
      <c r="A4" s="225" t="s">
        <v>303</v>
      </c>
      <c r="B4" s="225"/>
      <c r="C4" s="156" t="s">
        <v>306</v>
      </c>
      <c r="D4" s="156"/>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H4" s="156"/>
      <c r="AI4" s="156"/>
      <c r="AJ4" s="156"/>
      <c r="AK4" s="156"/>
      <c r="AL4" s="156"/>
      <c r="AM4" s="156"/>
      <c r="AN4" s="156"/>
      <c r="AO4" s="156"/>
      <c r="AP4" s="156"/>
      <c r="AQ4" s="156"/>
      <c r="AR4" s="156"/>
      <c r="AS4" s="156"/>
      <c r="AT4" s="156"/>
      <c r="AU4" s="156"/>
      <c r="AV4" s="156"/>
      <c r="AW4" s="156"/>
      <c r="AX4" s="156"/>
    </row>
    <row r="5" spans="1:50">
      <c r="A5" s="225" t="s">
        <v>305</v>
      </c>
      <c r="B5" s="225"/>
      <c r="C5" s="156" t="s">
        <v>646</v>
      </c>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H5" s="156"/>
      <c r="AI5" s="156"/>
      <c r="AJ5" s="156"/>
      <c r="AK5" s="156"/>
      <c r="AL5" s="156"/>
      <c r="AM5" s="156"/>
      <c r="AN5" s="156"/>
      <c r="AO5" s="156"/>
      <c r="AP5" s="156"/>
      <c r="AQ5" s="156"/>
      <c r="AR5" s="156"/>
      <c r="AS5" s="156"/>
      <c r="AT5" s="156"/>
      <c r="AU5" s="156"/>
      <c r="AV5" s="156"/>
      <c r="AW5" s="156"/>
      <c r="AX5" s="156"/>
    </row>
    <row r="6" spans="1:50">
      <c r="A6" s="156"/>
      <c r="B6" s="156"/>
      <c r="C6" s="156" t="s">
        <v>645</v>
      </c>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H6" s="156"/>
      <c r="AI6" s="156"/>
      <c r="AJ6" s="156"/>
      <c r="AK6" s="156"/>
      <c r="AL6" s="156"/>
      <c r="AM6" s="156"/>
      <c r="AN6" s="156"/>
      <c r="AO6" s="7" t="s">
        <v>308</v>
      </c>
      <c r="AP6" s="7"/>
      <c r="AQ6" s="156"/>
      <c r="AR6" s="156" t="s">
        <v>309</v>
      </c>
      <c r="AS6" s="156">
        <v>0.9</v>
      </c>
      <c r="AT6" s="156"/>
      <c r="AU6" s="156"/>
      <c r="AV6" s="156"/>
      <c r="AW6" s="156"/>
      <c r="AX6" s="156"/>
    </row>
    <row r="7" spans="1:50" ht="25.5">
      <c r="A7" s="5" t="s">
        <v>160</v>
      </c>
      <c r="B7" s="5" t="s">
        <v>310</v>
      </c>
      <c r="C7" s="5" t="s">
        <v>311</v>
      </c>
      <c r="D7" s="5" t="s">
        <v>312</v>
      </c>
      <c r="E7" s="5" t="s">
        <v>313</v>
      </c>
      <c r="F7" s="4" t="s">
        <v>103</v>
      </c>
      <c r="G7" s="4" t="s">
        <v>109</v>
      </c>
      <c r="H7" s="4" t="s">
        <v>314</v>
      </c>
      <c r="I7" s="4" t="s">
        <v>113</v>
      </c>
      <c r="J7" s="4" t="s">
        <v>315</v>
      </c>
      <c r="K7" s="4" t="s">
        <v>316</v>
      </c>
      <c r="L7" s="4" t="s">
        <v>118</v>
      </c>
      <c r="M7" s="4" t="s">
        <v>316</v>
      </c>
      <c r="N7" s="4" t="s">
        <v>20</v>
      </c>
      <c r="O7" s="4" t="s">
        <v>316</v>
      </c>
      <c r="P7" s="4" t="s">
        <v>122</v>
      </c>
      <c r="Q7" s="4" t="s">
        <v>316</v>
      </c>
      <c r="R7" s="4" t="s">
        <v>130</v>
      </c>
      <c r="S7" s="4" t="s">
        <v>316</v>
      </c>
      <c r="T7" s="4" t="s">
        <v>137</v>
      </c>
      <c r="U7" s="4" t="s">
        <v>316</v>
      </c>
      <c r="V7" s="4" t="s">
        <v>126</v>
      </c>
      <c r="W7" s="4" t="s">
        <v>316</v>
      </c>
      <c r="X7" s="4" t="s">
        <v>317</v>
      </c>
      <c r="Y7" s="4" t="s">
        <v>316</v>
      </c>
      <c r="Z7" s="4" t="s">
        <v>318</v>
      </c>
      <c r="AA7" s="4" t="s">
        <v>316</v>
      </c>
      <c r="AB7" s="4" t="s">
        <v>319</v>
      </c>
      <c r="AC7" s="4" t="s">
        <v>316</v>
      </c>
      <c r="AD7" s="4" t="s">
        <v>320</v>
      </c>
      <c r="AE7" s="4" t="s">
        <v>316</v>
      </c>
      <c r="AF7" s="4" t="s">
        <v>692</v>
      </c>
      <c r="AG7" s="4" t="s">
        <v>316</v>
      </c>
      <c r="AH7" s="95" t="s">
        <v>321</v>
      </c>
      <c r="AI7" s="4" t="s">
        <v>316</v>
      </c>
      <c r="AJ7" s="4" t="s">
        <v>322</v>
      </c>
      <c r="AK7" s="4" t="s">
        <v>323</v>
      </c>
      <c r="AL7" s="4" t="s">
        <v>324</v>
      </c>
      <c r="AM7" s="156"/>
      <c r="AN7" s="156"/>
      <c r="AO7" s="4" t="s">
        <v>109</v>
      </c>
      <c r="AP7" s="4" t="s">
        <v>314</v>
      </c>
      <c r="AQ7" s="4" t="s">
        <v>113</v>
      </c>
      <c r="AR7" s="4" t="s">
        <v>118</v>
      </c>
      <c r="AS7" s="4" t="s">
        <v>20</v>
      </c>
      <c r="AT7" s="4" t="s">
        <v>122</v>
      </c>
      <c r="AU7" s="4" t="s">
        <v>130</v>
      </c>
      <c r="AV7" s="4" t="s">
        <v>137</v>
      </c>
      <c r="AW7" s="4" t="s">
        <v>126</v>
      </c>
      <c r="AX7" s="4" t="s">
        <v>317</v>
      </c>
    </row>
    <row r="8" spans="1:50">
      <c r="A8" s="156" t="s">
        <v>325</v>
      </c>
      <c r="B8" s="152"/>
      <c r="C8" s="156"/>
      <c r="D8" s="156" t="s">
        <v>453</v>
      </c>
      <c r="E8" s="156" t="s">
        <v>8</v>
      </c>
      <c r="F8" s="152">
        <v>4</v>
      </c>
      <c r="G8" s="152">
        <v>4</v>
      </c>
      <c r="H8" s="152">
        <v>0</v>
      </c>
      <c r="I8" s="152">
        <v>350</v>
      </c>
      <c r="J8" s="152">
        <f>G8-H8</f>
        <v>4</v>
      </c>
      <c r="K8" s="152" t="s">
        <v>327</v>
      </c>
      <c r="L8" s="152"/>
      <c r="M8" s="152"/>
      <c r="N8" s="152"/>
      <c r="O8" s="152"/>
      <c r="P8" s="152"/>
      <c r="Q8" s="152"/>
      <c r="R8" s="152"/>
      <c r="S8" s="152"/>
      <c r="T8" s="152"/>
      <c r="U8" s="152"/>
      <c r="V8" s="152"/>
      <c r="W8" s="152"/>
      <c r="X8" s="152"/>
      <c r="Y8" s="152"/>
      <c r="Z8" s="152"/>
      <c r="AA8" s="152"/>
      <c r="AB8" s="152"/>
      <c r="AC8" s="152"/>
      <c r="AD8" s="152"/>
      <c r="AE8" s="152"/>
      <c r="AF8" s="179"/>
      <c r="AG8" s="179"/>
      <c r="AH8" s="152"/>
      <c r="AI8" s="152"/>
      <c r="AJ8" s="152" t="s">
        <v>328</v>
      </c>
      <c r="AK8" s="152" t="s">
        <v>329</v>
      </c>
      <c r="AL8" s="152"/>
      <c r="AM8" s="156"/>
      <c r="AN8" s="156"/>
      <c r="AO8" s="156">
        <f t="shared" ref="AO8:AO31" si="0">IF(ISBLANK($A8),,G8*1.024)</f>
        <v>4.0960000000000001</v>
      </c>
      <c r="AP8" s="156">
        <f t="shared" ref="AP8:AP31" si="1">IF(ISBLANK($A8),,H8*1.024)</f>
        <v>0</v>
      </c>
      <c r="AQ8" s="156">
        <f>IF(ISBLANK($A8),,ROUNDDOWN(I8*AS6*1.024,))</f>
        <v>322</v>
      </c>
      <c r="AR8" s="156">
        <f>IF(ISBLANK($A8),,ROUNDDOWN(L8*AS6*1.024,))</f>
        <v>0</v>
      </c>
      <c r="AS8" s="156">
        <f>IF(ISBLANK($A8),,ROUNDDOWN(N8*AS6*1.024,))</f>
        <v>0</v>
      </c>
      <c r="AT8" s="156">
        <f>IF(ISBLANK($A8),,ROUNDDOWN(P8*AS6*1.024,))</f>
        <v>0</v>
      </c>
      <c r="AU8" s="156">
        <f>IF(ISBLANK($A8),,ROUNDDOWN(R8*AS6*1.024,))</f>
        <v>0</v>
      </c>
      <c r="AV8" s="156">
        <f>IF(ISBLANK($A8),,ROUNDDOWN(T8*AS$6*1.024,))</f>
        <v>0</v>
      </c>
      <c r="AW8" s="156">
        <f>IF(ISBLANK($A8),,ROUNDDOWN(V8*AS6*1.024,))</f>
        <v>0</v>
      </c>
      <c r="AX8" s="156">
        <f>IF(ISBLANK($A8),,ROUNDDOWN(X8*AS6*1.024,))</f>
        <v>0</v>
      </c>
    </row>
    <row r="9" spans="1:50">
      <c r="A9" s="156" t="s">
        <v>330</v>
      </c>
      <c r="B9" s="152"/>
      <c r="C9" s="156"/>
      <c r="D9" s="160" t="str">
        <f>IF(E9="vCSA7.0","VPOS3.0", "VPL1.0")</f>
        <v>VPOS3.0</v>
      </c>
      <c r="E9" s="160" t="s">
        <v>644</v>
      </c>
      <c r="F9" s="152">
        <v>4</v>
      </c>
      <c r="G9" s="143">
        <f>IF(E9="vCSA7.0",12, 10)</f>
        <v>12</v>
      </c>
      <c r="H9" s="152">
        <v>0</v>
      </c>
      <c r="I9" s="143">
        <f>IF(E9="vCSA7.0",450, 250)</f>
        <v>450</v>
      </c>
      <c r="J9" s="152">
        <v>25</v>
      </c>
      <c r="K9" s="152" t="s">
        <v>327</v>
      </c>
      <c r="L9" s="152"/>
      <c r="M9" s="152"/>
      <c r="N9" s="152"/>
      <c r="O9" s="152"/>
      <c r="P9" s="152"/>
      <c r="Q9" s="152"/>
      <c r="R9" s="152"/>
      <c r="S9" s="152"/>
      <c r="T9" s="152"/>
      <c r="U9" s="152"/>
      <c r="V9" s="152"/>
      <c r="W9" s="152"/>
      <c r="X9" s="152"/>
      <c r="Y9" s="152"/>
      <c r="Z9" s="152"/>
      <c r="AA9" s="152"/>
      <c r="AB9" s="152"/>
      <c r="AC9" s="152"/>
      <c r="AD9" s="152"/>
      <c r="AE9" s="152"/>
      <c r="AF9" s="179"/>
      <c r="AG9" s="179"/>
      <c r="AH9" s="152"/>
      <c r="AI9" s="152"/>
      <c r="AJ9" s="152" t="s">
        <v>328</v>
      </c>
      <c r="AK9" s="152" t="s">
        <v>329</v>
      </c>
      <c r="AL9" s="152"/>
      <c r="AM9" s="156"/>
      <c r="AN9" s="156"/>
      <c r="AO9" s="156">
        <f t="shared" si="0"/>
        <v>12.288</v>
      </c>
      <c r="AP9" s="156">
        <f t="shared" si="1"/>
        <v>0</v>
      </c>
      <c r="AQ9" s="156">
        <f>IF(ISBLANK($A9),,ROUNDDOWN(I9*AS6*1.024,))</f>
        <v>414</v>
      </c>
      <c r="AR9" s="156">
        <f>IF(ISBLANK($A9),,ROUNDDOWN(L9*AS6*1.024,))</f>
        <v>0</v>
      </c>
      <c r="AS9" s="156">
        <f>IF(ISBLANK($A9),,ROUNDDOWN(N9*AS6*1.024,))</f>
        <v>0</v>
      </c>
      <c r="AT9" s="156">
        <f>IF(ISBLANK($A9),,ROUNDDOWN(P9*AS6*1.024,))</f>
        <v>0</v>
      </c>
      <c r="AU9" s="156">
        <f>IF(ISBLANK($A9),,ROUNDDOWN(R9*AS6*1.024,))</f>
        <v>0</v>
      </c>
      <c r="AV9" s="156">
        <f t="shared" ref="AV9:AV31" si="2">IF(ISBLANK($A9),,ROUNDDOWN(T9*AS$6*1.024,))</f>
        <v>0</v>
      </c>
      <c r="AW9" s="156">
        <f>IF(ISBLANK($A9),,ROUNDDOWN(V9*AS6*1.024,))</f>
        <v>0</v>
      </c>
      <c r="AX9" s="156">
        <f>IF(ISBLANK($A9),,ROUNDDOWN(X9*AS6*1.024,))</f>
        <v>0</v>
      </c>
    </row>
    <row r="10" spans="1:50">
      <c r="A10" s="156" t="s">
        <v>331</v>
      </c>
      <c r="B10" s="152" t="s">
        <v>332</v>
      </c>
      <c r="C10" s="156" t="s">
        <v>333</v>
      </c>
      <c r="D10" s="156" t="s">
        <v>453</v>
      </c>
      <c r="E10" s="156" t="s">
        <v>334</v>
      </c>
      <c r="F10" s="152">
        <v>4</v>
      </c>
      <c r="G10" s="152">
        <v>4</v>
      </c>
      <c r="H10" s="152">
        <v>4</v>
      </c>
      <c r="I10" s="152">
        <v>41</v>
      </c>
      <c r="J10" s="152">
        <f t="shared" ref="J10:J29" si="3">G10-H10</f>
        <v>0</v>
      </c>
      <c r="K10" s="152" t="s">
        <v>335</v>
      </c>
      <c r="L10" s="152"/>
      <c r="M10" s="152"/>
      <c r="N10" s="152"/>
      <c r="O10" s="152"/>
      <c r="P10" s="152"/>
      <c r="Q10" s="152"/>
      <c r="R10" s="152"/>
      <c r="S10" s="152"/>
      <c r="T10" s="152"/>
      <c r="U10" s="152"/>
      <c r="V10" s="152"/>
      <c r="W10" s="152"/>
      <c r="X10" s="152"/>
      <c r="Y10" s="152"/>
      <c r="Z10" s="152"/>
      <c r="AA10" s="152"/>
      <c r="AB10" s="152"/>
      <c r="AC10" s="152"/>
      <c r="AD10" s="152"/>
      <c r="AE10" s="152"/>
      <c r="AF10" s="179"/>
      <c r="AG10" s="179"/>
      <c r="AH10" s="152"/>
      <c r="AI10" s="152"/>
      <c r="AJ10" s="152" t="s">
        <v>328</v>
      </c>
      <c r="AK10" s="152" t="s">
        <v>329</v>
      </c>
      <c r="AL10" s="152"/>
      <c r="AM10" s="156"/>
      <c r="AN10" s="156"/>
      <c r="AO10" s="156">
        <f t="shared" si="0"/>
        <v>4.0960000000000001</v>
      </c>
      <c r="AP10" s="156">
        <f t="shared" si="1"/>
        <v>4.0960000000000001</v>
      </c>
      <c r="AQ10" s="156">
        <f>IF(ISBLANK($A10),,ROUNDDOWN(I10*AS6*1.024,))</f>
        <v>37</v>
      </c>
      <c r="AR10" s="156">
        <f>IF(ISBLANK($A10),,ROUNDDOWN(L10*AS6*1.024,))</f>
        <v>0</v>
      </c>
      <c r="AS10" s="156">
        <f>IF(ISBLANK($A10),,ROUNDDOWN(N10*AS6*1.024,))</f>
        <v>0</v>
      </c>
      <c r="AT10" s="156">
        <f>IF(ISBLANK($A10),,ROUNDDOWN(P10*AS6*1.024,))</f>
        <v>0</v>
      </c>
      <c r="AU10" s="156">
        <f>IF(ISBLANK($A10),,ROUNDDOWN(R10*AS6*1.024,))</f>
        <v>0</v>
      </c>
      <c r="AV10" s="156">
        <f t="shared" si="2"/>
        <v>0</v>
      </c>
      <c r="AW10" s="156">
        <f>IF(ISBLANK($A10),,ROUNDDOWN(V10*AS6*1.024,))</f>
        <v>0</v>
      </c>
      <c r="AX10" s="156">
        <f>IF(ISBLANK($A10),,ROUNDDOWN(X10*AS6*1.024,))</f>
        <v>0</v>
      </c>
    </row>
    <row r="11" spans="1:50">
      <c r="A11" s="156" t="s">
        <v>336</v>
      </c>
      <c r="B11" s="152"/>
      <c r="C11" s="156" t="s">
        <v>333</v>
      </c>
      <c r="D11" s="156" t="s">
        <v>453</v>
      </c>
      <c r="E11" s="156" t="s">
        <v>20</v>
      </c>
      <c r="F11" s="143">
        <f>VLOOKUP(N11,B128:K130,3,FALSE)</f>
        <v>6</v>
      </c>
      <c r="G11" s="143">
        <f>VLOOKUP(N11,B128:K130,4,FALSE)</f>
        <v>40</v>
      </c>
      <c r="H11" s="143">
        <f>(G11*82.5)/100</f>
        <v>33</v>
      </c>
      <c r="I11" s="152">
        <v>91</v>
      </c>
      <c r="J11" s="152">
        <f t="shared" si="3"/>
        <v>7</v>
      </c>
      <c r="K11" s="152" t="s">
        <v>337</v>
      </c>
      <c r="L11" s="152">
        <v>66</v>
      </c>
      <c r="M11" s="152" t="s">
        <v>338</v>
      </c>
      <c r="N11" s="143">
        <v>750</v>
      </c>
      <c r="O11" s="152" t="s">
        <v>339</v>
      </c>
      <c r="P11" s="143">
        <f>VLOOKUP(N11,B128:K130,6,FALSE)</f>
        <v>1125</v>
      </c>
      <c r="Q11" s="152" t="s">
        <v>340</v>
      </c>
      <c r="R11" s="152"/>
      <c r="S11" s="152"/>
      <c r="T11" s="152"/>
      <c r="U11" s="152"/>
      <c r="V11" s="152"/>
      <c r="W11" s="152"/>
      <c r="X11" s="144">
        <f>VLOOKUP(N11,B128:K130,8,FALSE)</f>
        <v>2800</v>
      </c>
      <c r="Y11" s="152" t="s">
        <v>0</v>
      </c>
      <c r="Z11" s="152"/>
      <c r="AA11" s="152"/>
      <c r="AB11" s="152"/>
      <c r="AC11" s="152"/>
      <c r="AD11" s="152"/>
      <c r="AE11" s="152"/>
      <c r="AF11" s="179"/>
      <c r="AG11" s="179"/>
      <c r="AH11" s="152">
        <v>2500</v>
      </c>
      <c r="AI11" s="152" t="s">
        <v>341</v>
      </c>
      <c r="AJ11" s="152" t="s">
        <v>328</v>
      </c>
      <c r="AK11" s="152" t="s">
        <v>329</v>
      </c>
      <c r="AL11" s="152"/>
      <c r="AM11" s="156"/>
      <c r="AN11" s="156"/>
      <c r="AO11" s="156">
        <f t="shared" si="0"/>
        <v>40.96</v>
      </c>
      <c r="AP11" s="156">
        <f t="shared" si="1"/>
        <v>33.792000000000002</v>
      </c>
      <c r="AQ11" s="156">
        <f>IF(ISBLANK($A11),,ROUNDDOWN(I11*AS6*1.024,))</f>
        <v>83</v>
      </c>
      <c r="AR11" s="156">
        <f>IF(ISBLANK($A11),,ROUNDDOWN(L11*AS6*1.024,))</f>
        <v>60</v>
      </c>
      <c r="AS11" s="156">
        <f>IF(ISBLANK($A11),,ROUNDDOWN(N11*AS6*1.024,))</f>
        <v>691</v>
      </c>
      <c r="AT11" s="156">
        <f>IF(ISBLANK($A11),,ROUNDDOWN(P11*AS6*1.024,))</f>
        <v>1036</v>
      </c>
      <c r="AU11" s="156">
        <f>IF(ISBLANK($A11),,ROUNDDOWN(R11*AS6*1.024,))</f>
        <v>0</v>
      </c>
      <c r="AV11" s="156">
        <f t="shared" si="2"/>
        <v>0</v>
      </c>
      <c r="AW11" s="156">
        <f>IF(ISBLANK($A11),,ROUNDDOWN(V11*AS6*1.024,))</f>
        <v>0</v>
      </c>
      <c r="AX11" s="156">
        <f>IF(ISBLANK($A11),,ROUNDDOWN(X11*AS6*1.024,))</f>
        <v>2580</v>
      </c>
    </row>
    <row r="12" spans="1:50">
      <c r="A12" s="156" t="s">
        <v>342</v>
      </c>
      <c r="B12" s="152" t="s">
        <v>332</v>
      </c>
      <c r="C12" s="156" t="s">
        <v>333</v>
      </c>
      <c r="D12" s="156" t="s">
        <v>453</v>
      </c>
      <c r="E12" s="156" t="s">
        <v>24</v>
      </c>
      <c r="F12" s="152">
        <v>3</v>
      </c>
      <c r="G12" s="152">
        <v>5</v>
      </c>
      <c r="H12" s="152">
        <v>5</v>
      </c>
      <c r="I12" s="152">
        <v>46</v>
      </c>
      <c r="J12" s="152">
        <f t="shared" si="3"/>
        <v>0</v>
      </c>
      <c r="K12" s="152" t="s">
        <v>343</v>
      </c>
      <c r="L12" s="152"/>
      <c r="M12" s="152"/>
      <c r="N12" s="152"/>
      <c r="O12" s="152"/>
      <c r="P12" s="152"/>
      <c r="Q12" s="152"/>
      <c r="R12" s="152">
        <v>270</v>
      </c>
      <c r="S12" s="152" t="s">
        <v>344</v>
      </c>
      <c r="T12" s="152">
        <v>300</v>
      </c>
      <c r="U12" s="152" t="s">
        <v>137</v>
      </c>
      <c r="V12" s="152"/>
      <c r="W12" s="152"/>
      <c r="X12" s="152">
        <v>250</v>
      </c>
      <c r="Y12" s="152" t="s">
        <v>126</v>
      </c>
      <c r="Z12" s="152"/>
      <c r="AA12" s="152"/>
      <c r="AB12" s="152"/>
      <c r="AC12" s="152"/>
      <c r="AD12" s="152"/>
      <c r="AE12" s="152"/>
      <c r="AF12" s="179"/>
      <c r="AG12" s="179"/>
      <c r="AH12" s="152"/>
      <c r="AI12" s="152"/>
      <c r="AJ12" s="152" t="s">
        <v>328</v>
      </c>
      <c r="AK12" s="152" t="s">
        <v>329</v>
      </c>
      <c r="AL12" s="152"/>
      <c r="AM12" s="156"/>
      <c r="AN12" s="156"/>
      <c r="AO12" s="156">
        <f t="shared" si="0"/>
        <v>5.12</v>
      </c>
      <c r="AP12" s="156">
        <f t="shared" si="1"/>
        <v>5.12</v>
      </c>
      <c r="AQ12" s="156">
        <f>IF(ISBLANK($A12),,ROUNDDOWN(I12*AS6*1.024,))</f>
        <v>42</v>
      </c>
      <c r="AR12" s="156">
        <f>IF(ISBLANK($A12),,ROUNDDOWN(L12*AS6*1.024,))</f>
        <v>0</v>
      </c>
      <c r="AS12" s="156">
        <f>IF(ISBLANK($A12),,ROUNDDOWN(N12*AS6*1.024,))</f>
        <v>0</v>
      </c>
      <c r="AT12" s="156">
        <f>IF(ISBLANK($A12),,ROUNDDOWN(P12*AS6*1.024,))</f>
        <v>0</v>
      </c>
      <c r="AU12" s="156">
        <f>IF(ISBLANK($A12),,ROUNDDOWN(R12*AS6*1.024,))</f>
        <v>248</v>
      </c>
      <c r="AV12" s="156">
        <f t="shared" si="2"/>
        <v>276</v>
      </c>
      <c r="AW12" s="156">
        <f>IF(ISBLANK($A12),,ROUNDDOWN(V12*AS6*1.024,))</f>
        <v>0</v>
      </c>
      <c r="AX12" s="156">
        <f>IF(ISBLANK($A12),,ROUNDDOWN(X12*AS6*1.024,))</f>
        <v>230</v>
      </c>
    </row>
    <row r="13" spans="1:50">
      <c r="A13" s="156" t="s">
        <v>345</v>
      </c>
      <c r="B13" s="152"/>
      <c r="C13" s="156" t="s">
        <v>333</v>
      </c>
      <c r="D13" s="156" t="s">
        <v>453</v>
      </c>
      <c r="E13" s="156" t="s">
        <v>28</v>
      </c>
      <c r="F13" s="152">
        <v>2</v>
      </c>
      <c r="G13" s="152">
        <v>2</v>
      </c>
      <c r="H13" s="152">
        <v>0</v>
      </c>
      <c r="I13" s="152">
        <v>31</v>
      </c>
      <c r="J13" s="152">
        <f t="shared" si="3"/>
        <v>2</v>
      </c>
      <c r="K13" s="152" t="s">
        <v>335</v>
      </c>
      <c r="L13" s="152"/>
      <c r="M13" s="152"/>
      <c r="N13" s="152"/>
      <c r="O13" s="152"/>
      <c r="P13" s="152"/>
      <c r="Q13" s="152"/>
      <c r="R13" s="152"/>
      <c r="S13" s="152"/>
      <c r="T13" s="152"/>
      <c r="U13" s="152"/>
      <c r="V13" s="152"/>
      <c r="W13" s="152"/>
      <c r="X13" s="152"/>
      <c r="Y13" s="152"/>
      <c r="Z13" s="152"/>
      <c r="AA13" s="152"/>
      <c r="AB13" s="152"/>
      <c r="AC13" s="152"/>
      <c r="AD13" s="152"/>
      <c r="AE13" s="152"/>
      <c r="AF13" s="179"/>
      <c r="AG13" s="179"/>
      <c r="AH13" s="152"/>
      <c r="AI13" s="152"/>
      <c r="AJ13" s="152" t="s">
        <v>346</v>
      </c>
      <c r="AK13" s="152" t="s">
        <v>347</v>
      </c>
      <c r="AL13" s="152" t="s">
        <v>329</v>
      </c>
      <c r="AM13" s="156"/>
      <c r="AN13" s="156"/>
      <c r="AO13" s="156">
        <f t="shared" si="0"/>
        <v>2.048</v>
      </c>
      <c r="AP13" s="156">
        <f t="shared" si="1"/>
        <v>0</v>
      </c>
      <c r="AQ13" s="156">
        <f>IF(ISBLANK($A13),,ROUNDDOWN(I13*AS6*1.024,))</f>
        <v>28</v>
      </c>
      <c r="AR13" s="156">
        <f>IF(ISBLANK($A13),,ROUNDDOWN(L13*AS6*1.024,))</f>
        <v>0</v>
      </c>
      <c r="AS13" s="156">
        <f>IF(ISBLANK($A13),,ROUNDDOWN(N13*AS6*1.024,))</f>
        <v>0</v>
      </c>
      <c r="AT13" s="156">
        <f>IF(ISBLANK($A13),,ROUNDDOWN(P13*AS6*1.024,))</f>
        <v>0</v>
      </c>
      <c r="AU13" s="156">
        <f>IF(ISBLANK($A13),,ROUNDDOWN(R13*AS6*1.024,))</f>
        <v>0</v>
      </c>
      <c r="AV13" s="156">
        <f t="shared" si="2"/>
        <v>0</v>
      </c>
      <c r="AW13" s="156">
        <f>IF(ISBLANK($A13),,ROUNDDOWN(V13*AS6*1.024,))</f>
        <v>0</v>
      </c>
      <c r="AX13" s="156">
        <f>IF(ISBLANK($A13),,ROUNDDOWN(X13*AS6*1.024,))</f>
        <v>0</v>
      </c>
    </row>
    <row r="14" spans="1:50">
      <c r="A14" s="156" t="s">
        <v>348</v>
      </c>
      <c r="B14" s="152"/>
      <c r="C14" s="156" t="s">
        <v>333</v>
      </c>
      <c r="D14" s="156" t="s">
        <v>453</v>
      </c>
      <c r="E14" s="156" t="s">
        <v>32</v>
      </c>
      <c r="F14" s="152">
        <v>2</v>
      </c>
      <c r="G14" s="152">
        <v>3</v>
      </c>
      <c r="H14" s="152">
        <v>0</v>
      </c>
      <c r="I14" s="152">
        <v>31</v>
      </c>
      <c r="J14" s="152">
        <f t="shared" si="3"/>
        <v>3</v>
      </c>
      <c r="K14" s="152" t="s">
        <v>337</v>
      </c>
      <c r="L14" s="152"/>
      <c r="M14" s="152"/>
      <c r="N14" s="152"/>
      <c r="O14" s="152"/>
      <c r="P14" s="152"/>
      <c r="Q14" s="152"/>
      <c r="R14" s="152"/>
      <c r="S14" s="152"/>
      <c r="T14" s="152"/>
      <c r="U14" s="152"/>
      <c r="V14" s="152"/>
      <c r="W14" s="152"/>
      <c r="X14" s="152"/>
      <c r="Y14" s="152"/>
      <c r="Z14" s="152"/>
      <c r="AA14" s="152"/>
      <c r="AB14" s="152"/>
      <c r="AC14" s="152"/>
      <c r="AD14" s="152"/>
      <c r="AE14" s="152"/>
      <c r="AF14" s="179"/>
      <c r="AG14" s="179"/>
      <c r="AH14" s="152"/>
      <c r="AI14" s="152"/>
      <c r="AJ14" s="152" t="s">
        <v>328</v>
      </c>
      <c r="AK14" s="152" t="s">
        <v>329</v>
      </c>
      <c r="AL14" s="152"/>
      <c r="AM14" s="156"/>
      <c r="AN14" s="156"/>
      <c r="AO14" s="156">
        <f t="shared" si="0"/>
        <v>3.0720000000000001</v>
      </c>
      <c r="AP14" s="156">
        <f t="shared" si="1"/>
        <v>0</v>
      </c>
      <c r="AQ14" s="156">
        <f>IF(ISBLANK($A14),,ROUNDDOWN(I14*AS6*1.024,))</f>
        <v>28</v>
      </c>
      <c r="AR14" s="156">
        <f>IF(ISBLANK($A14),,ROUNDDOWN(L14*AS6*1.024,))</f>
        <v>0</v>
      </c>
      <c r="AS14" s="156">
        <f>IF(ISBLANK($A14),,ROUNDDOWN(N14*AS6*1.024,))</f>
        <v>0</v>
      </c>
      <c r="AT14" s="156">
        <f>IF(ISBLANK($A14),,ROUNDDOWN(P14*AS6*1.024,))</f>
        <v>0</v>
      </c>
      <c r="AU14" s="156">
        <f>IF(ISBLANK($A14),,ROUNDDOWN(R14*AS6*1.024,))</f>
        <v>0</v>
      </c>
      <c r="AV14" s="156">
        <f t="shared" si="2"/>
        <v>0</v>
      </c>
      <c r="AW14" s="156">
        <f>IF(ISBLANK($A14),,ROUNDDOWN(V14*AS6*1.024,))</f>
        <v>0</v>
      </c>
      <c r="AX14" s="156">
        <f>IF(ISBLANK($A14),,ROUNDDOWN(X14*AS6*1.024,))</f>
        <v>0</v>
      </c>
    </row>
    <row r="15" spans="1:50">
      <c r="A15" s="156" t="s">
        <v>349</v>
      </c>
      <c r="B15" s="152"/>
      <c r="C15" s="156" t="s">
        <v>333</v>
      </c>
      <c r="D15" s="156" t="s">
        <v>453</v>
      </c>
      <c r="E15" s="156" t="s">
        <v>350</v>
      </c>
      <c r="F15" s="152">
        <v>3</v>
      </c>
      <c r="G15" s="152">
        <v>6</v>
      </c>
      <c r="H15" s="152">
        <v>0</v>
      </c>
      <c r="I15" s="152">
        <v>61</v>
      </c>
      <c r="J15" s="152">
        <f t="shared" si="3"/>
        <v>6</v>
      </c>
      <c r="K15" s="152" t="s">
        <v>343</v>
      </c>
      <c r="L15" s="152"/>
      <c r="M15" s="152"/>
      <c r="N15" s="152"/>
      <c r="O15" s="152"/>
      <c r="P15" s="152"/>
      <c r="Q15" s="152"/>
      <c r="R15" s="152"/>
      <c r="S15" s="152"/>
      <c r="T15" s="152"/>
      <c r="U15" s="152"/>
      <c r="V15" s="152"/>
      <c r="W15" s="152"/>
      <c r="X15" s="152"/>
      <c r="Y15" s="152"/>
      <c r="Z15" s="152"/>
      <c r="AA15" s="152"/>
      <c r="AB15" s="152"/>
      <c r="AC15" s="152"/>
      <c r="AD15" s="152"/>
      <c r="AE15" s="152"/>
      <c r="AF15" s="179"/>
      <c r="AG15" s="179"/>
      <c r="AH15" s="152"/>
      <c r="AI15" s="152"/>
      <c r="AJ15" s="152" t="s">
        <v>346</v>
      </c>
      <c r="AK15" s="152" t="s">
        <v>347</v>
      </c>
      <c r="AL15" s="152"/>
      <c r="AM15" s="156"/>
      <c r="AN15" s="156"/>
      <c r="AO15" s="156">
        <f t="shared" si="0"/>
        <v>6.1440000000000001</v>
      </c>
      <c r="AP15" s="156">
        <f t="shared" si="1"/>
        <v>0</v>
      </c>
      <c r="AQ15" s="156">
        <f>IF(ISBLANK($A15),,ROUNDDOWN(I15*AS6*1.024,))</f>
        <v>56</v>
      </c>
      <c r="AR15" s="156">
        <f>IF(ISBLANK($A15),,ROUNDDOWN(L15*AS6*1.024,))</f>
        <v>0</v>
      </c>
      <c r="AS15" s="156">
        <f>IF(ISBLANK($A15),,ROUNDDOWN(N15*AS6*1.024,))</f>
        <v>0</v>
      </c>
      <c r="AT15" s="156">
        <f>IF(ISBLANK($A15),,ROUNDDOWN(P15*AS6*1.024,))</f>
        <v>0</v>
      </c>
      <c r="AU15" s="156">
        <f>IF(ISBLANK($A15),,ROUNDDOWN(R15*AS6*1.024,))</f>
        <v>0</v>
      </c>
      <c r="AV15" s="156">
        <f t="shared" si="2"/>
        <v>0</v>
      </c>
      <c r="AW15" s="156">
        <f>IF(ISBLANK($A15),,ROUNDDOWN(V15*AS6*1.024,))</f>
        <v>0</v>
      </c>
      <c r="AX15" s="156">
        <f>IF(ISBLANK($A15),,ROUNDDOWN(X15*AS6*1.024,))</f>
        <v>0</v>
      </c>
    </row>
    <row r="16" spans="1:50">
      <c r="A16" s="156" t="s">
        <v>351</v>
      </c>
      <c r="B16" s="152"/>
      <c r="C16" s="156" t="s">
        <v>333</v>
      </c>
      <c r="D16" s="156" t="s">
        <v>453</v>
      </c>
      <c r="E16" s="156" t="s">
        <v>40</v>
      </c>
      <c r="F16" s="152">
        <v>3</v>
      </c>
      <c r="G16" s="152">
        <v>4</v>
      </c>
      <c r="H16" s="152">
        <v>0</v>
      </c>
      <c r="I16" s="152">
        <v>56</v>
      </c>
      <c r="J16" s="152">
        <f t="shared" si="3"/>
        <v>4</v>
      </c>
      <c r="K16" s="152" t="s">
        <v>335</v>
      </c>
      <c r="L16" s="152"/>
      <c r="M16" s="152"/>
      <c r="N16" s="152"/>
      <c r="O16" s="152"/>
      <c r="P16" s="152"/>
      <c r="Q16" s="152"/>
      <c r="R16" s="156"/>
      <c r="S16" s="152"/>
      <c r="T16" s="152"/>
      <c r="U16" s="152"/>
      <c r="V16" s="152"/>
      <c r="W16" s="152"/>
      <c r="X16" s="152"/>
      <c r="Y16" s="152"/>
      <c r="Z16" s="152"/>
      <c r="AA16" s="152"/>
      <c r="AB16" s="152"/>
      <c r="AC16" s="152"/>
      <c r="AD16" s="152"/>
      <c r="AE16" s="152"/>
      <c r="AF16" s="179"/>
      <c r="AG16" s="179"/>
      <c r="AH16" s="152"/>
      <c r="AI16" s="152"/>
      <c r="AJ16" s="152" t="s">
        <v>346</v>
      </c>
      <c r="AK16" s="152" t="s">
        <v>347</v>
      </c>
      <c r="AL16" s="152"/>
      <c r="AM16" s="156"/>
      <c r="AN16" s="156"/>
      <c r="AO16" s="156">
        <f t="shared" si="0"/>
        <v>4.0960000000000001</v>
      </c>
      <c r="AP16" s="156">
        <f t="shared" si="1"/>
        <v>0</v>
      </c>
      <c r="AQ16" s="156">
        <f>IF(ISBLANK($A16),,ROUNDDOWN(I16*AS6*1.024,))</f>
        <v>51</v>
      </c>
      <c r="AR16" s="156">
        <f>IF(ISBLANK($A16),,ROUNDDOWN(L16*AS6*1.024,))</f>
        <v>0</v>
      </c>
      <c r="AS16" s="156">
        <f>IF(ISBLANK($A16),,ROUNDDOWN(N16*AS6*1.024,))</f>
        <v>0</v>
      </c>
      <c r="AT16" s="156">
        <f>IF(ISBLANK($A16),,ROUNDDOWN(P16*AS6*1.024,))</f>
        <v>0</v>
      </c>
      <c r="AU16" s="156">
        <f>IF(ISBLANK($A16),,ROUNDDOWN(T12*AS6*1.024,))</f>
        <v>276</v>
      </c>
      <c r="AV16" s="156">
        <f t="shared" si="2"/>
        <v>0</v>
      </c>
      <c r="AW16" s="156">
        <f>IF(ISBLANK($A16),,ROUNDDOWN(V16*AS6*1.024,))</f>
        <v>0</v>
      </c>
      <c r="AX16" s="156">
        <f>IF(ISBLANK($A16),,ROUNDDOWN(X16*AS6*1.024,))</f>
        <v>0</v>
      </c>
    </row>
    <row r="17" spans="1:50">
      <c r="A17" s="156" t="s">
        <v>352</v>
      </c>
      <c r="B17" s="152"/>
      <c r="C17" s="156" t="s">
        <v>333</v>
      </c>
      <c r="D17" s="156" t="s">
        <v>453</v>
      </c>
      <c r="E17" s="156" t="s">
        <v>43</v>
      </c>
      <c r="F17" s="152">
        <v>2</v>
      </c>
      <c r="G17" s="152">
        <v>2</v>
      </c>
      <c r="H17" s="152">
        <v>0</v>
      </c>
      <c r="I17" s="152">
        <v>31</v>
      </c>
      <c r="J17" s="152">
        <f t="shared" si="3"/>
        <v>2</v>
      </c>
      <c r="K17" s="152" t="s">
        <v>337</v>
      </c>
      <c r="L17" s="152"/>
      <c r="M17" s="152"/>
      <c r="N17" s="152"/>
      <c r="O17" s="152"/>
      <c r="P17" s="152"/>
      <c r="Q17" s="152"/>
      <c r="R17" s="152"/>
      <c r="S17" s="152"/>
      <c r="T17" s="152"/>
      <c r="U17" s="152"/>
      <c r="V17" s="152"/>
      <c r="W17" s="152"/>
      <c r="X17" s="152"/>
      <c r="Y17" s="152"/>
      <c r="Z17" s="152"/>
      <c r="AA17" s="152"/>
      <c r="AB17" s="152"/>
      <c r="AC17" s="152"/>
      <c r="AD17" s="152"/>
      <c r="AE17" s="152"/>
      <c r="AF17" s="179"/>
      <c r="AG17" s="179"/>
      <c r="AH17" s="152"/>
      <c r="AI17" s="152"/>
      <c r="AJ17" s="152" t="s">
        <v>346</v>
      </c>
      <c r="AK17" s="152" t="s">
        <v>347</v>
      </c>
      <c r="AL17" s="152"/>
      <c r="AM17" s="156"/>
      <c r="AN17" s="156"/>
      <c r="AO17" s="156">
        <f t="shared" si="0"/>
        <v>2.048</v>
      </c>
      <c r="AP17" s="156">
        <f t="shared" si="1"/>
        <v>0</v>
      </c>
      <c r="AQ17" s="156">
        <f>IF(ISBLANK($A17),,ROUNDDOWN(I17*AS6*1.024,))</f>
        <v>28</v>
      </c>
      <c r="AR17" s="156">
        <f>IF(ISBLANK($A17),,ROUNDDOWN(L17*AS6*1.024,))</f>
        <v>0</v>
      </c>
      <c r="AS17" s="156">
        <f>IF(ISBLANK($A17),,ROUNDDOWN(N17*AS6*1.024,))</f>
        <v>0</v>
      </c>
      <c r="AT17" s="156">
        <f>IF(ISBLANK($A17),,ROUNDDOWN(P17*AS6*1.024,))</f>
        <v>0</v>
      </c>
      <c r="AU17" s="156">
        <f>IF(ISBLANK($A17),,ROUNDDOWN(R17*AS6*1.024,))</f>
        <v>0</v>
      </c>
      <c r="AV17" s="156">
        <f t="shared" si="2"/>
        <v>0</v>
      </c>
      <c r="AW17" s="156">
        <f>IF(ISBLANK($A17),,ROUNDDOWN(V17*AS6*1.024,))</f>
        <v>0</v>
      </c>
      <c r="AX17" s="156">
        <f>IF(ISBLANK($A17),,ROUNDDOWN(X17*AS6*1.024,))</f>
        <v>0</v>
      </c>
    </row>
    <row r="18" spans="1:50">
      <c r="A18" s="156" t="s">
        <v>353</v>
      </c>
      <c r="B18" s="152"/>
      <c r="C18" s="156" t="s">
        <v>333</v>
      </c>
      <c r="D18" s="156" t="s">
        <v>453</v>
      </c>
      <c r="E18" s="156" t="s">
        <v>47</v>
      </c>
      <c r="F18" s="152">
        <v>2</v>
      </c>
      <c r="G18" s="152">
        <v>4</v>
      </c>
      <c r="H18" s="152">
        <v>0</v>
      </c>
      <c r="I18" s="152">
        <v>31</v>
      </c>
      <c r="J18" s="152">
        <f t="shared" si="3"/>
        <v>4</v>
      </c>
      <c r="K18" s="152" t="s">
        <v>343</v>
      </c>
      <c r="L18" s="152"/>
      <c r="M18" s="152"/>
      <c r="N18" s="152"/>
      <c r="O18" s="152"/>
      <c r="P18" s="152"/>
      <c r="Q18" s="152"/>
      <c r="R18" s="152"/>
      <c r="S18" s="152"/>
      <c r="T18" s="152"/>
      <c r="U18" s="152"/>
      <c r="V18" s="152"/>
      <c r="W18" s="152"/>
      <c r="X18" s="152"/>
      <c r="Y18" s="152"/>
      <c r="Z18" s="152"/>
      <c r="AA18" s="152"/>
      <c r="AB18" s="152"/>
      <c r="AC18" s="152"/>
      <c r="AD18" s="152"/>
      <c r="AE18" s="152"/>
      <c r="AF18" s="179"/>
      <c r="AG18" s="179"/>
      <c r="AH18" s="152"/>
      <c r="AI18" s="152"/>
      <c r="AJ18" s="152" t="s">
        <v>346</v>
      </c>
      <c r="AK18" s="152" t="s">
        <v>347</v>
      </c>
      <c r="AL18" s="152" t="s">
        <v>329</v>
      </c>
      <c r="AM18" s="156"/>
      <c r="AN18" s="156"/>
      <c r="AO18" s="156">
        <f t="shared" si="0"/>
        <v>4.0960000000000001</v>
      </c>
      <c r="AP18" s="156">
        <f t="shared" si="1"/>
        <v>0</v>
      </c>
      <c r="AQ18" s="156">
        <f>IF(ISBLANK($A18),,ROUNDDOWN(I18*AS6*1.024,))</f>
        <v>28</v>
      </c>
      <c r="AR18" s="156">
        <f>IF(ISBLANK($A18),,ROUNDDOWN(L18*AS6*1.024,))</f>
        <v>0</v>
      </c>
      <c r="AS18" s="156">
        <f>IF(ISBLANK($A18),,ROUNDDOWN(N18*AS6*1.024,))</f>
        <v>0</v>
      </c>
      <c r="AT18" s="156">
        <f>IF(ISBLANK($A18),,ROUNDDOWN(P18*AS6*1.024,))</f>
        <v>0</v>
      </c>
      <c r="AU18" s="156">
        <f>IF(ISBLANK($A18),,ROUNDDOWN(R18*AS6*1.024,))</f>
        <v>0</v>
      </c>
      <c r="AV18" s="156">
        <f t="shared" si="2"/>
        <v>0</v>
      </c>
      <c r="AW18" s="156">
        <f>IF(ISBLANK($A18),,ROUNDDOWN(V18*AS6*1.024,))</f>
        <v>0</v>
      </c>
      <c r="AX18" s="156">
        <f>IF(ISBLANK($A18),,ROUNDDOWN(X18*AS6*1.024,))</f>
        <v>0</v>
      </c>
    </row>
    <row r="19" spans="1:50">
      <c r="A19" s="156" t="s">
        <v>354</v>
      </c>
      <c r="B19" s="152"/>
      <c r="C19" s="156" t="s">
        <v>333</v>
      </c>
      <c r="D19" s="156" t="s">
        <v>453</v>
      </c>
      <c r="E19" s="156" t="s">
        <v>355</v>
      </c>
      <c r="F19" s="152">
        <v>6</v>
      </c>
      <c r="G19" s="152">
        <v>6</v>
      </c>
      <c r="H19" s="152">
        <v>0</v>
      </c>
      <c r="I19" s="152">
        <v>101</v>
      </c>
      <c r="J19" s="152">
        <f t="shared" si="3"/>
        <v>6</v>
      </c>
      <c r="K19" s="152" t="s">
        <v>335</v>
      </c>
      <c r="L19" s="152"/>
      <c r="M19" s="152"/>
      <c r="N19" s="152"/>
      <c r="O19" s="152"/>
      <c r="P19" s="152"/>
      <c r="Q19" s="152"/>
      <c r="R19" s="152"/>
      <c r="S19" s="152"/>
      <c r="T19" s="152"/>
      <c r="U19" s="152"/>
      <c r="V19" s="152"/>
      <c r="W19" s="152"/>
      <c r="X19" s="152"/>
      <c r="Y19" s="152"/>
      <c r="Z19" s="152"/>
      <c r="AA19" s="152"/>
      <c r="AB19" s="152">
        <v>50</v>
      </c>
      <c r="AC19" s="152" t="s">
        <v>343</v>
      </c>
      <c r="AD19" s="152"/>
      <c r="AE19" s="152"/>
      <c r="AF19" s="179"/>
      <c r="AG19" s="179"/>
      <c r="AH19" s="152"/>
      <c r="AI19" s="152"/>
      <c r="AJ19" s="152" t="s">
        <v>328</v>
      </c>
      <c r="AK19" s="152" t="s">
        <v>329</v>
      </c>
      <c r="AL19" s="152"/>
      <c r="AM19" s="156"/>
      <c r="AN19" s="156"/>
      <c r="AO19" s="156">
        <f t="shared" si="0"/>
        <v>6.1440000000000001</v>
      </c>
      <c r="AP19" s="156">
        <f t="shared" si="1"/>
        <v>0</v>
      </c>
      <c r="AQ19" s="156">
        <f>IF(ISBLANK($A19),,ROUNDDOWN(I19*AS6*1.024,))</f>
        <v>93</v>
      </c>
      <c r="AR19" s="156">
        <f>IF(ISBLANK($A19),,ROUNDDOWN(L19*AS6*1.024,))</f>
        <v>0</v>
      </c>
      <c r="AS19" s="156">
        <f>IF(ISBLANK($A19),,ROUNDDOWN(N19*AS6*1.024,))</f>
        <v>0</v>
      </c>
      <c r="AT19" s="156">
        <f>IF(ISBLANK($A19),,ROUNDDOWN(P19*AS6*1.024,))</f>
        <v>0</v>
      </c>
      <c r="AU19" s="156">
        <f>IF(ISBLANK($A19),,ROUNDDOWN(R19*AS6*1.024,))</f>
        <v>0</v>
      </c>
      <c r="AV19" s="156">
        <f t="shared" si="2"/>
        <v>0</v>
      </c>
      <c r="AW19" s="156">
        <f>IF(ISBLANK($A19),,ROUNDDOWN(V19*AS6*1.024,))</f>
        <v>0</v>
      </c>
      <c r="AX19" s="156">
        <f>IF(ISBLANK($A19),,ROUNDDOWN(X19*AS6*1.024,))</f>
        <v>0</v>
      </c>
    </row>
    <row r="20" spans="1:50">
      <c r="A20" s="156" t="s">
        <v>356</v>
      </c>
      <c r="B20" s="152"/>
      <c r="C20" s="156" t="s">
        <v>333</v>
      </c>
      <c r="D20" s="156" t="s">
        <v>453</v>
      </c>
      <c r="E20" s="156" t="s">
        <v>55</v>
      </c>
      <c r="F20" s="152">
        <v>2</v>
      </c>
      <c r="G20" s="152">
        <v>4</v>
      </c>
      <c r="H20" s="152">
        <v>0</v>
      </c>
      <c r="I20" s="152">
        <v>51</v>
      </c>
      <c r="J20" s="152">
        <f t="shared" si="3"/>
        <v>4</v>
      </c>
      <c r="K20" s="152" t="s">
        <v>337</v>
      </c>
      <c r="L20" s="152"/>
      <c r="M20" s="152"/>
      <c r="N20" s="152"/>
      <c r="O20" s="152"/>
      <c r="P20" s="152"/>
      <c r="Q20" s="152"/>
      <c r="R20" s="152"/>
      <c r="S20" s="152"/>
      <c r="T20" s="152"/>
      <c r="U20" s="152"/>
      <c r="V20" s="152"/>
      <c r="W20" s="152"/>
      <c r="X20" s="152"/>
      <c r="Y20" s="152"/>
      <c r="Z20" s="152"/>
      <c r="AA20" s="152"/>
      <c r="AB20" s="152"/>
      <c r="AC20" s="152"/>
      <c r="AD20" s="152"/>
      <c r="AE20" s="152"/>
      <c r="AF20" s="179"/>
      <c r="AG20" s="179"/>
      <c r="AH20" s="152"/>
      <c r="AI20" s="152"/>
      <c r="AJ20" s="152" t="s">
        <v>346</v>
      </c>
      <c r="AK20" s="152" t="s">
        <v>347</v>
      </c>
      <c r="AL20" s="152"/>
      <c r="AM20" s="156"/>
      <c r="AN20" s="156"/>
      <c r="AO20" s="156">
        <f t="shared" si="0"/>
        <v>4.0960000000000001</v>
      </c>
      <c r="AP20" s="156">
        <f t="shared" si="1"/>
        <v>0</v>
      </c>
      <c r="AQ20" s="156">
        <f>IF(ISBLANK($A20),,ROUNDDOWN(I20*AS6*1.024,))</f>
        <v>47</v>
      </c>
      <c r="AR20" s="156">
        <f>IF(ISBLANK($A20),,ROUNDDOWN(L20*AS6*1.024,))</f>
        <v>0</v>
      </c>
      <c r="AS20" s="156">
        <f>IF(ISBLANK($A20),,ROUNDDOWN(N20*AS6*1.024,))</f>
        <v>0</v>
      </c>
      <c r="AT20" s="156">
        <f>IF(ISBLANK($A20),,ROUNDDOWN(P20*AS6*1.024,))</f>
        <v>0</v>
      </c>
      <c r="AU20" s="156">
        <f>IF(ISBLANK($A20),,ROUNDDOWN(R20*AS6*1.024,))</f>
        <v>0</v>
      </c>
      <c r="AV20" s="156">
        <f t="shared" si="2"/>
        <v>0</v>
      </c>
      <c r="AW20" s="156">
        <f>IF(ISBLANK($A20),,ROUNDDOWN(V20*AS6*1.024,))</f>
        <v>0</v>
      </c>
      <c r="AX20" s="156">
        <f>IF(ISBLANK($A20),,ROUNDDOWN(X20*AS6*1.024,))</f>
        <v>0</v>
      </c>
    </row>
    <row r="21" spans="1:50">
      <c r="A21" s="156" t="s">
        <v>357</v>
      </c>
      <c r="B21" s="152"/>
      <c r="C21" s="156" t="s">
        <v>333</v>
      </c>
      <c r="D21" s="156" t="s">
        <v>453</v>
      </c>
      <c r="E21" s="156" t="s">
        <v>63</v>
      </c>
      <c r="F21" s="152">
        <v>5</v>
      </c>
      <c r="G21" s="152">
        <v>12</v>
      </c>
      <c r="H21" s="152">
        <v>0</v>
      </c>
      <c r="I21" s="152">
        <v>56</v>
      </c>
      <c r="J21" s="152">
        <f t="shared" si="3"/>
        <v>12</v>
      </c>
      <c r="K21" s="152" t="s">
        <v>343</v>
      </c>
      <c r="L21" s="152"/>
      <c r="M21" s="152"/>
      <c r="N21" s="152"/>
      <c r="O21" s="152"/>
      <c r="P21" s="152"/>
      <c r="Q21" s="152"/>
      <c r="R21" s="152"/>
      <c r="S21" s="152"/>
      <c r="T21" s="152"/>
      <c r="U21" s="152"/>
      <c r="V21" s="152"/>
      <c r="W21" s="152"/>
      <c r="X21" s="152"/>
      <c r="Y21" s="152"/>
      <c r="Z21" s="152"/>
      <c r="AA21" s="152"/>
      <c r="AB21" s="152"/>
      <c r="AC21" s="152"/>
      <c r="AD21" s="152">
        <v>65</v>
      </c>
      <c r="AE21" s="152" t="s">
        <v>343</v>
      </c>
      <c r="AF21" s="179"/>
      <c r="AG21" s="179"/>
      <c r="AH21" s="152"/>
      <c r="AI21" s="152"/>
      <c r="AJ21" s="152" t="s">
        <v>328</v>
      </c>
      <c r="AK21" s="152" t="s">
        <v>329</v>
      </c>
      <c r="AL21" s="152"/>
      <c r="AM21" s="156"/>
      <c r="AN21" s="156"/>
      <c r="AO21" s="156">
        <f t="shared" si="0"/>
        <v>12.288</v>
      </c>
      <c r="AP21" s="156">
        <f t="shared" si="1"/>
        <v>0</v>
      </c>
      <c r="AQ21" s="156">
        <f>IF(ISBLANK($A21),,ROUNDDOWN(I21*AS6*1.024,))</f>
        <v>51</v>
      </c>
      <c r="AR21" s="156">
        <f>IF(ISBLANK($A21),,ROUNDDOWN(L21*AS6*1.024,))</f>
        <v>0</v>
      </c>
      <c r="AS21" s="156">
        <f>IF(ISBLANK($A21),,ROUNDDOWN(N21*AS6*1.024,))</f>
        <v>0</v>
      </c>
      <c r="AT21" s="156">
        <f>IF(ISBLANK($A21),,ROUNDDOWN(P21*AS6*1.024,))</f>
        <v>0</v>
      </c>
      <c r="AU21" s="156">
        <f>IF(ISBLANK($A21),,ROUNDDOWN(R21*AS6*1.024,))</f>
        <v>0</v>
      </c>
      <c r="AV21" s="156">
        <f t="shared" si="2"/>
        <v>0</v>
      </c>
      <c r="AW21" s="156">
        <f>IF(ISBLANK($A21),,ROUNDDOWN(V21*AS6*1.024,))</f>
        <v>0</v>
      </c>
      <c r="AX21" s="156">
        <f>IF(ISBLANK($A21),,ROUNDDOWN(X21*AS6*1.024,))</f>
        <v>0</v>
      </c>
    </row>
    <row r="22" spans="1:50">
      <c r="A22" s="156" t="s">
        <v>358</v>
      </c>
      <c r="B22" s="152"/>
      <c r="C22" s="156" t="s">
        <v>333</v>
      </c>
      <c r="D22" s="156" t="s">
        <v>453</v>
      </c>
      <c r="E22" s="156" t="s">
        <v>71</v>
      </c>
      <c r="F22" s="152">
        <v>3</v>
      </c>
      <c r="G22" s="152">
        <v>5</v>
      </c>
      <c r="H22" s="152">
        <v>0</v>
      </c>
      <c r="I22" s="152">
        <v>41</v>
      </c>
      <c r="J22" s="152">
        <f t="shared" si="3"/>
        <v>5</v>
      </c>
      <c r="K22" s="152" t="s">
        <v>335</v>
      </c>
      <c r="L22" s="152"/>
      <c r="M22" s="152"/>
      <c r="N22" s="152"/>
      <c r="O22" s="152"/>
      <c r="P22" s="152"/>
      <c r="Q22" s="152"/>
      <c r="R22" s="152"/>
      <c r="S22" s="152"/>
      <c r="T22" s="152"/>
      <c r="U22" s="152"/>
      <c r="V22" s="152"/>
      <c r="W22" s="152"/>
      <c r="X22" s="152"/>
      <c r="Y22" s="152"/>
      <c r="Z22" s="152"/>
      <c r="AA22" s="152"/>
      <c r="AB22" s="152"/>
      <c r="AC22" s="152"/>
      <c r="AD22" s="152"/>
      <c r="AE22" s="152"/>
      <c r="AF22" s="179"/>
      <c r="AG22" s="179"/>
      <c r="AH22" s="152"/>
      <c r="AI22" s="152"/>
      <c r="AJ22" s="152" t="s">
        <v>328</v>
      </c>
      <c r="AK22" s="152" t="s">
        <v>329</v>
      </c>
      <c r="AL22" s="152"/>
      <c r="AM22" s="156"/>
      <c r="AN22" s="156"/>
      <c r="AO22" s="156">
        <f t="shared" si="0"/>
        <v>5.12</v>
      </c>
      <c r="AP22" s="156">
        <f t="shared" si="1"/>
        <v>0</v>
      </c>
      <c r="AQ22" s="156">
        <f>IF(ISBLANK($A22),,ROUNDDOWN(I22*AS6*1.024,))</f>
        <v>37</v>
      </c>
      <c r="AR22" s="156">
        <f>IF(ISBLANK($A22),,ROUNDDOWN(L22*AS6*1.024,))</f>
        <v>0</v>
      </c>
      <c r="AS22" s="156">
        <f>IF(ISBLANK($A22),,ROUNDDOWN(N22*AS6*1.024,))</f>
        <v>0</v>
      </c>
      <c r="AT22" s="156">
        <f>IF(ISBLANK($A22),,ROUNDDOWN(P22*AS6*1.024,))</f>
        <v>0</v>
      </c>
      <c r="AU22" s="156">
        <f>IF(ISBLANK($A22),,ROUNDDOWN(R22*AS6*1.024,))</f>
        <v>0</v>
      </c>
      <c r="AV22" s="156">
        <f t="shared" si="2"/>
        <v>0</v>
      </c>
      <c r="AW22" s="156">
        <f>IF(ISBLANK($A22),,ROUNDDOWN(V22*AS6*1.024,))</f>
        <v>0</v>
      </c>
      <c r="AX22" s="156">
        <f>IF(ISBLANK($A22),,ROUNDDOWN(X22*AS6*1.024,))</f>
        <v>0</v>
      </c>
    </row>
    <row r="23" spans="1:50">
      <c r="A23" s="156" t="s">
        <v>359</v>
      </c>
      <c r="B23" s="152"/>
      <c r="C23" s="156" t="s">
        <v>333</v>
      </c>
      <c r="D23" s="156" t="s">
        <v>453</v>
      </c>
      <c r="E23" s="156" t="s">
        <v>73</v>
      </c>
      <c r="F23" s="152">
        <v>8</v>
      </c>
      <c r="G23" s="152">
        <v>32</v>
      </c>
      <c r="H23" s="152">
        <v>32</v>
      </c>
      <c r="I23" s="152">
        <v>136</v>
      </c>
      <c r="J23" s="152">
        <f t="shared" si="3"/>
        <v>0</v>
      </c>
      <c r="K23" s="152" t="s">
        <v>337</v>
      </c>
      <c r="L23" s="152"/>
      <c r="M23" s="152"/>
      <c r="N23" s="152"/>
      <c r="O23" s="152"/>
      <c r="P23" s="152"/>
      <c r="Q23" s="152"/>
      <c r="R23" s="152"/>
      <c r="S23" s="152"/>
      <c r="T23" s="152"/>
      <c r="U23" s="152"/>
      <c r="V23" s="152"/>
      <c r="W23" s="152"/>
      <c r="X23" s="152"/>
      <c r="Y23" s="152"/>
      <c r="Z23" s="152"/>
      <c r="AA23" s="152"/>
      <c r="AB23" s="152"/>
      <c r="AC23" s="152"/>
      <c r="AD23" s="152"/>
      <c r="AE23" s="152"/>
      <c r="AF23" s="179"/>
      <c r="AG23" s="179"/>
      <c r="AH23" s="152"/>
      <c r="AI23" s="152"/>
      <c r="AJ23" s="152" t="s">
        <v>346</v>
      </c>
      <c r="AK23" s="152" t="s">
        <v>347</v>
      </c>
      <c r="AL23" s="152"/>
      <c r="AM23" s="156"/>
      <c r="AN23" s="156"/>
      <c r="AO23" s="156">
        <f t="shared" si="0"/>
        <v>32.768000000000001</v>
      </c>
      <c r="AP23" s="156">
        <f t="shared" si="1"/>
        <v>32.768000000000001</v>
      </c>
      <c r="AQ23" s="156">
        <f>IF(ISBLANK($A23),,ROUNDDOWN(I23*AS6*1.024,))</f>
        <v>125</v>
      </c>
      <c r="AR23" s="156">
        <f>IF(ISBLANK($A23),,ROUNDDOWN(L23*AS6*1.024,))</f>
        <v>0</v>
      </c>
      <c r="AS23" s="156">
        <f>IF(ISBLANK($A23),,ROUNDDOWN(N23*AS6*1.024,))</f>
        <v>0</v>
      </c>
      <c r="AT23" s="156">
        <f>IF(ISBLANK($A23),,ROUNDDOWN(P23*AS6*1.024,))</f>
        <v>0</v>
      </c>
      <c r="AU23" s="156">
        <f>IF(ISBLANK($A23),,ROUNDDOWN(R23*AS6*1.024,))</f>
        <v>0</v>
      </c>
      <c r="AV23" s="156">
        <f t="shared" si="2"/>
        <v>0</v>
      </c>
      <c r="AW23" s="156">
        <f>IF(ISBLANK($A23),,ROUNDDOWN(V23*AS6*1.024,))</f>
        <v>0</v>
      </c>
      <c r="AX23" s="156">
        <f>IF(ISBLANK($A23),,ROUNDDOWN(X23*AS6*1.024,))</f>
        <v>0</v>
      </c>
    </row>
    <row r="24" spans="1:50">
      <c r="A24" s="156" t="s">
        <v>360</v>
      </c>
      <c r="B24" s="152"/>
      <c r="C24" s="156" t="s">
        <v>333</v>
      </c>
      <c r="D24" s="156" t="s">
        <v>453</v>
      </c>
      <c r="E24" s="156" t="s">
        <v>73</v>
      </c>
      <c r="F24" s="152">
        <v>8</v>
      </c>
      <c r="G24" s="152">
        <v>32</v>
      </c>
      <c r="H24" s="152">
        <v>32</v>
      </c>
      <c r="I24" s="152">
        <v>136</v>
      </c>
      <c r="J24" s="152">
        <f t="shared" si="3"/>
        <v>0</v>
      </c>
      <c r="K24" s="152" t="s">
        <v>343</v>
      </c>
      <c r="L24" s="152"/>
      <c r="M24" s="152"/>
      <c r="N24" s="152"/>
      <c r="O24" s="152"/>
      <c r="P24" s="152"/>
      <c r="Q24" s="152"/>
      <c r="R24" s="152"/>
      <c r="S24" s="152"/>
      <c r="T24" s="152"/>
      <c r="U24" s="152"/>
      <c r="V24" s="152"/>
      <c r="W24" s="152"/>
      <c r="X24" s="152"/>
      <c r="Y24" s="152"/>
      <c r="Z24" s="152"/>
      <c r="AA24" s="152"/>
      <c r="AB24" s="152"/>
      <c r="AC24" s="152"/>
      <c r="AD24" s="152"/>
      <c r="AE24" s="152"/>
      <c r="AF24" s="179"/>
      <c r="AG24" s="179"/>
      <c r="AH24" s="152"/>
      <c r="AI24" s="152"/>
      <c r="AJ24" s="152" t="s">
        <v>346</v>
      </c>
      <c r="AK24" s="152" t="s">
        <v>347</v>
      </c>
      <c r="AL24" s="152"/>
      <c r="AM24" s="156"/>
      <c r="AN24" s="156"/>
      <c r="AO24" s="156">
        <f t="shared" si="0"/>
        <v>32.768000000000001</v>
      </c>
      <c r="AP24" s="156">
        <f t="shared" si="1"/>
        <v>32.768000000000001</v>
      </c>
      <c r="AQ24" s="156">
        <f>IF(ISBLANK($A24),,ROUNDDOWN(I24*AS6*1.024,))</f>
        <v>125</v>
      </c>
      <c r="AR24" s="156">
        <f>IF(ISBLANK($A24),,ROUNDDOWN(L24*AS6*1.024,))</f>
        <v>0</v>
      </c>
      <c r="AS24" s="156">
        <f>IF(ISBLANK($A24),,ROUNDDOWN(N24*AS6*1.024,))</f>
        <v>0</v>
      </c>
      <c r="AT24" s="156">
        <f>IF(ISBLANK($A24),,ROUNDDOWN(P24*AS6*1.024,))</f>
        <v>0</v>
      </c>
      <c r="AU24" s="156">
        <f>IF(ISBLANK($A24),,ROUNDDOWN(R24*AS6*1.024,))</f>
        <v>0</v>
      </c>
      <c r="AV24" s="156">
        <f t="shared" si="2"/>
        <v>0</v>
      </c>
      <c r="AW24" s="156">
        <f>IF(ISBLANK($A24),,ROUNDDOWN(V24*AS6*1.024,))</f>
        <v>0</v>
      </c>
      <c r="AX24" s="156">
        <f>IF(ISBLANK($A24),,ROUNDDOWN(X24*AS6*1.024,))</f>
        <v>0</v>
      </c>
    </row>
    <row r="25" spans="1:50">
      <c r="A25" s="156" t="s">
        <v>361</v>
      </c>
      <c r="B25" s="152"/>
      <c r="C25" s="156" t="s">
        <v>333</v>
      </c>
      <c r="D25" s="11" t="s">
        <v>362</v>
      </c>
      <c r="E25" s="156" t="s">
        <v>75</v>
      </c>
      <c r="F25" s="152">
        <v>4</v>
      </c>
      <c r="G25" s="152">
        <v>4</v>
      </c>
      <c r="H25" s="152">
        <v>0</v>
      </c>
      <c r="I25" s="152">
        <v>100</v>
      </c>
      <c r="J25" s="152">
        <f t="shared" si="3"/>
        <v>4</v>
      </c>
      <c r="K25" s="152" t="s">
        <v>335</v>
      </c>
      <c r="L25" s="152"/>
      <c r="M25" s="152"/>
      <c r="N25" s="152"/>
      <c r="O25" s="152"/>
      <c r="P25" s="152"/>
      <c r="Q25" s="152"/>
      <c r="R25" s="152"/>
      <c r="S25" s="152"/>
      <c r="T25" s="152"/>
      <c r="U25" s="152"/>
      <c r="V25" s="152"/>
      <c r="W25" s="152"/>
      <c r="X25" s="152"/>
      <c r="Y25" s="152"/>
      <c r="Z25" s="152"/>
      <c r="AA25" s="152"/>
      <c r="AB25" s="152"/>
      <c r="AC25" s="152"/>
      <c r="AD25" s="152"/>
      <c r="AE25" s="152"/>
      <c r="AF25" s="179"/>
      <c r="AG25" s="179"/>
      <c r="AH25" s="152"/>
      <c r="AI25" s="152"/>
      <c r="AJ25" s="152" t="s">
        <v>328</v>
      </c>
      <c r="AK25" s="152" t="s">
        <v>329</v>
      </c>
      <c r="AL25" s="152"/>
      <c r="AM25" s="156"/>
      <c r="AN25" s="156"/>
      <c r="AO25" s="156">
        <f t="shared" si="0"/>
        <v>4.0960000000000001</v>
      </c>
      <c r="AP25" s="156">
        <f t="shared" si="1"/>
        <v>0</v>
      </c>
      <c r="AQ25" s="156">
        <f>IF(ISBLANK($A25),,ROUNDDOWN(I25*AS6*1.024,))</f>
        <v>92</v>
      </c>
      <c r="AR25" s="156">
        <f>IF(ISBLANK($A25),,ROUNDDOWN(L25*AS6*1.024,))</f>
        <v>0</v>
      </c>
      <c r="AS25" s="156">
        <f>IF(ISBLANK($A25),,ROUNDDOWN(N25*AS6*1.024,))</f>
        <v>0</v>
      </c>
      <c r="AT25" s="156">
        <f>IF(ISBLANK($A25),,ROUNDDOWN(P25*AS6*1.024,))</f>
        <v>0</v>
      </c>
      <c r="AU25" s="156">
        <f>IF(ISBLANK($A25),,ROUNDDOWN(R25*AS6*1.024,))</f>
        <v>0</v>
      </c>
      <c r="AV25" s="156">
        <f t="shared" si="2"/>
        <v>0</v>
      </c>
      <c r="AW25" s="156">
        <f>IF(ISBLANK($A25),,ROUNDDOWN(V25*AS6*1.024,))</f>
        <v>0</v>
      </c>
      <c r="AX25" s="156">
        <f>IF(ISBLANK($A25),,ROUNDDOWN(X25*AS6*1.024,))</f>
        <v>0</v>
      </c>
    </row>
    <row r="26" spans="1:50" ht="12.6" customHeight="1">
      <c r="A26" s="156" t="s">
        <v>363</v>
      </c>
      <c r="B26" s="152"/>
      <c r="C26" s="156" t="s">
        <v>333</v>
      </c>
      <c r="D26" s="11" t="s">
        <v>362</v>
      </c>
      <c r="E26" s="156" t="s">
        <v>79</v>
      </c>
      <c r="F26" s="152">
        <v>4</v>
      </c>
      <c r="G26" s="152">
        <v>16</v>
      </c>
      <c r="H26" s="152">
        <v>0</v>
      </c>
      <c r="I26" s="152">
        <v>100</v>
      </c>
      <c r="J26" s="152">
        <f t="shared" si="3"/>
        <v>16</v>
      </c>
      <c r="K26" s="152" t="s">
        <v>337</v>
      </c>
      <c r="L26" s="152"/>
      <c r="M26" s="152"/>
      <c r="N26" s="152"/>
      <c r="O26" s="152"/>
      <c r="P26" s="152"/>
      <c r="Q26" s="152"/>
      <c r="R26" s="152"/>
      <c r="S26" s="152"/>
      <c r="T26" s="152"/>
      <c r="U26" s="152"/>
      <c r="V26" s="152"/>
      <c r="W26" s="152"/>
      <c r="X26" s="152"/>
      <c r="Y26" s="152"/>
      <c r="Z26" s="152"/>
      <c r="AA26" s="152"/>
      <c r="AB26" s="152"/>
      <c r="AC26" s="152"/>
      <c r="AD26" s="152"/>
      <c r="AE26" s="152"/>
      <c r="AF26" s="179"/>
      <c r="AG26" s="179"/>
      <c r="AH26" s="152"/>
      <c r="AI26" s="152"/>
      <c r="AJ26" s="152" t="s">
        <v>328</v>
      </c>
      <c r="AK26" s="152" t="s">
        <v>329</v>
      </c>
      <c r="AL26" s="152"/>
      <c r="AM26" s="156"/>
      <c r="AN26" s="156"/>
      <c r="AO26" s="156">
        <f t="shared" si="0"/>
        <v>16.384</v>
      </c>
      <c r="AP26" s="156">
        <f t="shared" si="1"/>
        <v>0</v>
      </c>
      <c r="AQ26" s="156">
        <f>IF(ISBLANK($A26),,ROUNDDOWN(I26*AS6*1.024,))</f>
        <v>92</v>
      </c>
      <c r="AR26" s="156">
        <f>IF(ISBLANK($A26),,ROUNDDOWN(L26*AS6*1.024,))</f>
        <v>0</v>
      </c>
      <c r="AS26" s="156">
        <f>IF(ISBLANK($A26),,ROUNDDOWN(N26*AS6*1.024,))</f>
        <v>0</v>
      </c>
      <c r="AT26" s="156">
        <f>IF(ISBLANK($A26),,ROUNDDOWN(P26*AS6*1.024,))</f>
        <v>0</v>
      </c>
      <c r="AU26" s="156">
        <f>IF(ISBLANK($A26),,ROUNDDOWN(R26*AS6*1.024,))</f>
        <v>0</v>
      </c>
      <c r="AV26" s="156">
        <f t="shared" si="2"/>
        <v>0</v>
      </c>
      <c r="AW26" s="156">
        <f>IF(ISBLANK($A26),,ROUNDDOWN(V26*AS6*1.024,))</f>
        <v>0</v>
      </c>
      <c r="AX26" s="156">
        <f>IF(ISBLANK($A26),,ROUNDDOWN(X26*AS6*1.024,))</f>
        <v>0</v>
      </c>
    </row>
    <row r="27" spans="1:50">
      <c r="A27" s="156" t="s">
        <v>364</v>
      </c>
      <c r="B27" s="152"/>
      <c r="C27" s="156" t="s">
        <v>333</v>
      </c>
      <c r="D27" s="11" t="s">
        <v>362</v>
      </c>
      <c r="E27" s="156" t="s">
        <v>77</v>
      </c>
      <c r="F27" s="152">
        <v>4</v>
      </c>
      <c r="G27" s="152">
        <v>14</v>
      </c>
      <c r="H27" s="152">
        <v>0</v>
      </c>
      <c r="I27" s="152">
        <v>100</v>
      </c>
      <c r="J27" s="152">
        <f t="shared" si="3"/>
        <v>14</v>
      </c>
      <c r="K27" s="152" t="s">
        <v>337</v>
      </c>
      <c r="L27" s="152"/>
      <c r="M27" s="152"/>
      <c r="N27" s="152"/>
      <c r="O27" s="152"/>
      <c r="P27" s="152"/>
      <c r="Q27" s="152"/>
      <c r="R27" s="152"/>
      <c r="S27" s="152"/>
      <c r="T27" s="152"/>
      <c r="U27" s="152"/>
      <c r="V27" s="152"/>
      <c r="W27" s="152"/>
      <c r="X27" s="152"/>
      <c r="Y27" s="152"/>
      <c r="Z27" s="152"/>
      <c r="AA27" s="152"/>
      <c r="AB27" s="152"/>
      <c r="AC27" s="152"/>
      <c r="AD27" s="152"/>
      <c r="AE27" s="152"/>
      <c r="AF27" s="179"/>
      <c r="AG27" s="179"/>
      <c r="AH27" s="152"/>
      <c r="AI27" s="152"/>
      <c r="AJ27" s="152" t="s">
        <v>328</v>
      </c>
      <c r="AK27" s="152" t="s">
        <v>329</v>
      </c>
      <c r="AL27" s="152"/>
      <c r="AM27" s="156"/>
      <c r="AN27" s="156"/>
      <c r="AO27" s="156">
        <f t="shared" si="0"/>
        <v>14.336</v>
      </c>
      <c r="AP27" s="156">
        <f t="shared" si="1"/>
        <v>0</v>
      </c>
      <c r="AQ27" s="156">
        <f>IF(ISBLANK($A27),,ROUNDDOWN(I27*AS6*1.024,))</f>
        <v>92</v>
      </c>
      <c r="AR27" s="156">
        <f>IF(ISBLANK($A27),,ROUNDDOWN(L27*AS6*1.024,))</f>
        <v>0</v>
      </c>
      <c r="AS27" s="156">
        <f>IF(ISBLANK($A27),,ROUNDDOWN(N27*AS6*1.024,))</f>
        <v>0</v>
      </c>
      <c r="AT27" s="156">
        <f>IF(ISBLANK($A27),,ROUNDDOWN(P27*AS6*1.024,))</f>
        <v>0</v>
      </c>
      <c r="AU27" s="156">
        <f>IF(ISBLANK($A27),,ROUNDDOWN(R27*AS6*1.024,))</f>
        <v>0</v>
      </c>
      <c r="AV27" s="156">
        <f t="shared" si="2"/>
        <v>0</v>
      </c>
      <c r="AW27" s="156">
        <f>IF(ISBLANK($A27),,ROUNDDOWN(V27*AS6*1.024,))</f>
        <v>0</v>
      </c>
      <c r="AX27" s="156">
        <f>IF(ISBLANK($A27),,ROUNDDOWN(X27*AS6*1.024,))</f>
        <v>0</v>
      </c>
    </row>
    <row r="28" spans="1:50">
      <c r="A28" s="156" t="s">
        <v>365</v>
      </c>
      <c r="B28" s="152"/>
      <c r="C28" s="156" t="s">
        <v>333</v>
      </c>
      <c r="D28" s="156" t="s">
        <v>453</v>
      </c>
      <c r="E28" s="156" t="s">
        <v>81</v>
      </c>
      <c r="F28" s="152">
        <v>6</v>
      </c>
      <c r="G28" s="152">
        <v>6</v>
      </c>
      <c r="H28" s="152">
        <v>0</v>
      </c>
      <c r="I28" s="152">
        <v>56</v>
      </c>
      <c r="J28" s="152">
        <f t="shared" si="3"/>
        <v>6</v>
      </c>
      <c r="K28" s="152" t="s">
        <v>343</v>
      </c>
      <c r="L28" s="152"/>
      <c r="M28" s="152"/>
      <c r="N28" s="152"/>
      <c r="O28" s="152"/>
      <c r="P28" s="152"/>
      <c r="Q28" s="152"/>
      <c r="R28" s="152"/>
      <c r="S28" s="152"/>
      <c r="T28" s="152"/>
      <c r="U28" s="152"/>
      <c r="V28" s="152"/>
      <c r="W28" s="152"/>
      <c r="X28" s="152"/>
      <c r="Y28" s="152"/>
      <c r="Z28" s="152">
        <v>50</v>
      </c>
      <c r="AA28" s="152" t="s">
        <v>366</v>
      </c>
      <c r="AB28" s="152"/>
      <c r="AC28" s="152"/>
      <c r="AD28" s="152"/>
      <c r="AE28" s="152"/>
      <c r="AF28" s="179"/>
      <c r="AG28" s="179"/>
      <c r="AH28" s="152"/>
      <c r="AI28" s="152"/>
      <c r="AJ28" s="152" t="s">
        <v>328</v>
      </c>
      <c r="AK28" s="152" t="s">
        <v>329</v>
      </c>
      <c r="AL28" s="152"/>
      <c r="AM28" s="156"/>
      <c r="AN28" s="156"/>
      <c r="AO28" s="156">
        <f t="shared" si="0"/>
        <v>6.1440000000000001</v>
      </c>
      <c r="AP28" s="156">
        <f t="shared" si="1"/>
        <v>0</v>
      </c>
      <c r="AQ28" s="156">
        <f>IF(ISBLANK($A28),,ROUNDDOWN(I28*AS6*1.024,))</f>
        <v>51</v>
      </c>
      <c r="AR28" s="156">
        <f>IF(ISBLANK($A28),,ROUNDDOWN(L28*AS6*1.024,))</f>
        <v>0</v>
      </c>
      <c r="AS28" s="156">
        <f>IF(ISBLANK($A28),,ROUNDDOWN(N28*AS6*1.024,))</f>
        <v>0</v>
      </c>
      <c r="AT28" s="156">
        <f>IF(ISBLANK($A28),,ROUNDDOWN(P28*AS6*1.024,))</f>
        <v>0</v>
      </c>
      <c r="AU28" s="156">
        <f>IF(ISBLANK($A28),,ROUNDDOWN(R28*AS6*1.024,))</f>
        <v>0</v>
      </c>
      <c r="AV28" s="156">
        <f t="shared" si="2"/>
        <v>0</v>
      </c>
      <c r="AW28" s="156">
        <f>IF(ISBLANK($A28),,ROUNDDOWN(V28*AS6*1.024,))</f>
        <v>0</v>
      </c>
      <c r="AX28" s="156">
        <f>IF(ISBLANK($A28),,ROUNDDOWN(X28*AS6*1.024,))</f>
        <v>0</v>
      </c>
    </row>
    <row r="29" spans="1:50">
      <c r="A29" s="156" t="s">
        <v>367</v>
      </c>
      <c r="B29" s="152"/>
      <c r="C29" s="156" t="s">
        <v>333</v>
      </c>
      <c r="D29" s="156" t="s">
        <v>453</v>
      </c>
      <c r="E29" s="156" t="s">
        <v>81</v>
      </c>
      <c r="F29" s="152">
        <v>6</v>
      </c>
      <c r="G29" s="152">
        <v>6</v>
      </c>
      <c r="H29" s="152">
        <v>0</v>
      </c>
      <c r="I29" s="152">
        <v>56</v>
      </c>
      <c r="J29" s="152">
        <f t="shared" si="3"/>
        <v>6</v>
      </c>
      <c r="K29" s="152" t="s">
        <v>335</v>
      </c>
      <c r="L29" s="152"/>
      <c r="M29" s="152"/>
      <c r="N29" s="152"/>
      <c r="O29" s="152"/>
      <c r="P29" s="152"/>
      <c r="Q29" s="152"/>
      <c r="R29" s="152"/>
      <c r="S29" s="152"/>
      <c r="T29" s="152"/>
      <c r="U29" s="152"/>
      <c r="V29" s="152"/>
      <c r="W29" s="152"/>
      <c r="X29" s="152"/>
      <c r="Y29" s="152"/>
      <c r="Z29" s="152">
        <v>50</v>
      </c>
      <c r="AA29" s="152" t="s">
        <v>366</v>
      </c>
      <c r="AB29" s="152"/>
      <c r="AC29" s="152"/>
      <c r="AD29" s="152"/>
      <c r="AE29" s="152"/>
      <c r="AF29" s="179"/>
      <c r="AG29" s="179"/>
      <c r="AH29" s="152"/>
      <c r="AI29" s="152"/>
      <c r="AJ29" s="152" t="s">
        <v>328</v>
      </c>
      <c r="AK29" s="152" t="s">
        <v>329</v>
      </c>
      <c r="AL29" s="152"/>
      <c r="AM29" s="156"/>
      <c r="AN29" s="156"/>
      <c r="AO29" s="156">
        <f t="shared" si="0"/>
        <v>6.1440000000000001</v>
      </c>
      <c r="AP29" s="156">
        <f t="shared" si="1"/>
        <v>0</v>
      </c>
      <c r="AQ29" s="156">
        <f>IF(ISBLANK($A29),,ROUNDDOWN(I29*AS6*1.024,))</f>
        <v>51</v>
      </c>
      <c r="AR29" s="156">
        <f>IF(ISBLANK($A29),,ROUNDDOWN(L29*AS6*1.024,))</f>
        <v>0</v>
      </c>
      <c r="AS29" s="156">
        <f>IF(ISBLANK($A29),,ROUNDDOWN(N29*AS6*1.024,))</f>
        <v>0</v>
      </c>
      <c r="AT29" s="156">
        <f>IF(ISBLANK($A29),,ROUNDDOWN(P29*AS6*1.024,))</f>
        <v>0</v>
      </c>
      <c r="AU29" s="156">
        <f>IF(ISBLANK($A29),,ROUNDDOWN(R29*AS6*1.024,))</f>
        <v>0</v>
      </c>
      <c r="AV29" s="156">
        <f t="shared" si="2"/>
        <v>0</v>
      </c>
      <c r="AW29" s="156">
        <f>IF(ISBLANK($A29),,ROUNDDOWN(V29*AS6*1.024,))</f>
        <v>0</v>
      </c>
      <c r="AX29" s="156">
        <f>IF(ISBLANK($A29),,ROUNDDOWN(X29*AS6*1.024,))</f>
        <v>0</v>
      </c>
    </row>
    <row r="30" spans="1:50">
      <c r="A30" s="156" t="s">
        <v>368</v>
      </c>
      <c r="B30" s="152"/>
      <c r="C30" s="156" t="s">
        <v>333</v>
      </c>
      <c r="D30" s="156" t="s">
        <v>453</v>
      </c>
      <c r="E30" s="156" t="s">
        <v>369</v>
      </c>
      <c r="F30" s="152">
        <v>3</v>
      </c>
      <c r="G30" s="152">
        <v>3</v>
      </c>
      <c r="H30" s="152">
        <v>0</v>
      </c>
      <c r="I30" s="152">
        <v>41</v>
      </c>
      <c r="J30" s="152">
        <f>G30-H30</f>
        <v>3</v>
      </c>
      <c r="K30" s="152" t="s">
        <v>343</v>
      </c>
      <c r="L30" s="152"/>
      <c r="M30" s="152"/>
      <c r="N30" s="152"/>
      <c r="O30" s="152"/>
      <c r="P30" s="152"/>
      <c r="Q30" s="152"/>
      <c r="R30" s="152"/>
      <c r="S30" s="152"/>
      <c r="T30" s="152"/>
      <c r="U30" s="152"/>
      <c r="V30" s="152"/>
      <c r="W30" s="152"/>
      <c r="X30" s="152"/>
      <c r="Y30" s="152"/>
      <c r="Z30" s="152"/>
      <c r="AA30" s="152"/>
      <c r="AB30" s="152"/>
      <c r="AC30" s="152"/>
      <c r="AD30" s="152"/>
      <c r="AE30" s="152"/>
      <c r="AF30" s="179"/>
      <c r="AG30" s="179"/>
      <c r="AH30" s="152"/>
      <c r="AI30" s="152"/>
      <c r="AJ30" s="152" t="s">
        <v>328</v>
      </c>
      <c r="AK30" s="152" t="s">
        <v>329</v>
      </c>
      <c r="AL30" s="152"/>
      <c r="AM30" s="156"/>
      <c r="AN30" s="156"/>
      <c r="AO30" s="156">
        <f t="shared" si="0"/>
        <v>3.0720000000000001</v>
      </c>
      <c r="AP30" s="156">
        <f t="shared" si="1"/>
        <v>0</v>
      </c>
      <c r="AQ30" s="156">
        <f>IF(ISBLANK($A30),,ROUNDDOWN(I30*AS6*1.024,))</f>
        <v>37</v>
      </c>
      <c r="AR30" s="156">
        <f>IF(ISBLANK($A30),,ROUNDDOWN(L30*AS6*1.024,))</f>
        <v>0</v>
      </c>
      <c r="AS30" s="156">
        <f>IF(ISBLANK($A30),,ROUNDDOWN(N30*AS6*1.024,))</f>
        <v>0</v>
      </c>
      <c r="AT30" s="156">
        <f>IF(ISBLANK($A30),,ROUNDDOWN(P30*AS6*1.024,))</f>
        <v>0</v>
      </c>
      <c r="AU30" s="156">
        <f>IF(ISBLANK($A30),,ROUNDDOWN(R30*AS6*1.024,))</f>
        <v>0</v>
      </c>
      <c r="AV30" s="156">
        <f t="shared" si="2"/>
        <v>0</v>
      </c>
      <c r="AW30" s="156">
        <f>IF(ISBLANK($A30),,ROUNDDOWN(V30*AS6*1.024,))</f>
        <v>0</v>
      </c>
      <c r="AX30" s="156">
        <f>IF(ISBLANK($A30),,ROUNDDOWN(X30*AS6*1.024,))</f>
        <v>0</v>
      </c>
    </row>
    <row r="31" spans="1:50">
      <c r="A31" s="156" t="s">
        <v>370</v>
      </c>
      <c r="B31" s="152"/>
      <c r="C31" s="156" t="s">
        <v>333</v>
      </c>
      <c r="D31" s="156" t="s">
        <v>453</v>
      </c>
      <c r="E31" s="156" t="s">
        <v>371</v>
      </c>
      <c r="F31" s="152">
        <v>3</v>
      </c>
      <c r="G31" s="152">
        <v>3</v>
      </c>
      <c r="H31" s="152">
        <v>0</v>
      </c>
      <c r="I31" s="152">
        <v>41</v>
      </c>
      <c r="J31" s="8">
        <f>G31-H31</f>
        <v>3</v>
      </c>
      <c r="K31" s="8" t="s">
        <v>343</v>
      </c>
      <c r="L31" s="8"/>
      <c r="M31" s="8"/>
      <c r="N31" s="8"/>
      <c r="O31" s="8"/>
      <c r="P31" s="8"/>
      <c r="Q31" s="8"/>
      <c r="R31" s="8"/>
      <c r="S31" s="8"/>
      <c r="T31" s="8"/>
      <c r="U31" s="8"/>
      <c r="V31" s="8"/>
      <c r="W31" s="8"/>
      <c r="X31" s="8"/>
      <c r="Y31" s="8"/>
      <c r="Z31" s="8"/>
      <c r="AA31" s="8"/>
      <c r="AB31" s="8"/>
      <c r="AC31" s="8"/>
      <c r="AD31" s="8"/>
      <c r="AE31" s="8"/>
      <c r="AF31" s="8"/>
      <c r="AG31" s="8"/>
      <c r="AH31" s="8"/>
      <c r="AI31" s="8"/>
      <c r="AJ31" s="8" t="s">
        <v>328</v>
      </c>
      <c r="AK31" s="8" t="s">
        <v>329</v>
      </c>
      <c r="AL31" s="8"/>
      <c r="AM31" s="13"/>
      <c r="AN31" s="13"/>
      <c r="AO31" s="13">
        <f t="shared" si="0"/>
        <v>3.0720000000000001</v>
      </c>
      <c r="AP31" s="13">
        <f t="shared" si="1"/>
        <v>0</v>
      </c>
      <c r="AQ31" s="13">
        <f>IF(ISBLANK($A31),,ROUNDDOWN(I31*AS6*1.024,))</f>
        <v>37</v>
      </c>
      <c r="AR31" s="13">
        <f>IF(ISBLANK($A31),,ROUNDDOWN(L31*AS6*1.024,))</f>
        <v>0</v>
      </c>
      <c r="AS31" s="13">
        <f>IF(ISBLANK($A31),,ROUNDDOWN(N31*AS6*1.024,))</f>
        <v>0</v>
      </c>
      <c r="AT31" s="13">
        <f>IF(ISBLANK($A31),,ROUNDDOWN(P31*AS6*1.024,))</f>
        <v>0</v>
      </c>
      <c r="AU31" s="13">
        <f>IF(ISBLANK($A31),,ROUNDDOWN(R31*AS6*1.024,))</f>
        <v>0</v>
      </c>
      <c r="AV31" s="13">
        <f t="shared" si="2"/>
        <v>0</v>
      </c>
      <c r="AW31" s="13">
        <f>IF(ISBLANK($A31),,ROUNDDOWN(V31*AS6*1.024,))</f>
        <v>0</v>
      </c>
      <c r="AX31" s="13">
        <f>IF(ISBLANK($A31),,ROUNDDOWN(X31*AS6*1.024,))</f>
        <v>0</v>
      </c>
    </row>
    <row r="32" spans="1:50">
      <c r="A32" s="10"/>
      <c r="B32" s="10"/>
      <c r="C32" s="10"/>
      <c r="D32" s="10"/>
      <c r="E32" s="10"/>
      <c r="F32" s="9">
        <f>SUM(F8:F31)</f>
        <v>97</v>
      </c>
      <c r="G32" s="9">
        <f>SUM(G8:G31)</f>
        <v>229</v>
      </c>
      <c r="H32" s="9">
        <f>SUM(H8:H31)</f>
        <v>106</v>
      </c>
      <c r="I32" s="9">
        <f>SUM(I8:I31)</f>
        <v>2234</v>
      </c>
      <c r="J32" s="152">
        <f>SUM(J8:J31)</f>
        <v>136</v>
      </c>
      <c r="K32" s="152"/>
      <c r="L32" s="152">
        <f>SUM(L8:L31)</f>
        <v>66</v>
      </c>
      <c r="M32" s="152"/>
      <c r="N32" s="152">
        <f>SUM(N8:N31)</f>
        <v>750</v>
      </c>
      <c r="O32" s="152"/>
      <c r="P32" s="152">
        <f>SUM(P8:P31)</f>
        <v>1125</v>
      </c>
      <c r="Q32" s="152"/>
      <c r="R32" s="152">
        <f>SUM(R8:R31)</f>
        <v>270</v>
      </c>
      <c r="S32" s="152"/>
      <c r="T32" s="152">
        <f>SUM(T8:T31)</f>
        <v>300</v>
      </c>
      <c r="U32" s="152"/>
      <c r="V32" s="152">
        <f>SUM(V8:V31)</f>
        <v>0</v>
      </c>
      <c r="W32" s="152"/>
      <c r="X32" s="152">
        <f>SUM(X8:X31)</f>
        <v>3050</v>
      </c>
      <c r="Y32" s="156"/>
      <c r="Z32" s="152">
        <f>SUM(Z8:Z31)</f>
        <v>100</v>
      </c>
      <c r="AA32" s="156"/>
      <c r="AB32" s="152">
        <f>SUM(AB8:AB31)</f>
        <v>50</v>
      </c>
      <c r="AC32" s="156"/>
      <c r="AD32" s="152">
        <f>SUM(AD8:AD31)</f>
        <v>65</v>
      </c>
      <c r="AE32" s="156"/>
      <c r="AF32" s="179">
        <f>SUM(AF8:AF31)</f>
        <v>0</v>
      </c>
      <c r="AH32" s="152">
        <f>SUM(AH8:AH31)</f>
        <v>2500</v>
      </c>
      <c r="AI32" s="156"/>
      <c r="AJ32" s="156"/>
      <c r="AK32" s="152" t="s">
        <v>372</v>
      </c>
      <c r="AL32" s="152">
        <v>2</v>
      </c>
      <c r="AM32" s="156"/>
      <c r="AN32" s="156"/>
      <c r="AO32" s="156"/>
      <c r="AP32" s="156"/>
      <c r="AQ32" s="156"/>
      <c r="AR32" s="156"/>
      <c r="AS32" s="156"/>
      <c r="AT32" s="156"/>
      <c r="AU32" s="156"/>
      <c r="AV32" s="156"/>
      <c r="AW32" s="156"/>
      <c r="AX32" s="156"/>
    </row>
    <row r="34" spans="1:50">
      <c r="A34" s="156"/>
      <c r="B34" s="156"/>
      <c r="C34" s="156"/>
      <c r="D34" s="156"/>
      <c r="E34" s="156"/>
      <c r="F34" s="152"/>
      <c r="G34" s="152"/>
      <c r="H34" s="152"/>
      <c r="I34" s="152"/>
      <c r="J34" s="152"/>
      <c r="K34" s="152"/>
      <c r="L34" s="152"/>
      <c r="M34" s="152"/>
      <c r="N34" s="152"/>
      <c r="O34" s="152"/>
      <c r="P34" s="152"/>
      <c r="Q34" s="152"/>
      <c r="R34" s="152"/>
      <c r="S34" s="152"/>
      <c r="T34" s="152"/>
      <c r="U34" s="152"/>
      <c r="V34" s="152"/>
      <c r="W34" s="152"/>
      <c r="X34" s="152"/>
      <c r="Y34" s="156"/>
      <c r="Z34" s="156"/>
      <c r="AA34" s="156"/>
      <c r="AB34" s="156"/>
      <c r="AC34" s="156"/>
      <c r="AD34" s="156"/>
      <c r="AE34" s="156"/>
      <c r="AH34" s="156"/>
      <c r="AI34" s="156"/>
      <c r="AJ34" s="156"/>
      <c r="AK34" s="156"/>
      <c r="AL34" s="156"/>
      <c r="AM34" s="156"/>
      <c r="AN34" s="156"/>
      <c r="AO34" s="156"/>
      <c r="AP34" s="156"/>
      <c r="AQ34" s="156"/>
      <c r="AR34" s="156"/>
      <c r="AS34" s="156"/>
      <c r="AT34" s="156"/>
      <c r="AU34" s="156"/>
      <c r="AV34" s="156"/>
      <c r="AW34" s="156"/>
      <c r="AX34" s="156"/>
    </row>
    <row r="35" spans="1:50" ht="13.35" customHeight="1">
      <c r="A35" s="224" t="s">
        <v>373</v>
      </c>
      <c r="B35" s="224"/>
      <c r="C35" s="224"/>
      <c r="D35" s="224"/>
      <c r="E35" s="15" t="s">
        <v>374</v>
      </c>
      <c r="F35" s="151">
        <f>40-1</f>
        <v>39</v>
      </c>
      <c r="G35" s="151">
        <f>5*(80-8)</f>
        <v>360</v>
      </c>
      <c r="H35" s="221" t="s">
        <v>653</v>
      </c>
      <c r="I35" s="222"/>
      <c r="J35" s="222"/>
      <c r="K35" s="222"/>
      <c r="L35" s="22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row r="36" spans="1:50">
      <c r="A36" s="224"/>
      <c r="B36" s="224"/>
      <c r="C36" s="224"/>
      <c r="D36" s="224"/>
      <c r="E36" s="15" t="s">
        <v>375</v>
      </c>
      <c r="F36" s="151">
        <f>48-1</f>
        <v>47</v>
      </c>
      <c r="G36" s="151">
        <f>4*(96-8)</f>
        <v>352</v>
      </c>
      <c r="H36" s="222"/>
      <c r="I36" s="222"/>
      <c r="J36" s="222"/>
      <c r="K36" s="222"/>
      <c r="L36" s="22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row>
    <row r="37" spans="1:50">
      <c r="A37" s="151"/>
      <c r="B37" s="151"/>
      <c r="C37" s="151"/>
      <c r="D37" s="151"/>
      <c r="E37" s="15" t="s">
        <v>376</v>
      </c>
      <c r="F37" s="151">
        <f>48-1</f>
        <v>47</v>
      </c>
      <c r="G37" s="151">
        <v>552</v>
      </c>
      <c r="H37" s="222"/>
      <c r="I37" s="222"/>
      <c r="J37" s="222"/>
      <c r="K37" s="222"/>
      <c r="L37" s="22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row>
    <row r="38" spans="1:50">
      <c r="A38" s="151"/>
      <c r="B38" s="151"/>
      <c r="C38" s="151"/>
      <c r="D38" s="151"/>
      <c r="E38" s="15" t="s">
        <v>377</v>
      </c>
      <c r="F38" s="151">
        <f>48-1</f>
        <v>47</v>
      </c>
      <c r="G38" s="151">
        <f>2*(256-8)</f>
        <v>496</v>
      </c>
      <c r="H38" s="223"/>
      <c r="I38" s="223"/>
      <c r="J38" s="223"/>
      <c r="K38" s="223"/>
      <c r="L38" s="223"/>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c r="A39" s="151"/>
      <c r="B39" s="151"/>
      <c r="C39" s="151"/>
      <c r="D39" s="151"/>
      <c r="E39" s="15" t="s">
        <v>378</v>
      </c>
      <c r="F39" s="151">
        <f>64-1</f>
        <v>63</v>
      </c>
      <c r="G39" s="151">
        <f>2*(384-8)</f>
        <v>752</v>
      </c>
      <c r="H39" s="223"/>
      <c r="I39" s="223"/>
      <c r="J39" s="223"/>
      <c r="K39" s="223"/>
      <c r="L39" s="223"/>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row>
    <row r="40" spans="1:50">
      <c r="A40" s="12"/>
      <c r="B40" s="12"/>
      <c r="C40" s="12"/>
      <c r="D40" s="12"/>
      <c r="E40" s="15" t="s">
        <v>379</v>
      </c>
      <c r="F40" s="151">
        <f>48-1</f>
        <v>47</v>
      </c>
      <c r="G40" s="151">
        <f>4*(80-8)+1*(192-8)</f>
        <v>472</v>
      </c>
      <c r="H40" s="223"/>
      <c r="I40" s="223"/>
      <c r="J40" s="223"/>
      <c r="K40" s="223"/>
      <c r="L40" s="223"/>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row>
    <row r="41" spans="1:50">
      <c r="A41" s="7"/>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H41" s="156"/>
      <c r="AI41" s="156"/>
      <c r="AJ41" s="156"/>
      <c r="AK41" s="156"/>
      <c r="AL41" s="156"/>
      <c r="AM41" s="156"/>
      <c r="AN41" s="156"/>
      <c r="AO41" s="156"/>
      <c r="AP41" s="156"/>
      <c r="AQ41" s="156"/>
      <c r="AR41" s="156"/>
      <c r="AS41" s="156"/>
      <c r="AT41" s="156"/>
      <c r="AU41" s="156"/>
      <c r="AV41" s="156"/>
      <c r="AW41" s="156"/>
      <c r="AX41" s="156"/>
    </row>
    <row r="42" spans="1:50" s="156" customFormat="1" ht="15">
      <c r="A42" s="227" t="s">
        <v>719</v>
      </c>
      <c r="B42" s="228"/>
      <c r="C42" s="228"/>
      <c r="D42" s="228"/>
      <c r="E42" s="185">
        <v>1</v>
      </c>
    </row>
    <row r="43" spans="1:50" s="156" customFormat="1">
      <c r="A43" s="7"/>
    </row>
    <row r="44" spans="1:50">
      <c r="A44" s="7" t="s">
        <v>380</v>
      </c>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H44" s="156"/>
      <c r="AI44" s="156"/>
      <c r="AJ44" s="156"/>
      <c r="AK44" s="156"/>
      <c r="AL44" s="152"/>
      <c r="AM44" s="156"/>
      <c r="AN44" s="156"/>
      <c r="AO44" s="156"/>
      <c r="AP44" s="156"/>
      <c r="AQ44" s="156"/>
      <c r="AR44" s="156"/>
      <c r="AS44" s="156"/>
      <c r="AT44" s="156"/>
      <c r="AU44" s="156"/>
      <c r="AV44" s="156"/>
      <c r="AW44" s="156"/>
      <c r="AX44" s="156"/>
    </row>
    <row r="45" spans="1:50">
      <c r="A45" s="156" t="s">
        <v>381</v>
      </c>
      <c r="B45" s="156"/>
      <c r="C45" s="156" t="s">
        <v>333</v>
      </c>
      <c r="D45" s="156" t="s">
        <v>453</v>
      </c>
      <c r="E45" s="156" t="s">
        <v>10</v>
      </c>
      <c r="F45" s="152">
        <v>4</v>
      </c>
      <c r="G45" s="152">
        <v>16</v>
      </c>
      <c r="H45" s="152">
        <v>0</v>
      </c>
      <c r="I45" s="157">
        <v>71</v>
      </c>
      <c r="J45" s="152">
        <f t="shared" ref="J45:J61" si="4">G45-H45</f>
        <v>16</v>
      </c>
      <c r="K45" s="152"/>
      <c r="L45" s="152"/>
      <c r="M45" s="152"/>
      <c r="N45" s="152"/>
      <c r="O45" s="152"/>
      <c r="P45" s="152"/>
      <c r="Q45" s="152"/>
      <c r="R45" s="152"/>
      <c r="S45" s="152"/>
      <c r="T45" s="152"/>
      <c r="U45" s="152"/>
      <c r="V45" s="152"/>
      <c r="W45" s="152"/>
      <c r="X45" s="152"/>
      <c r="Y45" s="156"/>
      <c r="Z45" s="156"/>
      <c r="AA45" s="156"/>
      <c r="AB45" s="156"/>
      <c r="AC45" s="156"/>
      <c r="AD45" s="156"/>
      <c r="AE45" s="156"/>
      <c r="AH45" s="156"/>
      <c r="AI45" s="156"/>
      <c r="AJ45" s="152" t="s">
        <v>328</v>
      </c>
      <c r="AK45" s="152" t="s">
        <v>329</v>
      </c>
      <c r="AL45" s="152"/>
      <c r="AM45" s="156"/>
      <c r="AN45" s="156"/>
      <c r="AO45" s="156">
        <f t="shared" ref="AO45:AO61" si="5">IF(ISBLANK($A45),,G45*1.024)</f>
        <v>16.384</v>
      </c>
      <c r="AP45" s="156">
        <f t="shared" ref="AP45:AP61" si="6">IF(ISBLANK($A45),,H45*1.024)</f>
        <v>0</v>
      </c>
      <c r="AQ45" s="156">
        <f>IF(ISBLANK($A45),,ROUNDDOWN(I45*AS6*1.024,))</f>
        <v>65</v>
      </c>
      <c r="AR45" s="156">
        <f>IF(ISBLANK($A45),,ROUNDDOWN(L45*AS6*1.024,))</f>
        <v>0</v>
      </c>
      <c r="AS45" s="156">
        <f>IF(ISBLANK($A45),,ROUNDDOWN(N45*AS6*1.024,))</f>
        <v>0</v>
      </c>
      <c r="AT45" s="156">
        <f>IF(ISBLANK($A45),,ROUNDDOWN(P45*AS6*1.024,))</f>
        <v>0</v>
      </c>
      <c r="AU45" s="156">
        <f>IF(ISBLANK($A45),,ROUNDDOWN(R45*AS6*1.024,))</f>
        <v>0</v>
      </c>
      <c r="AV45" s="156">
        <f t="shared" ref="AV45:AV61" si="7">IF(ISBLANK($A45),,ROUNDDOWN(T45*AS$6*1.024,))</f>
        <v>0</v>
      </c>
      <c r="AW45" s="156">
        <f>IF(ISBLANK($A45),,ROUNDDOWN(V45*AS6*1.024,))</f>
        <v>0</v>
      </c>
      <c r="AX45" s="156">
        <f>IF(ISBLANK($A45),,ROUNDDOWN(X45*AS6*1.024,))</f>
        <v>0</v>
      </c>
    </row>
    <row r="46" spans="1:50">
      <c r="A46" s="156" t="s">
        <v>382</v>
      </c>
      <c r="B46" s="156"/>
      <c r="C46" s="156" t="s">
        <v>333</v>
      </c>
      <c r="D46" s="11" t="s">
        <v>362</v>
      </c>
      <c r="E46" s="156" t="s">
        <v>75</v>
      </c>
      <c r="F46" s="152">
        <v>4</v>
      </c>
      <c r="G46" s="152">
        <v>4</v>
      </c>
      <c r="H46" s="152">
        <v>0</v>
      </c>
      <c r="I46" s="152">
        <v>100</v>
      </c>
      <c r="J46" s="152">
        <f t="shared" si="4"/>
        <v>4</v>
      </c>
      <c r="K46" s="152"/>
      <c r="L46" s="152"/>
      <c r="M46" s="152"/>
      <c r="N46" s="152"/>
      <c r="O46" s="152"/>
      <c r="P46" s="152"/>
      <c r="Q46" s="152"/>
      <c r="R46" s="152"/>
      <c r="S46" s="152"/>
      <c r="T46" s="152"/>
      <c r="U46" s="152"/>
      <c r="V46" s="152"/>
      <c r="W46" s="152"/>
      <c r="X46" s="152"/>
      <c r="Y46" s="156"/>
      <c r="Z46" s="156"/>
      <c r="AA46" s="156"/>
      <c r="AB46" s="156"/>
      <c r="AC46" s="156"/>
      <c r="AD46" s="156"/>
      <c r="AE46" s="156"/>
      <c r="AH46" s="156"/>
      <c r="AI46" s="156"/>
      <c r="AJ46" s="152" t="s">
        <v>328</v>
      </c>
      <c r="AK46" s="152" t="s">
        <v>329</v>
      </c>
      <c r="AL46" s="152"/>
      <c r="AM46" s="156"/>
      <c r="AN46" s="156"/>
      <c r="AO46" s="156">
        <f t="shared" si="5"/>
        <v>4.0960000000000001</v>
      </c>
      <c r="AP46" s="156">
        <f t="shared" si="6"/>
        <v>0</v>
      </c>
      <c r="AQ46" s="156">
        <f>IF(ISBLANK($A46),,ROUNDDOWN(I46*AS6*1.024,))</f>
        <v>92</v>
      </c>
      <c r="AR46" s="156">
        <f>IF(ISBLANK($A46),,ROUNDDOWN(L46*AS6*1.024,))</f>
        <v>0</v>
      </c>
      <c r="AS46" s="156">
        <f>IF(ISBLANK($A46),,ROUNDDOWN(N46*AS6*1.024,))</f>
        <v>0</v>
      </c>
      <c r="AT46" s="156">
        <f>IF(ISBLANK($A46),,ROUNDDOWN(P46*AS6*1.024,))</f>
        <v>0</v>
      </c>
      <c r="AU46" s="156">
        <f>IF(ISBLANK($A46),,ROUNDDOWN(R46*AS6*1.024,))</f>
        <v>0</v>
      </c>
      <c r="AV46" s="156">
        <f t="shared" si="7"/>
        <v>0</v>
      </c>
      <c r="AW46" s="156">
        <f>IF(ISBLANK($A46),,ROUNDDOWN(V46*AS6*1.024,))</f>
        <v>0</v>
      </c>
      <c r="AX46" s="156">
        <f>IF(ISBLANK($A46),,ROUNDDOWN(X46*AS6*1.024,))</f>
        <v>0</v>
      </c>
    </row>
    <row r="47" spans="1:50">
      <c r="A47" s="156" t="s">
        <v>383</v>
      </c>
      <c r="B47" s="156"/>
      <c r="C47" s="156" t="s">
        <v>333</v>
      </c>
      <c r="D47" s="11" t="s">
        <v>362</v>
      </c>
      <c r="E47" s="156" t="s">
        <v>79</v>
      </c>
      <c r="F47" s="152">
        <v>4</v>
      </c>
      <c r="G47" s="152">
        <v>16</v>
      </c>
      <c r="H47" s="152">
        <v>0</v>
      </c>
      <c r="I47" s="152">
        <v>100</v>
      </c>
      <c r="J47" s="152">
        <f t="shared" si="4"/>
        <v>16</v>
      </c>
      <c r="K47" s="152"/>
      <c r="L47" s="152"/>
      <c r="M47" s="152"/>
      <c r="N47" s="152"/>
      <c r="O47" s="152"/>
      <c r="P47" s="152"/>
      <c r="Q47" s="152"/>
      <c r="R47" s="152"/>
      <c r="S47" s="152"/>
      <c r="T47" s="152"/>
      <c r="U47" s="152"/>
      <c r="V47" s="152"/>
      <c r="W47" s="152"/>
      <c r="X47" s="152"/>
      <c r="Y47" s="156"/>
      <c r="Z47" s="156"/>
      <c r="AA47" s="156"/>
      <c r="AB47" s="156"/>
      <c r="AC47" s="156"/>
      <c r="AD47" s="156"/>
      <c r="AE47" s="156"/>
      <c r="AH47" s="156"/>
      <c r="AI47" s="156"/>
      <c r="AJ47" s="152" t="s">
        <v>328</v>
      </c>
      <c r="AK47" s="152" t="s">
        <v>329</v>
      </c>
      <c r="AL47" s="152"/>
      <c r="AM47" s="156"/>
      <c r="AN47" s="156"/>
      <c r="AO47" s="156">
        <f t="shared" si="5"/>
        <v>16.384</v>
      </c>
      <c r="AP47" s="156">
        <f t="shared" si="6"/>
        <v>0</v>
      </c>
      <c r="AQ47" s="156">
        <f>IF(ISBLANK($A47),,ROUNDDOWN(I47*AS6*1.024,))</f>
        <v>92</v>
      </c>
      <c r="AR47" s="156">
        <f>IF(ISBLANK($A47),,ROUNDDOWN(L47*AS6*1.024,))</f>
        <v>0</v>
      </c>
      <c r="AS47" s="156">
        <f>IF(ISBLANK($A47),,ROUNDDOWN(N47*AS6*1.024,))</f>
        <v>0</v>
      </c>
      <c r="AT47" s="156">
        <f>IF(ISBLANK($A47),,ROUNDDOWN(P47*AS6*1.024,))</f>
        <v>0</v>
      </c>
      <c r="AU47" s="156">
        <f>IF(ISBLANK($A47),,ROUNDDOWN(R47*AS6*1.024,))</f>
        <v>0</v>
      </c>
      <c r="AV47" s="156">
        <f t="shared" si="7"/>
        <v>0</v>
      </c>
      <c r="AW47" s="156">
        <f>IF(ISBLANK($A47),,ROUNDDOWN(V47*AS6*1.024,))</f>
        <v>0</v>
      </c>
      <c r="AX47" s="156">
        <f>IF(ISBLANK($A47),,ROUNDDOWN(X47*AS6*1.024,))</f>
        <v>0</v>
      </c>
    </row>
    <row r="48" spans="1:50">
      <c r="A48" s="156" t="s">
        <v>384</v>
      </c>
      <c r="B48" s="156"/>
      <c r="C48" s="156" t="s">
        <v>333</v>
      </c>
      <c r="D48" s="11" t="s">
        <v>362</v>
      </c>
      <c r="E48" s="156" t="s">
        <v>79</v>
      </c>
      <c r="F48" s="152">
        <v>4</v>
      </c>
      <c r="G48" s="152">
        <v>16</v>
      </c>
      <c r="H48" s="152">
        <v>0</v>
      </c>
      <c r="I48" s="152">
        <v>100</v>
      </c>
      <c r="J48" s="152">
        <f t="shared" si="4"/>
        <v>16</v>
      </c>
      <c r="K48" s="152"/>
      <c r="L48" s="152"/>
      <c r="M48" s="152"/>
      <c r="N48" s="152"/>
      <c r="O48" s="152"/>
      <c r="P48" s="152"/>
      <c r="Q48" s="152"/>
      <c r="R48" s="152"/>
      <c r="S48" s="152"/>
      <c r="T48" s="152"/>
      <c r="U48" s="152"/>
      <c r="V48" s="152"/>
      <c r="W48" s="152"/>
      <c r="X48" s="152"/>
      <c r="Y48" s="156"/>
      <c r="Z48" s="156"/>
      <c r="AA48" s="156"/>
      <c r="AB48" s="156"/>
      <c r="AC48" s="156"/>
      <c r="AD48" s="156"/>
      <c r="AE48" s="156"/>
      <c r="AH48" s="156"/>
      <c r="AI48" s="156"/>
      <c r="AJ48" s="152" t="s">
        <v>328</v>
      </c>
      <c r="AK48" s="152" t="s">
        <v>329</v>
      </c>
      <c r="AL48" s="152"/>
      <c r="AM48" s="156"/>
      <c r="AN48" s="156"/>
      <c r="AO48" s="156">
        <f t="shared" si="5"/>
        <v>16.384</v>
      </c>
      <c r="AP48" s="156">
        <f t="shared" si="6"/>
        <v>0</v>
      </c>
      <c r="AQ48" s="156">
        <f>IF(ISBLANK($A48),,ROUNDDOWN(I48*AS6*1.024,))</f>
        <v>92</v>
      </c>
      <c r="AR48" s="156">
        <f>IF(ISBLANK($A48),,ROUNDDOWN(L48*AS6*1.024,))</f>
        <v>0</v>
      </c>
      <c r="AS48" s="156">
        <f>IF(ISBLANK($A48),,ROUNDDOWN(N48*AS6*1.024,))</f>
        <v>0</v>
      </c>
      <c r="AT48" s="156">
        <f>IF(ISBLANK($A48),,ROUNDDOWN(P48*AS6*1.024,))</f>
        <v>0</v>
      </c>
      <c r="AU48" s="156">
        <f>IF(ISBLANK($A48),,ROUNDDOWN(R48*AS6*1.024,))</f>
        <v>0</v>
      </c>
      <c r="AV48" s="156">
        <f t="shared" si="7"/>
        <v>0</v>
      </c>
      <c r="AW48" s="156">
        <f>IF(ISBLANK($A48),,ROUNDDOWN(V48*AS6*1.024,))</f>
        <v>0</v>
      </c>
      <c r="AX48" s="156">
        <f>IF(ISBLANK($A48),,ROUNDDOWN(X48*AS6*1.024,))</f>
        <v>0</v>
      </c>
    </row>
    <row r="49" spans="1:50">
      <c r="A49" s="156" t="s">
        <v>385</v>
      </c>
      <c r="B49" s="156"/>
      <c r="C49" s="156" t="s">
        <v>333</v>
      </c>
      <c r="D49" s="11" t="s">
        <v>362</v>
      </c>
      <c r="E49" s="156" t="s">
        <v>77</v>
      </c>
      <c r="F49" s="152">
        <v>4</v>
      </c>
      <c r="G49" s="152">
        <v>14</v>
      </c>
      <c r="H49" s="152">
        <v>0</v>
      </c>
      <c r="I49" s="152">
        <v>100</v>
      </c>
      <c r="J49" s="152">
        <f t="shared" si="4"/>
        <v>14</v>
      </c>
      <c r="K49" s="152"/>
      <c r="L49" s="152"/>
      <c r="M49" s="152"/>
      <c r="N49" s="152"/>
      <c r="O49" s="152"/>
      <c r="P49" s="152"/>
      <c r="Q49" s="152"/>
      <c r="R49" s="152"/>
      <c r="S49" s="152"/>
      <c r="T49" s="152"/>
      <c r="U49" s="152"/>
      <c r="V49" s="152"/>
      <c r="W49" s="152"/>
      <c r="X49" s="152"/>
      <c r="Y49" s="156"/>
      <c r="Z49" s="156"/>
      <c r="AA49" s="156"/>
      <c r="AB49" s="156"/>
      <c r="AC49" s="156"/>
      <c r="AD49" s="156"/>
      <c r="AE49" s="156"/>
      <c r="AH49" s="156"/>
      <c r="AI49" s="156"/>
      <c r="AJ49" s="152" t="s">
        <v>328</v>
      </c>
      <c r="AK49" s="152" t="s">
        <v>329</v>
      </c>
      <c r="AL49" s="152"/>
      <c r="AM49" s="156"/>
      <c r="AN49" s="156"/>
      <c r="AO49" s="156">
        <f t="shared" si="5"/>
        <v>14.336</v>
      </c>
      <c r="AP49" s="156">
        <f t="shared" si="6"/>
        <v>0</v>
      </c>
      <c r="AQ49" s="156">
        <f>IF(ISBLANK($A49),,ROUNDDOWN(I49*AS6*1.024,))</f>
        <v>92</v>
      </c>
      <c r="AR49" s="156">
        <f>IF(ISBLANK($A49),,ROUNDDOWN(L49*AS6*1.024,))</f>
        <v>0</v>
      </c>
      <c r="AS49" s="156">
        <f>IF(ISBLANK($A49),,ROUNDDOWN(N49*AS6*1.024,))</f>
        <v>0</v>
      </c>
      <c r="AT49" s="156">
        <f>IF(ISBLANK($A49),,ROUNDDOWN(P49*AS6*1.024,))</f>
        <v>0</v>
      </c>
      <c r="AU49" s="156">
        <f>IF(ISBLANK($A49),,ROUNDDOWN(R49*AS6*1.024,))</f>
        <v>0</v>
      </c>
      <c r="AV49" s="156">
        <f t="shared" si="7"/>
        <v>0</v>
      </c>
      <c r="AW49" s="156">
        <f>IF(ISBLANK($A49),,ROUNDDOWN(V49*AS6*1.024,))</f>
        <v>0</v>
      </c>
      <c r="AX49" s="156">
        <f>IF(ISBLANK($A49),,ROUNDDOWN(X49*AS6*1.024,))</f>
        <v>0</v>
      </c>
    </row>
    <row r="50" spans="1:50">
      <c r="A50" s="156" t="s">
        <v>386</v>
      </c>
      <c r="B50" s="156"/>
      <c r="C50" s="156" t="s">
        <v>333</v>
      </c>
      <c r="D50" s="156" t="s">
        <v>453</v>
      </c>
      <c r="E50" s="156" t="s">
        <v>110</v>
      </c>
      <c r="F50" s="152">
        <v>3</v>
      </c>
      <c r="G50" s="152">
        <v>8</v>
      </c>
      <c r="H50" s="152">
        <v>0</v>
      </c>
      <c r="I50" s="152">
        <v>121</v>
      </c>
      <c r="J50" s="152">
        <f t="shared" si="4"/>
        <v>8</v>
      </c>
      <c r="K50" s="152"/>
      <c r="L50" s="152"/>
      <c r="M50" s="152"/>
      <c r="N50" s="152"/>
      <c r="O50" s="152"/>
      <c r="P50" s="152"/>
      <c r="Q50" s="152"/>
      <c r="R50" s="152"/>
      <c r="S50" s="152"/>
      <c r="T50" s="152"/>
      <c r="U50" s="152"/>
      <c r="V50" s="152"/>
      <c r="W50" s="152"/>
      <c r="X50" s="152"/>
      <c r="Y50" s="156"/>
      <c r="Z50" s="156"/>
      <c r="AA50" s="156"/>
      <c r="AB50" s="156"/>
      <c r="AC50" s="156"/>
      <c r="AD50" s="156"/>
      <c r="AE50" s="156"/>
      <c r="AH50" s="156"/>
      <c r="AI50" s="156"/>
      <c r="AJ50" s="152" t="s">
        <v>328</v>
      </c>
      <c r="AK50" s="152" t="s">
        <v>329</v>
      </c>
      <c r="AL50" s="152"/>
      <c r="AM50" s="156"/>
      <c r="AN50" s="156"/>
      <c r="AO50" s="156">
        <f t="shared" si="5"/>
        <v>8.1920000000000002</v>
      </c>
      <c r="AP50" s="156">
        <f t="shared" si="6"/>
        <v>0</v>
      </c>
      <c r="AQ50" s="156">
        <f>IF(ISBLANK($A50),,ROUNDDOWN(I50*AS6*1.024,))</f>
        <v>111</v>
      </c>
      <c r="AR50" s="156">
        <f>IF(ISBLANK($A50),,ROUNDDOWN(L50*AS6*1.024,))</f>
        <v>0</v>
      </c>
      <c r="AS50" s="156">
        <f>IF(ISBLANK($A50),,ROUNDDOWN(N50*AS6*1.024,))</f>
        <v>0</v>
      </c>
      <c r="AT50" s="156">
        <f>IF(ISBLANK($A50),,ROUNDDOWN(P50*AS6*1.024,))</f>
        <v>0</v>
      </c>
      <c r="AU50" s="156">
        <f>IF(ISBLANK($A50),,ROUNDDOWN(R50*AS6*1.024,))</f>
        <v>0</v>
      </c>
      <c r="AV50" s="156">
        <f t="shared" si="7"/>
        <v>0</v>
      </c>
      <c r="AW50" s="156">
        <f>IF(ISBLANK($A50),,ROUNDDOWN(V50*AS6*1.024,))</f>
        <v>0</v>
      </c>
      <c r="AX50" s="156">
        <f>IF(ISBLANK($A50),,ROUNDDOWN(X50*AS6*1.024,))</f>
        <v>0</v>
      </c>
    </row>
    <row r="51" spans="1:50">
      <c r="A51" s="156" t="s">
        <v>387</v>
      </c>
      <c r="B51" s="156"/>
      <c r="C51" s="156" t="s">
        <v>333</v>
      </c>
      <c r="D51" s="156" t="s">
        <v>453</v>
      </c>
      <c r="E51" s="156" t="s">
        <v>110</v>
      </c>
      <c r="F51" s="152">
        <v>3</v>
      </c>
      <c r="G51" s="152">
        <v>8</v>
      </c>
      <c r="H51" s="152">
        <v>0</v>
      </c>
      <c r="I51" s="152">
        <v>121</v>
      </c>
      <c r="J51" s="152">
        <f t="shared" si="4"/>
        <v>8</v>
      </c>
      <c r="K51" s="152"/>
      <c r="L51" s="152"/>
      <c r="M51" s="152"/>
      <c r="N51" s="152"/>
      <c r="O51" s="152"/>
      <c r="P51" s="152"/>
      <c r="Q51" s="152"/>
      <c r="R51" s="152"/>
      <c r="S51" s="152"/>
      <c r="T51" s="152"/>
      <c r="U51" s="152"/>
      <c r="V51" s="152"/>
      <c r="W51" s="152"/>
      <c r="X51" s="152"/>
      <c r="Y51" s="156"/>
      <c r="Z51" s="156"/>
      <c r="AA51" s="156"/>
      <c r="AB51" s="156"/>
      <c r="AC51" s="156"/>
      <c r="AD51" s="156"/>
      <c r="AE51" s="156"/>
      <c r="AH51" s="156"/>
      <c r="AI51" s="156"/>
      <c r="AJ51" s="152" t="s">
        <v>328</v>
      </c>
      <c r="AK51" s="152" t="s">
        <v>329</v>
      </c>
      <c r="AL51" s="152"/>
      <c r="AM51" s="156"/>
      <c r="AN51" s="156"/>
      <c r="AO51" s="156">
        <f t="shared" si="5"/>
        <v>8.1920000000000002</v>
      </c>
      <c r="AP51" s="156">
        <f t="shared" si="6"/>
        <v>0</v>
      </c>
      <c r="AQ51" s="156">
        <f>IF(ISBLANK($A51),,ROUNDDOWN(I51*AS6*1.024,))</f>
        <v>111</v>
      </c>
      <c r="AR51" s="156">
        <f>IF(ISBLANK($A51),,ROUNDDOWN(L51*AS6*1.024,))</f>
        <v>0</v>
      </c>
      <c r="AS51" s="156">
        <f>IF(ISBLANK($A51),,ROUNDDOWN(N51*AS6*1.024,))</f>
        <v>0</v>
      </c>
      <c r="AT51" s="156">
        <f>IF(ISBLANK($A51),,ROUNDDOWN(P51*AS6*1.024,))</f>
        <v>0</v>
      </c>
      <c r="AU51" s="156">
        <f>IF(ISBLANK($A51),,ROUNDDOWN(R51*AS6*1.024,))</f>
        <v>0</v>
      </c>
      <c r="AV51" s="156">
        <f t="shared" si="7"/>
        <v>0</v>
      </c>
      <c r="AW51" s="156">
        <f>IF(ISBLANK($A51),,ROUNDDOWN(V51*AS6*1.024,))</f>
        <v>0</v>
      </c>
      <c r="AX51" s="156">
        <f>IF(ISBLANK($A51),,ROUNDDOWN(X51*AS6*1.024,))</f>
        <v>0</v>
      </c>
    </row>
    <row r="52" spans="1:50">
      <c r="A52" s="156" t="s">
        <v>388</v>
      </c>
      <c r="B52" s="156"/>
      <c r="C52" s="156" t="s">
        <v>333</v>
      </c>
      <c r="D52" s="156" t="s">
        <v>453</v>
      </c>
      <c r="E52" s="156" t="s">
        <v>30</v>
      </c>
      <c r="F52" s="152">
        <v>2</v>
      </c>
      <c r="G52" s="152">
        <v>4</v>
      </c>
      <c r="H52" s="152">
        <v>0</v>
      </c>
      <c r="I52" s="152">
        <v>41</v>
      </c>
      <c r="J52" s="152">
        <f t="shared" si="4"/>
        <v>4</v>
      </c>
      <c r="K52" s="152"/>
      <c r="L52" s="152"/>
      <c r="M52" s="152"/>
      <c r="N52" s="152"/>
      <c r="O52" s="152"/>
      <c r="P52" s="152"/>
      <c r="Q52" s="152"/>
      <c r="R52" s="152"/>
      <c r="S52" s="152"/>
      <c r="T52" s="152"/>
      <c r="U52" s="152"/>
      <c r="V52" s="152"/>
      <c r="W52" s="152"/>
      <c r="X52" s="152"/>
      <c r="Y52" s="156"/>
      <c r="Z52" s="156"/>
      <c r="AA52" s="156"/>
      <c r="AB52" s="156"/>
      <c r="AC52" s="156"/>
      <c r="AD52" s="156"/>
      <c r="AE52" s="156"/>
      <c r="AH52" s="156"/>
      <c r="AI52" s="156"/>
      <c r="AJ52" s="152" t="s">
        <v>328</v>
      </c>
      <c r="AK52" s="152" t="s">
        <v>329</v>
      </c>
      <c r="AL52" s="152"/>
      <c r="AM52" s="156"/>
      <c r="AN52" s="156"/>
      <c r="AO52" s="156">
        <f t="shared" si="5"/>
        <v>4.0960000000000001</v>
      </c>
      <c r="AP52" s="156">
        <f t="shared" si="6"/>
        <v>0</v>
      </c>
      <c r="AQ52" s="156">
        <f>IF(ISBLANK($A52),,ROUNDDOWN(I52*AS6*1.024,))</f>
        <v>37</v>
      </c>
      <c r="AR52" s="156">
        <f>IF(ISBLANK($A52),,ROUNDDOWN(L52*AS6*1.024,))</f>
        <v>0</v>
      </c>
      <c r="AS52" s="156">
        <f>IF(ISBLANK($A52),,ROUNDDOWN(N52*AS6*1.024,))</f>
        <v>0</v>
      </c>
      <c r="AT52" s="156">
        <f>IF(ISBLANK($A52),,ROUNDDOWN(P52*AS6*1.024,))</f>
        <v>0</v>
      </c>
      <c r="AU52" s="156">
        <f>IF(ISBLANK($A52),,ROUNDDOWN(R52*AS6*1.024,))</f>
        <v>0</v>
      </c>
      <c r="AV52" s="156">
        <f t="shared" si="7"/>
        <v>0</v>
      </c>
      <c r="AW52" s="156">
        <f>IF(ISBLANK($A52),,ROUNDDOWN(V52*AS6*1.024,))</f>
        <v>0</v>
      </c>
      <c r="AX52" s="156">
        <f>IF(ISBLANK($A52),,ROUNDDOWN(X52*AS6*1.024,))</f>
        <v>0</v>
      </c>
    </row>
    <row r="53" spans="1:50">
      <c r="A53" s="156" t="s">
        <v>389</v>
      </c>
      <c r="B53" s="156"/>
      <c r="C53" s="156" t="s">
        <v>333</v>
      </c>
      <c r="D53" s="156" t="s">
        <v>453</v>
      </c>
      <c r="E53" s="156" t="s">
        <v>22</v>
      </c>
      <c r="F53" s="152">
        <v>2</v>
      </c>
      <c r="G53" s="152">
        <v>4</v>
      </c>
      <c r="H53" s="152">
        <v>0</v>
      </c>
      <c r="I53" s="152">
        <v>31</v>
      </c>
      <c r="J53" s="152">
        <f t="shared" si="4"/>
        <v>4</v>
      </c>
      <c r="K53" s="152"/>
      <c r="L53" s="152"/>
      <c r="M53" s="152"/>
      <c r="N53" s="152"/>
      <c r="O53" s="152"/>
      <c r="P53" s="152"/>
      <c r="Q53" s="152"/>
      <c r="R53" s="152"/>
      <c r="S53" s="152"/>
      <c r="T53" s="152"/>
      <c r="U53" s="152"/>
      <c r="V53" s="152"/>
      <c r="W53" s="152"/>
      <c r="X53" s="152"/>
      <c r="Y53" s="156"/>
      <c r="Z53" s="156"/>
      <c r="AA53" s="156"/>
      <c r="AB53" s="156"/>
      <c r="AC53" s="156"/>
      <c r="AD53" s="156"/>
      <c r="AE53" s="156"/>
      <c r="AH53" s="156"/>
      <c r="AI53" s="156"/>
      <c r="AJ53" s="152" t="s">
        <v>328</v>
      </c>
      <c r="AK53" s="152" t="s">
        <v>329</v>
      </c>
      <c r="AL53" s="152"/>
      <c r="AM53" s="156"/>
      <c r="AN53" s="156"/>
      <c r="AO53" s="156">
        <f t="shared" si="5"/>
        <v>4.0960000000000001</v>
      </c>
      <c r="AP53" s="156">
        <f t="shared" si="6"/>
        <v>0</v>
      </c>
      <c r="AQ53" s="156">
        <f>IF(ISBLANK($A53),,ROUNDDOWN(I53*AS6*1.024,))</f>
        <v>28</v>
      </c>
      <c r="AR53" s="156">
        <f>IF(ISBLANK($A53),,ROUNDDOWN(L53*AS6*1.024,))</f>
        <v>0</v>
      </c>
      <c r="AS53" s="156">
        <f>IF(ISBLANK($A53),,ROUNDDOWN(N53*AS6*1.024,))</f>
        <v>0</v>
      </c>
      <c r="AT53" s="156">
        <f>IF(ISBLANK($A53),,ROUNDDOWN(P53*AS6*1.024,))</f>
        <v>0</v>
      </c>
      <c r="AU53" s="156">
        <f>IF(ISBLANK($A53),,ROUNDDOWN(R53*AS6*1.024,))</f>
        <v>0</v>
      </c>
      <c r="AV53" s="156">
        <f t="shared" si="7"/>
        <v>0</v>
      </c>
      <c r="AW53" s="156">
        <f>IF(ISBLANK($A53),,ROUNDDOWN(V53*AS6*1.024,))</f>
        <v>0</v>
      </c>
      <c r="AX53" s="156">
        <f>IF(ISBLANK($A53),,ROUNDDOWN(X53*AS6*1.024,))</f>
        <v>0</v>
      </c>
    </row>
    <row r="54" spans="1:50">
      <c r="A54" s="156" t="s">
        <v>390</v>
      </c>
      <c r="B54" s="156"/>
      <c r="C54" s="156" t="s">
        <v>333</v>
      </c>
      <c r="D54" s="156" t="s">
        <v>453</v>
      </c>
      <c r="E54" s="156" t="s">
        <v>26</v>
      </c>
      <c r="F54" s="152">
        <v>4</v>
      </c>
      <c r="G54" s="152">
        <v>4</v>
      </c>
      <c r="H54" s="152">
        <v>0</v>
      </c>
      <c r="I54" s="152">
        <v>31</v>
      </c>
      <c r="J54" s="152">
        <f t="shared" si="4"/>
        <v>4</v>
      </c>
      <c r="K54" s="152"/>
      <c r="L54" s="152"/>
      <c r="M54" s="152"/>
      <c r="N54" s="152"/>
      <c r="O54" s="152"/>
      <c r="P54" s="152"/>
      <c r="Q54" s="152"/>
      <c r="R54" s="152"/>
      <c r="S54" s="152"/>
      <c r="T54" s="152"/>
      <c r="U54" s="152"/>
      <c r="V54" s="152"/>
      <c r="W54" s="152"/>
      <c r="X54" s="152"/>
      <c r="Y54" s="156"/>
      <c r="Z54" s="156"/>
      <c r="AA54" s="156"/>
      <c r="AB54" s="156"/>
      <c r="AC54" s="156"/>
      <c r="AD54" s="156"/>
      <c r="AE54" s="156"/>
      <c r="AH54" s="156"/>
      <c r="AI54" s="156"/>
      <c r="AJ54" s="152" t="s">
        <v>328</v>
      </c>
      <c r="AK54" s="152" t="s">
        <v>329</v>
      </c>
      <c r="AL54" s="152"/>
      <c r="AM54" s="156"/>
      <c r="AN54" s="156"/>
      <c r="AO54" s="156">
        <f t="shared" si="5"/>
        <v>4.0960000000000001</v>
      </c>
      <c r="AP54" s="156">
        <f t="shared" si="6"/>
        <v>0</v>
      </c>
      <c r="AQ54" s="156">
        <f>IF(ISBLANK($A54),,ROUNDDOWN(I54*AS6*1.024,))</f>
        <v>28</v>
      </c>
      <c r="AR54" s="156">
        <f>IF(ISBLANK($A54),,ROUNDDOWN(L54*AS6*1.024,))</f>
        <v>0</v>
      </c>
      <c r="AS54" s="156">
        <f>IF(ISBLANK($A54),,ROUNDDOWN(N54*AS6*1.024,))</f>
        <v>0</v>
      </c>
      <c r="AT54" s="156">
        <f>IF(ISBLANK($A54),,ROUNDDOWN(P54*AS6*1.024,))</f>
        <v>0</v>
      </c>
      <c r="AU54" s="156">
        <f>IF(ISBLANK($A54),,ROUNDDOWN(R54*AS6*1.024,))</f>
        <v>0</v>
      </c>
      <c r="AV54" s="156">
        <f t="shared" si="7"/>
        <v>0</v>
      </c>
      <c r="AW54" s="156">
        <f>IF(ISBLANK($A54),,ROUNDDOWN(V54*AS6*1.024,))</f>
        <v>0</v>
      </c>
      <c r="AX54" s="156">
        <f>IF(ISBLANK($A54),,ROUNDDOWN(X54*AS6*1.024,))</f>
        <v>0</v>
      </c>
    </row>
    <row r="55" spans="1:50" ht="15">
      <c r="A55" s="156" t="s">
        <v>391</v>
      </c>
      <c r="B55" s="156"/>
      <c r="C55" s="156" t="s">
        <v>333</v>
      </c>
      <c r="D55" s="156" t="s">
        <v>453</v>
      </c>
      <c r="E55" s="156" t="s">
        <v>38</v>
      </c>
      <c r="F55" s="152">
        <v>4</v>
      </c>
      <c r="G55" s="152">
        <v>5</v>
      </c>
      <c r="H55" s="152">
        <v>0</v>
      </c>
      <c r="I55" s="152">
        <v>111</v>
      </c>
      <c r="J55" s="154">
        <f t="shared" si="4"/>
        <v>5</v>
      </c>
      <c r="K55" s="1"/>
      <c r="L55" s="152"/>
      <c r="M55" s="152"/>
      <c r="N55" s="1"/>
      <c r="O55"/>
      <c r="P55" s="152"/>
      <c r="Q55" s="152"/>
      <c r="R55" s="152"/>
      <c r="S55" s="152"/>
      <c r="T55" s="152"/>
      <c r="U55" s="152"/>
      <c r="V55" s="152"/>
      <c r="W55" s="152"/>
      <c r="X55" s="152"/>
      <c r="Y55" s="156"/>
      <c r="Z55" s="156"/>
      <c r="AA55" s="156"/>
      <c r="AB55" s="156"/>
      <c r="AC55" s="156"/>
      <c r="AD55" s="156"/>
      <c r="AE55" s="156"/>
      <c r="AH55" s="156"/>
      <c r="AI55" s="156"/>
      <c r="AJ55" s="152" t="s">
        <v>328</v>
      </c>
      <c r="AK55" s="152" t="s">
        <v>329</v>
      </c>
      <c r="AL55" s="152" t="s">
        <v>329</v>
      </c>
      <c r="AM55" s="156"/>
      <c r="AN55" s="156"/>
      <c r="AO55" s="156">
        <f t="shared" si="5"/>
        <v>5.12</v>
      </c>
      <c r="AP55" s="156">
        <f t="shared" si="6"/>
        <v>0</v>
      </c>
      <c r="AQ55" s="156">
        <f>IF(ISBLANK($A55),,ROUNDDOWN(I55*AS6*1.024,))</f>
        <v>102</v>
      </c>
      <c r="AR55" s="156">
        <f>IF(ISBLANK($A55),,ROUNDDOWN(L55*AS6*1.024,))</f>
        <v>0</v>
      </c>
      <c r="AS55" s="156">
        <f>IF(ISBLANK($A55),,ROUNDDOWN(N55*AS6*1.024,))</f>
        <v>0</v>
      </c>
      <c r="AT55" s="156">
        <f>IF(ISBLANK($A55),,ROUNDDOWN(P55*AS8*1.024,))</f>
        <v>0</v>
      </c>
      <c r="AU55" s="156">
        <f>IF(ISBLANK($A55),,ROUNDDOWN(R55*AS8*1.024,))</f>
        <v>0</v>
      </c>
      <c r="AV55" s="156">
        <f t="shared" si="7"/>
        <v>0</v>
      </c>
      <c r="AW55" s="156">
        <f>IF(ISBLANK($A55),,ROUNDDOWN(V55*AS6*1.024,))</f>
        <v>0</v>
      </c>
      <c r="AX55" s="156">
        <f>IF(ISBLANK($A55),,ROUNDDOWN(X55*AS8*1.024,))</f>
        <v>0</v>
      </c>
    </row>
    <row r="56" spans="1:50" ht="15">
      <c r="A56" s="156" t="s">
        <v>392</v>
      </c>
      <c r="B56" s="156"/>
      <c r="C56" s="156"/>
      <c r="D56" s="156" t="s">
        <v>453</v>
      </c>
      <c r="E56" s="156" t="s">
        <v>49</v>
      </c>
      <c r="F56" s="152">
        <v>2</v>
      </c>
      <c r="G56" s="152">
        <v>2</v>
      </c>
      <c r="H56" s="152">
        <v>0</v>
      </c>
      <c r="I56" s="152">
        <v>16</v>
      </c>
      <c r="J56" s="152">
        <f t="shared" si="4"/>
        <v>2</v>
      </c>
      <c r="K56" s="1"/>
      <c r="L56" s="152"/>
      <c r="M56" s="152"/>
      <c r="N56" s="1"/>
      <c r="O56"/>
      <c r="P56" s="152"/>
      <c r="Q56" s="152"/>
      <c r="R56" s="152"/>
      <c r="S56" s="152"/>
      <c r="T56" s="152"/>
      <c r="U56" s="152"/>
      <c r="V56" s="152"/>
      <c r="W56" s="152"/>
      <c r="X56" s="152"/>
      <c r="Y56" s="156"/>
      <c r="Z56" s="156"/>
      <c r="AA56" s="156"/>
      <c r="AB56" s="156"/>
      <c r="AC56" s="156"/>
      <c r="AD56" s="156"/>
      <c r="AE56" s="156"/>
      <c r="AH56" s="156"/>
      <c r="AI56" s="156"/>
      <c r="AJ56" s="152" t="s">
        <v>328</v>
      </c>
      <c r="AK56" s="152" t="s">
        <v>329</v>
      </c>
      <c r="AL56" s="152"/>
      <c r="AM56" s="156"/>
      <c r="AN56" s="156"/>
      <c r="AO56" s="156">
        <f t="shared" si="5"/>
        <v>2.048</v>
      </c>
      <c r="AP56" s="156">
        <f t="shared" si="6"/>
        <v>0</v>
      </c>
      <c r="AQ56" s="156">
        <f>IF(ISBLANK($A56),,ROUNDDOWN(I56*AS6*1.024,))</f>
        <v>14</v>
      </c>
      <c r="AR56" s="156">
        <f>IF(ISBLANK($A56),,ROUNDDOWN(L56*AS6*1.024,))</f>
        <v>0</v>
      </c>
      <c r="AS56" s="156">
        <f>IF(ISBLANK($A56),,ROUNDDOWN(N56*AS6*1.024,))</f>
        <v>0</v>
      </c>
      <c r="AT56" s="156">
        <f>IF(ISBLANK($A56),,ROUNDDOWN(P56*AS6*1.024,))</f>
        <v>0</v>
      </c>
      <c r="AU56" s="156">
        <f>IF(ISBLANK($A56),,ROUNDDOWN(R56*AS6*1.024,))</f>
        <v>0</v>
      </c>
      <c r="AV56" s="156">
        <f t="shared" si="7"/>
        <v>0</v>
      </c>
      <c r="AW56" s="156">
        <f>IF(ISBLANK($A56),,ROUNDDOWN(V56*AS6*1.024,))</f>
        <v>0</v>
      </c>
      <c r="AX56" s="156">
        <f>IF(ISBLANK($A56),,ROUNDDOWN(X56*AS6*1.024,))</f>
        <v>0</v>
      </c>
    </row>
    <row r="57" spans="1:50" ht="15">
      <c r="A57" s="156" t="s">
        <v>393</v>
      </c>
      <c r="B57" s="156"/>
      <c r="C57" s="156"/>
      <c r="D57" s="156" t="s">
        <v>453</v>
      </c>
      <c r="E57" s="156" t="s">
        <v>49</v>
      </c>
      <c r="F57" s="152">
        <v>2</v>
      </c>
      <c r="G57" s="152">
        <v>2</v>
      </c>
      <c r="H57" s="152">
        <v>0</v>
      </c>
      <c r="I57" s="152">
        <v>16</v>
      </c>
      <c r="J57" s="152">
        <f t="shared" si="4"/>
        <v>2</v>
      </c>
      <c r="K57" s="1"/>
      <c r="L57" s="152"/>
      <c r="M57" s="152"/>
      <c r="N57" s="1"/>
      <c r="O57"/>
      <c r="P57" s="152"/>
      <c r="Q57" s="152"/>
      <c r="R57" s="152"/>
      <c r="S57" s="152"/>
      <c r="T57" s="152"/>
      <c r="U57" s="152"/>
      <c r="V57" s="152"/>
      <c r="W57" s="152"/>
      <c r="X57" s="152"/>
      <c r="Y57" s="156"/>
      <c r="Z57" s="156"/>
      <c r="AA57" s="156"/>
      <c r="AB57" s="156"/>
      <c r="AC57" s="156"/>
      <c r="AD57" s="156"/>
      <c r="AE57" s="156"/>
      <c r="AH57" s="156"/>
      <c r="AI57" s="156"/>
      <c r="AJ57" s="152" t="s">
        <v>328</v>
      </c>
      <c r="AK57" s="152" t="s">
        <v>329</v>
      </c>
      <c r="AL57" s="152"/>
      <c r="AM57" s="156"/>
      <c r="AN57" s="156"/>
      <c r="AO57" s="156">
        <f t="shared" si="5"/>
        <v>2.048</v>
      </c>
      <c r="AP57" s="156">
        <f t="shared" si="6"/>
        <v>0</v>
      </c>
      <c r="AQ57" s="156">
        <f>IF(ISBLANK($A57),,ROUNDDOWN(I57*AS6*1.024,))</f>
        <v>14</v>
      </c>
      <c r="AR57" s="156">
        <f>IF(ISBLANK($A57),,ROUNDDOWN(L57*AS6*1.024,))</f>
        <v>0</v>
      </c>
      <c r="AS57" s="156">
        <f>IF(ISBLANK($A57),,ROUNDDOWN(N57*AS6*1.024,))</f>
        <v>0</v>
      </c>
      <c r="AT57" s="156">
        <f>IF(ISBLANK($A57),,ROUNDDOWN(P57*AS6*1.024,))</f>
        <v>0</v>
      </c>
      <c r="AU57" s="156">
        <f>IF(ISBLANK($A57),,ROUNDDOWN(R57*AS6*1.024,))</f>
        <v>0</v>
      </c>
      <c r="AV57" s="156">
        <f t="shared" si="7"/>
        <v>0</v>
      </c>
      <c r="AW57" s="156">
        <f>IF(ISBLANK($A57),,ROUNDDOWN(V57*AS6*1.024,))</f>
        <v>0</v>
      </c>
      <c r="AX57" s="156">
        <f>IF(ISBLANK($A57),,ROUNDDOWN(X57*AS6*1.024,))</f>
        <v>0</v>
      </c>
    </row>
    <row r="58" spans="1:50" ht="15">
      <c r="A58" s="156" t="s">
        <v>394</v>
      </c>
      <c r="B58" s="156"/>
      <c r="C58" s="156" t="s">
        <v>333</v>
      </c>
      <c r="D58" s="156" t="s">
        <v>453</v>
      </c>
      <c r="E58" s="156" t="s">
        <v>53</v>
      </c>
      <c r="F58" s="152">
        <v>6</v>
      </c>
      <c r="G58" s="152">
        <v>5</v>
      </c>
      <c r="H58" s="152">
        <v>0</v>
      </c>
      <c r="I58" s="152">
        <v>41</v>
      </c>
      <c r="J58" s="152">
        <f t="shared" si="4"/>
        <v>5</v>
      </c>
      <c r="K58" s="1"/>
      <c r="L58" s="152"/>
      <c r="M58" s="152"/>
      <c r="N58" s="1"/>
      <c r="O58"/>
      <c r="P58" s="152"/>
      <c r="Q58" s="152"/>
      <c r="R58" s="152"/>
      <c r="S58" s="152"/>
      <c r="T58" s="152"/>
      <c r="U58" s="152"/>
      <c r="V58" s="152"/>
      <c r="W58" s="152"/>
      <c r="X58" s="152"/>
      <c r="Y58" s="156"/>
      <c r="Z58" s="156"/>
      <c r="AA58" s="156"/>
      <c r="AB58" s="156"/>
      <c r="AC58" s="156"/>
      <c r="AD58" s="156"/>
      <c r="AE58" s="156"/>
      <c r="AH58" s="156"/>
      <c r="AI58" s="156"/>
      <c r="AJ58" s="152" t="s">
        <v>328</v>
      </c>
      <c r="AK58" s="152" t="s">
        <v>329</v>
      </c>
      <c r="AL58" s="152"/>
      <c r="AM58" s="156"/>
      <c r="AN58" s="156"/>
      <c r="AO58" s="156">
        <f t="shared" si="5"/>
        <v>5.12</v>
      </c>
      <c r="AP58" s="156">
        <f t="shared" si="6"/>
        <v>0</v>
      </c>
      <c r="AQ58" s="156">
        <f>IF(ISBLANK($A58),,ROUNDDOWN(I58*AS6*1.024,))</f>
        <v>37</v>
      </c>
      <c r="AR58" s="156">
        <f>IF(ISBLANK($A58),,ROUNDDOWN(L58*AS6*1.024,))</f>
        <v>0</v>
      </c>
      <c r="AS58" s="156">
        <f>IF(ISBLANK($A58),,ROUNDDOWN(N58*AS6*1.024,))</f>
        <v>0</v>
      </c>
      <c r="AT58" s="156">
        <f>IF(ISBLANK($A58),,ROUNDDOWN(P58*AS6*1.024,))</f>
        <v>0</v>
      </c>
      <c r="AU58" s="156">
        <f>IF(ISBLANK($A58),,ROUNDDOWN(R58*AS6*1.024,))</f>
        <v>0</v>
      </c>
      <c r="AV58" s="156">
        <f t="shared" si="7"/>
        <v>0</v>
      </c>
      <c r="AW58" s="156">
        <f>IF(ISBLANK($A58),,ROUNDDOWN(V58*AS6*1.024,))</f>
        <v>0</v>
      </c>
      <c r="AX58" s="156">
        <f>IF(ISBLANK($A58),,ROUNDDOWN(X58*AS6*1.024,))</f>
        <v>0</v>
      </c>
    </row>
    <row r="59" spans="1:50" ht="13.5" customHeight="1">
      <c r="A59" s="156" t="s">
        <v>395</v>
      </c>
      <c r="B59" s="156"/>
      <c r="C59" s="156"/>
      <c r="D59" s="156" t="s">
        <v>453</v>
      </c>
      <c r="E59" s="156" t="s">
        <v>57</v>
      </c>
      <c r="F59" s="152">
        <v>2</v>
      </c>
      <c r="G59" s="152">
        <v>2</v>
      </c>
      <c r="H59" s="152">
        <v>0</v>
      </c>
      <c r="I59" s="152">
        <v>31</v>
      </c>
      <c r="J59" s="152">
        <f t="shared" si="4"/>
        <v>2</v>
      </c>
      <c r="K59" s="1"/>
      <c r="L59" s="152"/>
      <c r="M59" s="152"/>
      <c r="N59" s="1"/>
      <c r="O59"/>
      <c r="P59" s="152"/>
      <c r="Q59" s="152"/>
      <c r="R59" s="152"/>
      <c r="S59" s="152"/>
      <c r="T59" s="152"/>
      <c r="U59" s="152"/>
      <c r="V59" s="152"/>
      <c r="W59" s="152"/>
      <c r="X59" s="152"/>
      <c r="Y59" s="101"/>
      <c r="Z59" s="101"/>
      <c r="AA59" s="101"/>
      <c r="AB59" s="101"/>
      <c r="AC59" s="101"/>
      <c r="AD59" s="101"/>
      <c r="AE59" s="101"/>
      <c r="AF59" s="101"/>
      <c r="AG59" s="101"/>
      <c r="AH59" s="101"/>
      <c r="AI59" s="101"/>
      <c r="AJ59" s="102" t="s">
        <v>328</v>
      </c>
      <c r="AK59" s="102" t="s">
        <v>329</v>
      </c>
      <c r="AL59" s="102"/>
      <c r="AM59" s="101"/>
      <c r="AN59" s="101"/>
      <c r="AO59" s="101">
        <f t="shared" si="5"/>
        <v>2.048</v>
      </c>
      <c r="AP59" s="101">
        <f t="shared" si="6"/>
        <v>0</v>
      </c>
      <c r="AQ59" s="101">
        <f>IF(ISBLANK($A59),,ROUNDDOWN(I59*AS$6*1.024,))</f>
        <v>28</v>
      </c>
      <c r="AR59" s="101">
        <f>IF(ISBLANK($A59),,ROUNDDOWN(L59*AS$6*1.024,))</f>
        <v>0</v>
      </c>
      <c r="AS59" s="101">
        <f>IF(ISBLANK($A59),,ROUNDDOWN(N59*AS$6*1.024,))</f>
        <v>0</v>
      </c>
      <c r="AT59" s="101">
        <f>IF(ISBLANK($A59),,ROUNDDOWN(P59*AS$6*1.024,))</f>
        <v>0</v>
      </c>
      <c r="AU59" s="101">
        <f>IF(ISBLANK($A59),,ROUNDDOWN(R59*AS$6*1.024,))</f>
        <v>0</v>
      </c>
      <c r="AV59" s="156">
        <f t="shared" si="7"/>
        <v>0</v>
      </c>
      <c r="AW59" s="156">
        <f>IF(ISBLANK($A59),,ROUNDDOWN(V59*AS$6*1.024,))</f>
        <v>0</v>
      </c>
      <c r="AX59" s="156">
        <f>IF(ISBLANK($A59),,ROUNDDOWN(X59*AS$6*1.024,))</f>
        <v>0</v>
      </c>
    </row>
    <row r="60" spans="1:50" ht="13.5" customHeight="1">
      <c r="A60" s="156" t="s">
        <v>396</v>
      </c>
      <c r="B60" s="156"/>
      <c r="C60" s="156"/>
      <c r="D60" s="156" t="s">
        <v>397</v>
      </c>
      <c r="E60" s="156" t="s">
        <v>398</v>
      </c>
      <c r="F60" s="152">
        <v>2</v>
      </c>
      <c r="G60" s="152">
        <v>8</v>
      </c>
      <c r="H60" s="152">
        <v>0</v>
      </c>
      <c r="I60" s="152">
        <v>150</v>
      </c>
      <c r="J60" s="152">
        <f t="shared" si="4"/>
        <v>8</v>
      </c>
      <c r="K60" s="152" t="s">
        <v>126</v>
      </c>
      <c r="L60" s="152"/>
      <c r="M60" s="152"/>
      <c r="N60" s="1"/>
      <c r="O60"/>
      <c r="P60" s="152"/>
      <c r="Q60" s="152"/>
      <c r="R60" s="152"/>
      <c r="S60" s="152"/>
      <c r="T60" s="152"/>
      <c r="U60" s="152"/>
      <c r="V60" s="152">
        <v>1500</v>
      </c>
      <c r="W60" s="152" t="s">
        <v>126</v>
      </c>
      <c r="X60" s="152"/>
      <c r="Y60" s="101"/>
      <c r="Z60" s="101"/>
      <c r="AA60" s="101"/>
      <c r="AB60" s="101"/>
      <c r="AC60" s="101"/>
      <c r="AD60" s="101"/>
      <c r="AE60" s="101"/>
      <c r="AF60" s="101"/>
      <c r="AG60" s="101"/>
      <c r="AH60" s="101"/>
      <c r="AI60" s="101"/>
      <c r="AJ60" s="102"/>
      <c r="AK60" s="102"/>
      <c r="AL60" s="102"/>
      <c r="AM60" s="156"/>
      <c r="AN60" s="156"/>
      <c r="AO60" s="156">
        <f t="shared" si="5"/>
        <v>8.1920000000000002</v>
      </c>
      <c r="AP60" s="156">
        <f t="shared" si="6"/>
        <v>0</v>
      </c>
      <c r="AQ60" s="101">
        <f t="shared" ref="AQ60:AQ61" si="8">IF(ISBLANK($A60),,ROUNDDOWN(I60*AS$6*1.024,))</f>
        <v>138</v>
      </c>
      <c r="AR60" s="101">
        <f t="shared" ref="AR60:AR61" si="9">IF(ISBLANK($A60),,ROUNDDOWN(L60*AS$6*1.024,))</f>
        <v>0</v>
      </c>
      <c r="AS60" s="101">
        <f t="shared" ref="AS60:AS61" si="10">IF(ISBLANK($A60),,ROUNDDOWN(N60*AS$6*1.024,))</f>
        <v>0</v>
      </c>
      <c r="AT60" s="101">
        <f t="shared" ref="AT60:AT61" si="11">IF(ISBLANK($A60),,ROUNDDOWN(P60*AS$6*1.024,))</f>
        <v>0</v>
      </c>
      <c r="AU60" s="101">
        <f t="shared" ref="AU60:AU61" si="12">IF(ISBLANK($A60),,ROUNDDOWN(R60*AS$6*1.024,))</f>
        <v>0</v>
      </c>
      <c r="AV60" s="156">
        <f t="shared" si="7"/>
        <v>0</v>
      </c>
      <c r="AW60" s="156">
        <f t="shared" ref="AW60:AW61" si="13">IF(ISBLANK($A60),,ROUNDDOWN(V60*AS$6*1.024,))</f>
        <v>1382</v>
      </c>
      <c r="AX60" s="156">
        <f t="shared" ref="AX60:AX61" si="14">IF(ISBLANK($A60),,ROUNDDOWN(X60*AS$6*1.024,))</f>
        <v>0</v>
      </c>
    </row>
    <row r="61" spans="1:50" ht="13.5" customHeight="1">
      <c r="A61" s="101" t="s">
        <v>399</v>
      </c>
      <c r="B61" s="101"/>
      <c r="C61" s="101"/>
      <c r="D61" s="101" t="s">
        <v>397</v>
      </c>
      <c r="E61" s="101" t="s">
        <v>400</v>
      </c>
      <c r="F61" s="102">
        <v>4</v>
      </c>
      <c r="G61" s="102">
        <v>4</v>
      </c>
      <c r="H61" s="102">
        <v>0</v>
      </c>
      <c r="I61" s="102">
        <v>21</v>
      </c>
      <c r="J61" s="102">
        <f t="shared" si="4"/>
        <v>4</v>
      </c>
      <c r="K61" s="102" t="s">
        <v>126</v>
      </c>
      <c r="L61" s="102"/>
      <c r="M61" s="102"/>
      <c r="N61" s="181"/>
      <c r="O61" s="168"/>
      <c r="P61" s="102"/>
      <c r="Q61" s="102"/>
      <c r="R61" s="102"/>
      <c r="S61" s="102"/>
      <c r="T61" s="102"/>
      <c r="U61" s="102"/>
      <c r="V61" s="102">
        <v>0</v>
      </c>
      <c r="W61" s="102" t="s">
        <v>126</v>
      </c>
      <c r="X61" s="102"/>
      <c r="Y61" s="101"/>
      <c r="Z61" s="101"/>
      <c r="AA61" s="101"/>
      <c r="AB61" s="101"/>
      <c r="AC61" s="101"/>
      <c r="AD61" s="101"/>
      <c r="AE61" s="101"/>
      <c r="AF61" s="101"/>
      <c r="AG61" s="101"/>
      <c r="AH61" s="101"/>
      <c r="AI61" s="101"/>
      <c r="AJ61" s="102"/>
      <c r="AK61" s="102"/>
      <c r="AL61" s="102"/>
      <c r="AM61" s="101"/>
      <c r="AN61" s="101"/>
      <c r="AO61" s="101">
        <f t="shared" si="5"/>
        <v>4.0960000000000001</v>
      </c>
      <c r="AP61" s="101">
        <f t="shared" si="6"/>
        <v>0</v>
      </c>
      <c r="AQ61" s="101">
        <f t="shared" si="8"/>
        <v>19</v>
      </c>
      <c r="AR61" s="101">
        <f t="shared" si="9"/>
        <v>0</v>
      </c>
      <c r="AS61" s="101">
        <f t="shared" si="10"/>
        <v>0</v>
      </c>
      <c r="AT61" s="101">
        <f t="shared" si="11"/>
        <v>0</v>
      </c>
      <c r="AU61" s="101">
        <f t="shared" si="12"/>
        <v>0</v>
      </c>
      <c r="AV61" s="101">
        <f t="shared" si="7"/>
        <v>0</v>
      </c>
      <c r="AW61" s="101">
        <f t="shared" si="13"/>
        <v>0</v>
      </c>
      <c r="AX61" s="101">
        <f t="shared" si="14"/>
        <v>0</v>
      </c>
    </row>
    <row r="62" spans="1:50" s="13" customFormat="1" ht="13.5" customHeight="1">
      <c r="A62" s="13" t="s">
        <v>693</v>
      </c>
      <c r="C62" s="13" t="s">
        <v>333</v>
      </c>
      <c r="D62" s="13" t="s">
        <v>453</v>
      </c>
      <c r="E62" s="182" t="s">
        <v>694</v>
      </c>
      <c r="F62" s="186">
        <f>IF(OR(E42=1,E42=2,E42=3,E42=4),VLOOKUP(E42,A135:F140,2,FALSE),VLOOKUP(1,A135:F140,2,FALSE))</f>
        <v>4</v>
      </c>
      <c r="G62" s="186">
        <f>IF(OR(E42=1,E42=2,E42=3,E42=4),VLOOKUP(E42,A135:F140,3,FALSE),VLOOKUP(1,A135:F140,3,FALSE))</f>
        <v>8</v>
      </c>
      <c r="H62" s="8">
        <v>0</v>
      </c>
      <c r="I62" s="8">
        <v>61</v>
      </c>
      <c r="J62" s="8">
        <f>G62-H62</f>
        <v>8</v>
      </c>
      <c r="K62" s="36"/>
      <c r="L62" s="8"/>
      <c r="M62" s="8"/>
      <c r="N62" s="134"/>
      <c r="O62" s="133"/>
      <c r="P62" s="8"/>
      <c r="Q62" s="8"/>
      <c r="R62" s="8"/>
      <c r="S62" s="8"/>
      <c r="T62" s="8"/>
      <c r="U62" s="8"/>
      <c r="V62" s="8"/>
      <c r="W62" s="8"/>
      <c r="X62" s="8"/>
      <c r="AF62" s="186">
        <f>IF(OR(E42=1,E42=2,E42=3,E42=4),VLOOKUP(E42,A135:F140,4,FALSE),VLOOKUP(1,A135:F140,4,FALSE))</f>
        <v>100</v>
      </c>
      <c r="AG62" s="36" t="s">
        <v>695</v>
      </c>
      <c r="AJ62" s="8" t="s">
        <v>328</v>
      </c>
      <c r="AK62" s="8" t="s">
        <v>329</v>
      </c>
      <c r="AL62" s="8"/>
      <c r="AO62" s="13">
        <f t="shared" ref="AO62" si="15">IF(ISBLANK($A62),,G62*1.024)</f>
        <v>8.1920000000000002</v>
      </c>
      <c r="AP62" s="13">
        <f>IF(ISBLANK($A62),,H62*1.024)</f>
        <v>0</v>
      </c>
      <c r="AQ62" s="13">
        <f t="shared" ref="AQ62" si="16">IF(ISBLANK($A62),,ROUNDDOWN(I62*AS$6*1.024,))</f>
        <v>56</v>
      </c>
      <c r="AR62" s="13">
        <f t="shared" ref="AR62" si="17">IF(ISBLANK($A62),,ROUNDDOWN(L62*AS$6*1.024,))</f>
        <v>0</v>
      </c>
      <c r="AS62" s="13">
        <f t="shared" ref="AS62" si="18">IF(ISBLANK($A62),,ROUNDDOWN(N62*AS$6*1.024,))</f>
        <v>0</v>
      </c>
      <c r="AT62" s="13">
        <f t="shared" ref="AT62" si="19">IF(ISBLANK($A62),,ROUNDDOWN(P62*AS$6*1.024,))</f>
        <v>0</v>
      </c>
      <c r="AU62" s="13">
        <f t="shared" ref="AU62" si="20">IF(ISBLANK($A62),,ROUNDDOWN(R62*AS$6*1.024,))</f>
        <v>0</v>
      </c>
      <c r="AV62" s="13">
        <f t="shared" ref="AV62" si="21">IF(ISBLANK($A62),,ROUNDDOWN(T62*AS$6*1.024,))</f>
        <v>0</v>
      </c>
      <c r="AW62" s="13">
        <f t="shared" ref="AW62" si="22">IF(ISBLANK($A62),,ROUNDDOWN(V62*AS$6*1.024,))</f>
        <v>0</v>
      </c>
      <c r="AX62" s="13">
        <f t="shared" ref="AX62" si="23">IF(ISBLANK($A62),,ROUNDDOWN(X62*AS$6*1.024,))</f>
        <v>0</v>
      </c>
    </row>
    <row r="63" spans="1:50" ht="13.5" customHeight="1">
      <c r="A63" s="156"/>
      <c r="B63" s="156"/>
      <c r="C63" s="156"/>
      <c r="D63" s="156"/>
      <c r="E63" s="156"/>
      <c r="F63" s="152">
        <f>SUM(F45:F62)+F32</f>
        <v>157</v>
      </c>
      <c r="G63" s="179">
        <f>SUM(G45:G62)+G32</f>
        <v>359</v>
      </c>
      <c r="H63" s="179">
        <f>SUM(H45:H62)+H32</f>
        <v>106</v>
      </c>
      <c r="I63" s="179">
        <f>SUM(I45:I62)+I32</f>
        <v>3497</v>
      </c>
      <c r="J63" s="152"/>
      <c r="K63" s="152"/>
      <c r="L63" s="179">
        <f>SUM(L45:L62)+L32</f>
        <v>66</v>
      </c>
      <c r="M63" s="152"/>
      <c r="N63" s="179">
        <f>SUM(N45:N62)+N32</f>
        <v>750</v>
      </c>
      <c r="O63"/>
      <c r="P63" s="179">
        <f>SUM(P45:P62)+P32</f>
        <v>1125</v>
      </c>
      <c r="Q63" s="152"/>
      <c r="R63" s="179">
        <f>SUM(R45:R62)+R32</f>
        <v>270</v>
      </c>
      <c r="S63" s="152"/>
      <c r="T63" s="179">
        <f>SUM(T45:T62)+T32</f>
        <v>300</v>
      </c>
      <c r="U63" s="152"/>
      <c r="V63" s="179">
        <f>SUM(V45:V62)+V32</f>
        <v>1500</v>
      </c>
      <c r="W63" s="152"/>
      <c r="X63" s="179">
        <f>SUM(X45:X62)+X32</f>
        <v>3050</v>
      </c>
      <c r="Y63" s="156"/>
      <c r="Z63" s="179">
        <f>SUM(Z45:Z62)+Z32</f>
        <v>100</v>
      </c>
      <c r="AA63" s="156"/>
      <c r="AB63" s="179">
        <f>SUM(AB45:AB62)+AB32</f>
        <v>50</v>
      </c>
      <c r="AC63" s="156"/>
      <c r="AD63" s="179">
        <f>SUM(AD45:AD62)+AD32</f>
        <v>65</v>
      </c>
      <c r="AE63" s="156"/>
      <c r="AF63" s="179">
        <f>SUM(AF45:AF62)+AF32</f>
        <v>100</v>
      </c>
      <c r="AH63" s="179">
        <f>SUM(AH45:AH62)+AH32</f>
        <v>2500</v>
      </c>
      <c r="AI63" s="156"/>
      <c r="AJ63" s="152"/>
      <c r="AK63" s="152" t="s">
        <v>696</v>
      </c>
      <c r="AL63" s="152">
        <v>3</v>
      </c>
      <c r="AM63" s="156"/>
      <c r="AN63" s="156"/>
      <c r="AO63" s="156"/>
      <c r="AP63" s="156"/>
      <c r="AQ63" s="156"/>
      <c r="AR63" s="156"/>
      <c r="AS63" s="156"/>
      <c r="AT63" s="156"/>
      <c r="AU63" s="156"/>
      <c r="AV63" s="156"/>
      <c r="AW63" s="156"/>
      <c r="AX63" s="156"/>
    </row>
    <row r="65" spans="1:50" ht="13.5" customHeight="1">
      <c r="A65" s="7" t="s">
        <v>401</v>
      </c>
      <c r="B65" s="156"/>
      <c r="C65" s="156"/>
      <c r="D65" s="156"/>
      <c r="E65" s="156"/>
      <c r="F65" s="152"/>
      <c r="G65" s="152"/>
      <c r="H65" s="152"/>
      <c r="I65" s="152"/>
      <c r="J65" s="152"/>
      <c r="K65" s="152"/>
      <c r="L65" s="152"/>
      <c r="M65" s="152"/>
      <c r="N65" s="1"/>
      <c r="O65"/>
      <c r="P65" s="152"/>
      <c r="Q65" s="152"/>
      <c r="R65" s="152"/>
      <c r="S65" s="152"/>
      <c r="T65" s="152"/>
      <c r="U65" s="152"/>
      <c r="V65" s="152"/>
      <c r="W65" s="152"/>
      <c r="X65" s="152"/>
      <c r="Y65" s="156"/>
      <c r="Z65" s="156"/>
      <c r="AA65" s="156"/>
      <c r="AB65" s="156"/>
      <c r="AC65" s="156"/>
      <c r="AD65" s="156"/>
      <c r="AE65" s="156"/>
      <c r="AH65" s="156"/>
      <c r="AI65" s="156"/>
      <c r="AJ65" s="152"/>
      <c r="AK65" s="152"/>
      <c r="AL65" s="152"/>
      <c r="AM65" s="156"/>
      <c r="AN65" s="156"/>
      <c r="AO65" s="156"/>
      <c r="AP65" s="156"/>
      <c r="AQ65" s="156"/>
      <c r="AR65" s="156"/>
      <c r="AS65" s="156"/>
      <c r="AT65" s="156"/>
      <c r="AU65" s="156"/>
      <c r="AV65" s="156"/>
      <c r="AW65" s="156"/>
      <c r="AX65" s="156"/>
    </row>
    <row r="66" spans="1:50" ht="13.5" customHeight="1">
      <c r="A66" s="156" t="s">
        <v>402</v>
      </c>
      <c r="B66" s="156"/>
      <c r="C66" s="156" t="s">
        <v>69</v>
      </c>
      <c r="D66" s="156" t="s">
        <v>403</v>
      </c>
      <c r="E66" s="156" t="s">
        <v>404</v>
      </c>
      <c r="F66" s="152">
        <v>2</v>
      </c>
      <c r="G66" s="152">
        <v>8</v>
      </c>
      <c r="H66" s="152">
        <v>0</v>
      </c>
      <c r="I66" s="152">
        <v>200</v>
      </c>
      <c r="J66" s="154">
        <v>0</v>
      </c>
      <c r="K66" s="1" t="s">
        <v>405</v>
      </c>
      <c r="L66" s="152"/>
      <c r="M66" s="152"/>
      <c r="N66" s="1"/>
      <c r="O66"/>
      <c r="P66" s="152"/>
      <c r="Q66" s="152"/>
      <c r="R66" s="152"/>
      <c r="S66" s="152"/>
      <c r="T66" s="152"/>
      <c r="U66" s="152"/>
      <c r="V66" s="152"/>
      <c r="W66" s="152"/>
      <c r="X66" s="152"/>
      <c r="Y66" s="156"/>
      <c r="Z66" s="156"/>
      <c r="AA66" s="156"/>
      <c r="AB66" s="156"/>
      <c r="AC66" s="156"/>
      <c r="AD66" s="156"/>
      <c r="AE66" s="156"/>
      <c r="AH66" s="156"/>
      <c r="AI66" s="156"/>
      <c r="AJ66" s="152" t="s">
        <v>406</v>
      </c>
      <c r="AK66" s="152" t="s">
        <v>329</v>
      </c>
      <c r="AL66" s="152"/>
      <c r="AM66" s="156"/>
      <c r="AN66" s="156"/>
      <c r="AO66" s="156">
        <f t="shared" ref="AO66:AO76" si="24">IF(ISBLANK($A66),,G66*1.024)</f>
        <v>8.1920000000000002</v>
      </c>
      <c r="AP66" s="156">
        <f t="shared" ref="AP66:AP76" si="25">IF(ISBLANK($A66),,H66*1.024)</f>
        <v>0</v>
      </c>
      <c r="AQ66" s="156">
        <f t="shared" ref="AQ66:AQ76" si="26">IF(ISBLANK($A66),,ROUNDDOWN(I66*$AS$6*1.024,))</f>
        <v>184</v>
      </c>
      <c r="AR66" s="156">
        <f t="shared" ref="AR66:AR74" si="27">IF(ISBLANK($A66),,ROUNDDOWN(L66*$AS$6*1.024,))</f>
        <v>0</v>
      </c>
      <c r="AS66" s="156">
        <f t="shared" ref="AS66:AS74" si="28">IF(ISBLANK($A66),,ROUNDDOWN(N66*$AS$6*1.024,))</f>
        <v>0</v>
      </c>
      <c r="AT66" s="156">
        <f t="shared" ref="AT66:AT74" si="29">IF(ISBLANK($A66),,ROUNDDOWN(P66*$AS$6*1.024,))</f>
        <v>0</v>
      </c>
      <c r="AU66" s="156">
        <f t="shared" ref="AU66:AU74" si="30">IF(ISBLANK($A66),,ROUNDDOWN(R66*$AS$6*1.024,))</f>
        <v>0</v>
      </c>
      <c r="AV66" s="156">
        <f t="shared" ref="AV66:AV74" si="31">IF(ISBLANK($A66),,ROUNDDOWN(T66*AS$6*1.024,))</f>
        <v>0</v>
      </c>
      <c r="AW66" s="156">
        <f t="shared" ref="AW66:AW74" si="32">IF(ISBLANK($A66),,ROUNDDOWN(V66*$AS$6*1.024,))</f>
        <v>0</v>
      </c>
      <c r="AX66" s="156">
        <f t="shared" ref="AX66:AX74" si="33">IF(ISBLANK($A66),,ROUNDDOWN(X66*$AS$6*1.024,))</f>
        <v>0</v>
      </c>
    </row>
    <row r="67" spans="1:50" ht="13.5" customHeight="1">
      <c r="A67" s="156" t="s">
        <v>407</v>
      </c>
      <c r="B67" s="156"/>
      <c r="C67" s="156" t="s">
        <v>69</v>
      </c>
      <c r="D67" s="156" t="s">
        <v>403</v>
      </c>
      <c r="E67" s="156" t="s">
        <v>408</v>
      </c>
      <c r="F67" s="152">
        <v>4</v>
      </c>
      <c r="G67" s="152">
        <v>8</v>
      </c>
      <c r="H67" s="152">
        <v>0</v>
      </c>
      <c r="I67" s="152">
        <v>220</v>
      </c>
      <c r="J67" s="152">
        <v>0</v>
      </c>
      <c r="K67" s="1" t="s">
        <v>405</v>
      </c>
      <c r="L67" s="152"/>
      <c r="M67" s="152"/>
      <c r="N67" s="1"/>
      <c r="O67"/>
      <c r="P67" s="152"/>
      <c r="Q67" s="152"/>
      <c r="R67" s="152"/>
      <c r="S67" s="152"/>
      <c r="T67" s="152"/>
      <c r="U67" s="152"/>
      <c r="V67" s="152"/>
      <c r="W67" s="152"/>
      <c r="X67" s="152"/>
      <c r="Y67" s="156"/>
      <c r="Z67" s="156"/>
      <c r="AA67" s="156"/>
      <c r="AB67" s="156"/>
      <c r="AC67" s="156"/>
      <c r="AD67" s="156"/>
      <c r="AE67" s="156"/>
      <c r="AH67" s="156"/>
      <c r="AI67" s="156"/>
      <c r="AJ67" s="152" t="s">
        <v>406</v>
      </c>
      <c r="AK67" s="152" t="s">
        <v>329</v>
      </c>
      <c r="AL67" s="152"/>
      <c r="AM67" s="156"/>
      <c r="AN67" s="156"/>
      <c r="AO67" s="156">
        <f t="shared" si="24"/>
        <v>8.1920000000000002</v>
      </c>
      <c r="AP67" s="156">
        <f t="shared" si="25"/>
        <v>0</v>
      </c>
      <c r="AQ67" s="156">
        <f t="shared" si="26"/>
        <v>202</v>
      </c>
      <c r="AR67" s="156">
        <f t="shared" si="27"/>
        <v>0</v>
      </c>
      <c r="AS67" s="156">
        <f t="shared" si="28"/>
        <v>0</v>
      </c>
      <c r="AT67" s="156">
        <f t="shared" si="29"/>
        <v>0</v>
      </c>
      <c r="AU67" s="156">
        <f t="shared" si="30"/>
        <v>0</v>
      </c>
      <c r="AV67" s="156">
        <f t="shared" si="31"/>
        <v>0</v>
      </c>
      <c r="AW67" s="156">
        <f t="shared" si="32"/>
        <v>0</v>
      </c>
      <c r="AX67" s="156">
        <f t="shared" si="33"/>
        <v>0</v>
      </c>
    </row>
    <row r="68" spans="1:50" ht="13.5" customHeight="1">
      <c r="A68" s="156" t="s">
        <v>409</v>
      </c>
      <c r="B68" s="156"/>
      <c r="C68" s="156" t="s">
        <v>69</v>
      </c>
      <c r="D68" s="156" t="s">
        <v>403</v>
      </c>
      <c r="E68" s="156" t="s">
        <v>410</v>
      </c>
      <c r="F68" s="152">
        <v>4</v>
      </c>
      <c r="G68" s="152">
        <v>8</v>
      </c>
      <c r="H68" s="152">
        <v>0</v>
      </c>
      <c r="I68" s="152">
        <v>220</v>
      </c>
      <c r="J68" s="152">
        <v>0</v>
      </c>
      <c r="K68" s="1" t="s">
        <v>405</v>
      </c>
      <c r="L68" s="152"/>
      <c r="M68" s="152"/>
      <c r="N68" s="1"/>
      <c r="O68"/>
      <c r="P68" s="152"/>
      <c r="Q68" s="152"/>
      <c r="R68" s="152"/>
      <c r="S68" s="152"/>
      <c r="T68" s="152"/>
      <c r="U68" s="152"/>
      <c r="V68" s="152"/>
      <c r="W68" s="152"/>
      <c r="X68" s="152"/>
      <c r="Y68" s="156"/>
      <c r="Z68" s="156"/>
      <c r="AA68" s="156"/>
      <c r="AB68" s="156"/>
      <c r="AC68" s="156"/>
      <c r="AD68" s="156"/>
      <c r="AE68" s="156"/>
      <c r="AH68" s="156"/>
      <c r="AI68" s="156"/>
      <c r="AJ68" s="152" t="s">
        <v>406</v>
      </c>
      <c r="AK68" s="152" t="s">
        <v>329</v>
      </c>
      <c r="AL68" s="152"/>
      <c r="AM68" s="156"/>
      <c r="AN68" s="156"/>
      <c r="AO68" s="156">
        <f t="shared" si="24"/>
        <v>8.1920000000000002</v>
      </c>
      <c r="AP68" s="156">
        <f t="shared" si="25"/>
        <v>0</v>
      </c>
      <c r="AQ68" s="156">
        <f t="shared" si="26"/>
        <v>202</v>
      </c>
      <c r="AR68" s="156">
        <f t="shared" si="27"/>
        <v>0</v>
      </c>
      <c r="AS68" s="156">
        <f t="shared" si="28"/>
        <v>0</v>
      </c>
      <c r="AT68" s="156">
        <f t="shared" si="29"/>
        <v>0</v>
      </c>
      <c r="AU68" s="156">
        <f t="shared" si="30"/>
        <v>0</v>
      </c>
      <c r="AV68" s="156">
        <f t="shared" si="31"/>
        <v>0</v>
      </c>
      <c r="AW68" s="156">
        <f t="shared" si="32"/>
        <v>0</v>
      </c>
      <c r="AX68" s="156">
        <f t="shared" si="33"/>
        <v>0</v>
      </c>
    </row>
    <row r="69" spans="1:50" ht="13.5" customHeight="1">
      <c r="A69" s="156" t="s">
        <v>411</v>
      </c>
      <c r="B69" s="156"/>
      <c r="C69" s="156" t="s">
        <v>69</v>
      </c>
      <c r="D69" s="156" t="s">
        <v>403</v>
      </c>
      <c r="E69" s="156" t="s">
        <v>412</v>
      </c>
      <c r="F69" s="152">
        <v>4</v>
      </c>
      <c r="G69" s="152">
        <v>8</v>
      </c>
      <c r="H69" s="152">
        <v>0</v>
      </c>
      <c r="I69" s="152">
        <v>220</v>
      </c>
      <c r="J69" s="152">
        <v>0</v>
      </c>
      <c r="K69" s="1" t="s">
        <v>405</v>
      </c>
      <c r="L69" s="152"/>
      <c r="M69" s="152"/>
      <c r="N69" s="1"/>
      <c r="O69"/>
      <c r="P69" s="152"/>
      <c r="Q69" s="152"/>
      <c r="R69" s="152"/>
      <c r="S69" s="152"/>
      <c r="T69" s="152"/>
      <c r="U69" s="152"/>
      <c r="V69" s="152"/>
      <c r="W69" s="152"/>
      <c r="X69" s="152"/>
      <c r="Y69" s="156"/>
      <c r="Z69" s="156"/>
      <c r="AA69" s="156"/>
      <c r="AB69" s="156"/>
      <c r="AC69" s="156"/>
      <c r="AD69" s="156"/>
      <c r="AE69" s="156"/>
      <c r="AH69" s="156"/>
      <c r="AI69" s="156"/>
      <c r="AJ69" s="152" t="s">
        <v>406</v>
      </c>
      <c r="AK69" s="152" t="s">
        <v>329</v>
      </c>
      <c r="AL69" s="152"/>
      <c r="AM69" s="156"/>
      <c r="AN69" s="156"/>
      <c r="AO69" s="156">
        <f t="shared" si="24"/>
        <v>8.1920000000000002</v>
      </c>
      <c r="AP69" s="156">
        <f t="shared" si="25"/>
        <v>0</v>
      </c>
      <c r="AQ69" s="156">
        <f t="shared" si="26"/>
        <v>202</v>
      </c>
      <c r="AR69" s="156">
        <f t="shared" si="27"/>
        <v>0</v>
      </c>
      <c r="AS69" s="156">
        <f t="shared" si="28"/>
        <v>0</v>
      </c>
      <c r="AT69" s="156">
        <f t="shared" si="29"/>
        <v>0</v>
      </c>
      <c r="AU69" s="156">
        <f t="shared" si="30"/>
        <v>0</v>
      </c>
      <c r="AV69" s="156">
        <f t="shared" si="31"/>
        <v>0</v>
      </c>
      <c r="AW69" s="156">
        <f t="shared" si="32"/>
        <v>0</v>
      </c>
      <c r="AX69" s="156">
        <f t="shared" si="33"/>
        <v>0</v>
      </c>
    </row>
    <row r="70" spans="1:50" ht="13.5" customHeight="1">
      <c r="A70" s="156" t="s">
        <v>413</v>
      </c>
      <c r="B70" s="156"/>
      <c r="C70" s="156" t="s">
        <v>69</v>
      </c>
      <c r="D70" s="156" t="s">
        <v>403</v>
      </c>
      <c r="E70" s="156" t="s">
        <v>414</v>
      </c>
      <c r="F70" s="152">
        <v>3</v>
      </c>
      <c r="G70" s="152">
        <v>4</v>
      </c>
      <c r="H70" s="152">
        <v>0</v>
      </c>
      <c r="I70" s="152">
        <v>50</v>
      </c>
      <c r="J70" s="152">
        <v>0</v>
      </c>
      <c r="K70" s="1" t="s">
        <v>405</v>
      </c>
      <c r="L70" s="152"/>
      <c r="M70" s="152"/>
      <c r="N70" s="1"/>
      <c r="O70"/>
      <c r="P70" s="152"/>
      <c r="Q70" s="152"/>
      <c r="R70" s="152"/>
      <c r="S70" s="152"/>
      <c r="T70" s="152"/>
      <c r="U70" s="152"/>
      <c r="V70" s="152"/>
      <c r="W70" s="152"/>
      <c r="X70" s="152"/>
      <c r="Y70" s="156"/>
      <c r="Z70" s="156"/>
      <c r="AA70" s="156"/>
      <c r="AB70" s="156"/>
      <c r="AC70" s="156"/>
      <c r="AD70" s="156"/>
      <c r="AE70" s="156"/>
      <c r="AH70" s="156"/>
      <c r="AI70" s="156"/>
      <c r="AJ70" s="152" t="s">
        <v>406</v>
      </c>
      <c r="AK70" s="152" t="s">
        <v>329</v>
      </c>
      <c r="AL70" s="152"/>
      <c r="AM70" s="156"/>
      <c r="AN70" s="156"/>
      <c r="AO70" s="156">
        <f t="shared" si="24"/>
        <v>4.0960000000000001</v>
      </c>
      <c r="AP70" s="156">
        <f t="shared" si="25"/>
        <v>0</v>
      </c>
      <c r="AQ70" s="156">
        <f t="shared" si="26"/>
        <v>46</v>
      </c>
      <c r="AR70" s="156">
        <f t="shared" si="27"/>
        <v>0</v>
      </c>
      <c r="AS70" s="156">
        <f t="shared" si="28"/>
        <v>0</v>
      </c>
      <c r="AT70" s="156">
        <f t="shared" si="29"/>
        <v>0</v>
      </c>
      <c r="AU70" s="156">
        <f t="shared" si="30"/>
        <v>0</v>
      </c>
      <c r="AV70" s="156">
        <f t="shared" si="31"/>
        <v>0</v>
      </c>
      <c r="AW70" s="156">
        <f t="shared" si="32"/>
        <v>0</v>
      </c>
      <c r="AX70" s="156">
        <f t="shared" si="33"/>
        <v>0</v>
      </c>
    </row>
    <row r="71" spans="1:50" ht="13.5" customHeight="1">
      <c r="A71" s="156" t="s">
        <v>415</v>
      </c>
      <c r="B71" s="156"/>
      <c r="C71" s="156" t="s">
        <v>69</v>
      </c>
      <c r="D71" s="156" t="s">
        <v>403</v>
      </c>
      <c r="E71" s="156" t="s">
        <v>416</v>
      </c>
      <c r="F71" s="152">
        <v>3</v>
      </c>
      <c r="G71" s="152">
        <v>4</v>
      </c>
      <c r="H71" s="152">
        <v>0</v>
      </c>
      <c r="I71" s="152">
        <v>50</v>
      </c>
      <c r="J71" s="152">
        <v>0</v>
      </c>
      <c r="K71" s="152" t="s">
        <v>405</v>
      </c>
      <c r="L71" s="152"/>
      <c r="M71" s="152"/>
      <c r="N71" s="1"/>
      <c r="O71"/>
      <c r="P71" s="152"/>
      <c r="Q71" s="152"/>
      <c r="R71" s="152"/>
      <c r="S71" s="152"/>
      <c r="T71" s="152"/>
      <c r="U71" s="152"/>
      <c r="V71" s="152"/>
      <c r="W71" s="152"/>
      <c r="X71" s="152"/>
      <c r="Y71" s="156"/>
      <c r="Z71" s="156"/>
      <c r="AA71" s="156"/>
      <c r="AB71" s="156"/>
      <c r="AC71" s="156"/>
      <c r="AD71" s="156"/>
      <c r="AE71" s="156"/>
      <c r="AH71" s="156"/>
      <c r="AI71" s="156"/>
      <c r="AJ71" s="152" t="s">
        <v>406</v>
      </c>
      <c r="AK71" s="152" t="s">
        <v>329</v>
      </c>
      <c r="AL71" s="152"/>
      <c r="AM71" s="156"/>
      <c r="AN71" s="156"/>
      <c r="AO71" s="156">
        <f t="shared" si="24"/>
        <v>4.0960000000000001</v>
      </c>
      <c r="AP71" s="156">
        <f t="shared" si="25"/>
        <v>0</v>
      </c>
      <c r="AQ71" s="156">
        <f t="shared" si="26"/>
        <v>46</v>
      </c>
      <c r="AR71" s="156">
        <f t="shared" si="27"/>
        <v>0</v>
      </c>
      <c r="AS71" s="156">
        <f t="shared" si="28"/>
        <v>0</v>
      </c>
      <c r="AT71" s="156">
        <f t="shared" si="29"/>
        <v>0</v>
      </c>
      <c r="AU71" s="156">
        <f t="shared" si="30"/>
        <v>0</v>
      </c>
      <c r="AV71" s="156">
        <f t="shared" si="31"/>
        <v>0</v>
      </c>
      <c r="AW71" s="156">
        <f t="shared" si="32"/>
        <v>0</v>
      </c>
      <c r="AX71" s="156">
        <f t="shared" si="33"/>
        <v>0</v>
      </c>
    </row>
    <row r="72" spans="1:50" ht="13.5" customHeight="1">
      <c r="A72" s="156" t="s">
        <v>417</v>
      </c>
      <c r="B72" s="156"/>
      <c r="C72" s="156" t="s">
        <v>69</v>
      </c>
      <c r="D72" s="156" t="s">
        <v>403</v>
      </c>
      <c r="E72" s="156" t="s">
        <v>418</v>
      </c>
      <c r="F72" s="152">
        <v>16</v>
      </c>
      <c r="G72" s="152">
        <v>96</v>
      </c>
      <c r="H72" s="152">
        <v>0</v>
      </c>
      <c r="I72" s="152">
        <v>50</v>
      </c>
      <c r="J72" s="152">
        <v>0</v>
      </c>
      <c r="K72" s="152" t="s">
        <v>405</v>
      </c>
      <c r="L72" s="152"/>
      <c r="M72" s="152"/>
      <c r="N72" s="1"/>
      <c r="O72"/>
      <c r="P72" s="152"/>
      <c r="Q72" s="152"/>
      <c r="R72" s="152"/>
      <c r="S72" s="152"/>
      <c r="T72" s="152"/>
      <c r="U72" s="152"/>
      <c r="V72" s="152"/>
      <c r="W72" s="152"/>
      <c r="X72" s="152"/>
      <c r="Y72" s="156"/>
      <c r="Z72" s="156"/>
      <c r="AA72" s="156"/>
      <c r="AB72" s="156"/>
      <c r="AC72" s="156"/>
      <c r="AD72" s="156"/>
      <c r="AE72" s="156"/>
      <c r="AH72" s="156"/>
      <c r="AI72" s="156"/>
      <c r="AJ72" s="152" t="s">
        <v>419</v>
      </c>
      <c r="AK72" s="152"/>
      <c r="AL72" s="152"/>
      <c r="AM72" s="156"/>
      <c r="AN72" s="156"/>
      <c r="AO72" s="156">
        <f t="shared" si="24"/>
        <v>98.304000000000002</v>
      </c>
      <c r="AP72" s="156">
        <f t="shared" si="25"/>
        <v>0</v>
      </c>
      <c r="AQ72" s="156">
        <f t="shared" si="26"/>
        <v>46</v>
      </c>
      <c r="AR72" s="156">
        <f t="shared" si="27"/>
        <v>0</v>
      </c>
      <c r="AS72" s="156">
        <f t="shared" si="28"/>
        <v>0</v>
      </c>
      <c r="AT72" s="156">
        <f t="shared" si="29"/>
        <v>0</v>
      </c>
      <c r="AU72" s="156">
        <f t="shared" si="30"/>
        <v>0</v>
      </c>
      <c r="AV72" s="156">
        <f t="shared" si="31"/>
        <v>0</v>
      </c>
      <c r="AW72" s="156">
        <f t="shared" si="32"/>
        <v>0</v>
      </c>
      <c r="AX72" s="156">
        <f t="shared" si="33"/>
        <v>0</v>
      </c>
    </row>
    <row r="73" spans="1:50" ht="13.5" customHeight="1">
      <c r="A73" s="156" t="s">
        <v>420</v>
      </c>
      <c r="B73" s="156"/>
      <c r="C73" s="156" t="s">
        <v>69</v>
      </c>
      <c r="D73" s="156" t="s">
        <v>403</v>
      </c>
      <c r="E73" s="156" t="s">
        <v>421</v>
      </c>
      <c r="F73" s="152">
        <v>16</v>
      </c>
      <c r="G73" s="152">
        <v>96</v>
      </c>
      <c r="H73" s="152">
        <v>0</v>
      </c>
      <c r="I73" s="152">
        <v>50</v>
      </c>
      <c r="J73" s="152">
        <v>0</v>
      </c>
      <c r="K73" s="152" t="s">
        <v>405</v>
      </c>
      <c r="L73" s="156"/>
      <c r="M73" s="156"/>
      <c r="N73" s="132"/>
      <c r="O73"/>
      <c r="P73" s="152"/>
      <c r="Q73" s="152"/>
      <c r="R73" s="152"/>
      <c r="S73" s="152"/>
      <c r="T73" s="152"/>
      <c r="U73" s="152"/>
      <c r="V73" s="152"/>
      <c r="W73" s="152"/>
      <c r="X73" s="152"/>
      <c r="Y73" s="156"/>
      <c r="Z73" s="156"/>
      <c r="AA73" s="156"/>
      <c r="AB73" s="156"/>
      <c r="AC73" s="156"/>
      <c r="AD73" s="156"/>
      <c r="AE73" s="156"/>
      <c r="AH73" s="156"/>
      <c r="AI73" s="156"/>
      <c r="AJ73" s="152" t="s">
        <v>419</v>
      </c>
      <c r="AK73" s="152"/>
      <c r="AL73" s="152"/>
      <c r="AM73" s="156"/>
      <c r="AN73" s="156"/>
      <c r="AO73" s="156">
        <f t="shared" si="24"/>
        <v>98.304000000000002</v>
      </c>
      <c r="AP73" s="156">
        <f t="shared" si="25"/>
        <v>0</v>
      </c>
      <c r="AQ73" s="156">
        <f t="shared" si="26"/>
        <v>46</v>
      </c>
      <c r="AR73" s="156">
        <f t="shared" si="27"/>
        <v>0</v>
      </c>
      <c r="AS73" s="156">
        <f t="shared" si="28"/>
        <v>0</v>
      </c>
      <c r="AT73" s="156">
        <f t="shared" si="29"/>
        <v>0</v>
      </c>
      <c r="AU73" s="156">
        <f t="shared" si="30"/>
        <v>0</v>
      </c>
      <c r="AV73" s="156">
        <f t="shared" si="31"/>
        <v>0</v>
      </c>
      <c r="AW73" s="156">
        <f t="shared" si="32"/>
        <v>0</v>
      </c>
      <c r="AX73" s="156">
        <f t="shared" si="33"/>
        <v>0</v>
      </c>
    </row>
    <row r="74" spans="1:50" ht="13.5" customHeight="1">
      <c r="A74" s="101" t="s">
        <v>422</v>
      </c>
      <c r="B74" s="101"/>
      <c r="C74" s="101" t="s">
        <v>69</v>
      </c>
      <c r="D74" s="101" t="s">
        <v>403</v>
      </c>
      <c r="E74" s="101" t="s">
        <v>423</v>
      </c>
      <c r="F74" s="102">
        <v>16</v>
      </c>
      <c r="G74" s="102">
        <v>96</v>
      </c>
      <c r="H74" s="102">
        <v>0</v>
      </c>
      <c r="I74" s="102">
        <v>50</v>
      </c>
      <c r="J74" s="102">
        <v>0</v>
      </c>
      <c r="K74" s="102" t="s">
        <v>405</v>
      </c>
      <c r="L74" s="101"/>
      <c r="M74" s="101"/>
      <c r="N74" s="167"/>
      <c r="O74" s="168"/>
      <c r="P74" s="102"/>
      <c r="Q74" s="102"/>
      <c r="R74" s="102"/>
      <c r="S74" s="102"/>
      <c r="T74" s="102"/>
      <c r="U74" s="102"/>
      <c r="V74" s="102"/>
      <c r="W74" s="102"/>
      <c r="X74" s="102"/>
      <c r="Y74" s="101"/>
      <c r="Z74" s="101"/>
      <c r="AA74" s="101"/>
      <c r="AB74" s="101"/>
      <c r="AC74" s="101"/>
      <c r="AD74" s="101"/>
      <c r="AE74" s="101"/>
      <c r="AF74" s="101"/>
      <c r="AG74" s="101"/>
      <c r="AH74" s="101"/>
      <c r="AI74" s="101"/>
      <c r="AJ74" s="102" t="s">
        <v>419</v>
      </c>
      <c r="AK74" s="102"/>
      <c r="AL74" s="102"/>
      <c r="AM74" s="101"/>
      <c r="AN74" s="101"/>
      <c r="AO74" s="101">
        <f t="shared" si="24"/>
        <v>98.304000000000002</v>
      </c>
      <c r="AP74" s="101">
        <f t="shared" si="25"/>
        <v>0</v>
      </c>
      <c r="AQ74" s="101">
        <f t="shared" si="26"/>
        <v>46</v>
      </c>
      <c r="AR74" s="101">
        <f t="shared" si="27"/>
        <v>0</v>
      </c>
      <c r="AS74" s="101">
        <f t="shared" si="28"/>
        <v>0</v>
      </c>
      <c r="AT74" s="101">
        <f t="shared" si="29"/>
        <v>0</v>
      </c>
      <c r="AU74" s="101">
        <f t="shared" si="30"/>
        <v>0</v>
      </c>
      <c r="AV74" s="101">
        <f t="shared" si="31"/>
        <v>0</v>
      </c>
      <c r="AW74" s="101">
        <f t="shared" si="32"/>
        <v>0</v>
      </c>
      <c r="AX74" s="101">
        <f t="shared" si="33"/>
        <v>0</v>
      </c>
    </row>
    <row r="75" spans="1:50" s="156" customFormat="1" ht="13.5" customHeight="1">
      <c r="A75" s="156" t="s">
        <v>673</v>
      </c>
      <c r="C75" s="156" t="s">
        <v>674</v>
      </c>
      <c r="D75" s="156" t="s">
        <v>397</v>
      </c>
      <c r="E75" s="156" t="s">
        <v>675</v>
      </c>
      <c r="F75" s="164">
        <v>4</v>
      </c>
      <c r="G75" s="164">
        <v>4</v>
      </c>
      <c r="H75" s="164">
        <v>0</v>
      </c>
      <c r="I75" s="164">
        <v>25</v>
      </c>
      <c r="J75" s="164">
        <f>G75-H75</f>
        <v>4</v>
      </c>
      <c r="K75" s="165" t="s">
        <v>676</v>
      </c>
      <c r="N75" s="132"/>
      <c r="O75"/>
      <c r="P75" s="164"/>
      <c r="Q75" s="164"/>
      <c r="R75" s="164"/>
      <c r="S75" s="164"/>
      <c r="T75" s="164"/>
      <c r="U75" s="164"/>
      <c r="V75" s="164"/>
      <c r="W75" s="164"/>
      <c r="X75" s="164"/>
      <c r="AJ75" s="164" t="s">
        <v>328</v>
      </c>
      <c r="AK75" s="164" t="s">
        <v>329</v>
      </c>
      <c r="AL75" s="164"/>
      <c r="AO75" s="156">
        <f t="shared" si="24"/>
        <v>4.0960000000000001</v>
      </c>
      <c r="AP75" s="156">
        <f t="shared" si="25"/>
        <v>0</v>
      </c>
      <c r="AQ75" s="101">
        <f t="shared" si="26"/>
        <v>23</v>
      </c>
      <c r="AR75" s="101">
        <f t="shared" ref="AR75:AR76" si="34">IF(ISBLANK($A75),,ROUNDDOWN(L75*$AS$6*1.024,))</f>
        <v>0</v>
      </c>
      <c r="AS75" s="101">
        <f t="shared" ref="AS75:AS76" si="35">IF(ISBLANK($A75),,ROUNDDOWN(N75*$AS$6*1.024,))</f>
        <v>0</v>
      </c>
      <c r="AT75" s="101">
        <f t="shared" ref="AT75:AT76" si="36">IF(ISBLANK($A75),,ROUNDDOWN(P75*$AS$6*1.024,))</f>
        <v>0</v>
      </c>
      <c r="AU75" s="101">
        <f t="shared" ref="AU75:AU76" si="37">IF(ISBLANK($A75),,ROUNDDOWN(R75*$AS$6*1.024,))</f>
        <v>0</v>
      </c>
      <c r="AV75" s="101">
        <f t="shared" ref="AV75:AV76" si="38">IF(ISBLANK($A75),,ROUNDDOWN(T75*AS$6*1.024,))</f>
        <v>0</v>
      </c>
      <c r="AW75" s="101">
        <f t="shared" ref="AW75:AW76" si="39">IF(ISBLANK($A75),,ROUNDDOWN(V75*$AS$6*1.024,))</f>
        <v>0</v>
      </c>
      <c r="AX75" s="101">
        <f t="shared" ref="AX75:AX76" si="40">IF(ISBLANK($A75),,ROUNDDOWN(X75*$AS$6*1.024,))</f>
        <v>0</v>
      </c>
    </row>
    <row r="76" spans="1:50" s="13" customFormat="1" ht="13.5" customHeight="1">
      <c r="A76" s="13" t="s">
        <v>677</v>
      </c>
      <c r="C76" s="13" t="s">
        <v>674</v>
      </c>
      <c r="D76" s="13" t="s">
        <v>397</v>
      </c>
      <c r="E76" s="13" t="s">
        <v>678</v>
      </c>
      <c r="F76" s="8">
        <v>4</v>
      </c>
      <c r="G76" s="8">
        <v>4</v>
      </c>
      <c r="H76" s="8">
        <v>0</v>
      </c>
      <c r="I76" s="8">
        <v>25</v>
      </c>
      <c r="J76" s="8">
        <f>G76-H76</f>
        <v>4</v>
      </c>
      <c r="K76" s="36" t="s">
        <v>676</v>
      </c>
      <c r="AJ76" s="8" t="s">
        <v>328</v>
      </c>
      <c r="AK76" s="8" t="s">
        <v>329</v>
      </c>
      <c r="AO76" s="13">
        <f t="shared" si="24"/>
        <v>4.0960000000000001</v>
      </c>
      <c r="AP76" s="13">
        <f t="shared" si="25"/>
        <v>0</v>
      </c>
      <c r="AQ76" s="101">
        <f t="shared" si="26"/>
        <v>23</v>
      </c>
      <c r="AR76" s="101">
        <f t="shared" si="34"/>
        <v>0</v>
      </c>
      <c r="AS76" s="101">
        <f t="shared" si="35"/>
        <v>0</v>
      </c>
      <c r="AT76" s="101">
        <f t="shared" si="36"/>
        <v>0</v>
      </c>
      <c r="AU76" s="101">
        <f t="shared" si="37"/>
        <v>0</v>
      </c>
      <c r="AV76" s="101">
        <f t="shared" si="38"/>
        <v>0</v>
      </c>
      <c r="AW76" s="101">
        <f t="shared" si="39"/>
        <v>0</v>
      </c>
      <c r="AX76" s="101">
        <f t="shared" si="40"/>
        <v>0</v>
      </c>
    </row>
    <row r="77" spans="1:50">
      <c r="A77" s="156"/>
      <c r="B77" s="156"/>
      <c r="C77" s="156"/>
      <c r="D77" s="156"/>
      <c r="E77" s="156"/>
      <c r="F77" s="152">
        <f>SUM(F66:F76)+F63</f>
        <v>233</v>
      </c>
      <c r="G77" s="164">
        <f>SUM(G66:G76)+G63</f>
        <v>695</v>
      </c>
      <c r="H77" s="164">
        <f>SUM(H66:H76)+H63</f>
        <v>106</v>
      </c>
      <c r="I77" s="164">
        <f>SUM(I66:I76)+I63</f>
        <v>4657</v>
      </c>
      <c r="J77" s="152"/>
      <c r="K77" s="152"/>
      <c r="L77" s="164">
        <f>SUM(L66:L76)+L63</f>
        <v>66</v>
      </c>
      <c r="M77" s="152"/>
      <c r="N77" s="164">
        <f>SUM(N66:N76)+N63</f>
        <v>750</v>
      </c>
      <c r="O77" s="152"/>
      <c r="P77" s="164">
        <f>SUM(P66:P76)+P63</f>
        <v>1125</v>
      </c>
      <c r="Q77" s="152"/>
      <c r="R77" s="164">
        <f>SUM(R66:R76)+R63</f>
        <v>270</v>
      </c>
      <c r="S77" s="152"/>
      <c r="T77" s="164">
        <f>SUM(T66:T76)+T63</f>
        <v>300</v>
      </c>
      <c r="U77" s="152"/>
      <c r="V77" s="164">
        <f>SUM(V66:V76)+V63</f>
        <v>1500</v>
      </c>
      <c r="W77" s="152"/>
      <c r="X77" s="164">
        <f>SUM(X66:X76)+X63</f>
        <v>3050</v>
      </c>
      <c r="Y77" s="156"/>
      <c r="Z77" s="164">
        <f>SUM(Z66:Z76)+Z63</f>
        <v>100</v>
      </c>
      <c r="AA77" s="156"/>
      <c r="AB77" s="164">
        <f>SUM(AB66:AB76)+AB63</f>
        <v>50</v>
      </c>
      <c r="AC77" s="156"/>
      <c r="AD77" s="164">
        <f>SUM(AD66:AD76)+AD63</f>
        <v>65</v>
      </c>
      <c r="AE77" s="156"/>
      <c r="AF77" s="179">
        <f>SUM(AF66:AF76)+AF63</f>
        <v>100</v>
      </c>
      <c r="AH77" s="164">
        <f>SUM(AH66:AH76)+AH63</f>
        <v>2500</v>
      </c>
      <c r="AI77" s="156"/>
      <c r="AJ77" s="156"/>
      <c r="AK77" s="152" t="s">
        <v>697</v>
      </c>
      <c r="AL77" s="152">
        <f>3</f>
        <v>3</v>
      </c>
      <c r="AM77" s="156"/>
      <c r="AN77" s="156"/>
      <c r="AO77" s="156"/>
      <c r="AP77" s="156"/>
      <c r="AQ77" s="156"/>
      <c r="AR77" s="156"/>
      <c r="AS77" s="156"/>
      <c r="AT77" s="156"/>
      <c r="AU77" s="156"/>
      <c r="AV77" s="156"/>
      <c r="AW77" s="156"/>
      <c r="AX77" s="156"/>
    </row>
    <row r="79" spans="1:50">
      <c r="A79" s="7" t="s">
        <v>424</v>
      </c>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56"/>
      <c r="AB79" s="156"/>
      <c r="AC79" s="156"/>
      <c r="AD79" s="156"/>
      <c r="AE79" s="156"/>
      <c r="AH79" s="156"/>
      <c r="AI79" s="156"/>
      <c r="AJ79" s="156"/>
      <c r="AK79" s="156"/>
      <c r="AL79" s="156"/>
      <c r="AM79" s="156"/>
      <c r="AN79" s="156"/>
      <c r="AO79" s="156"/>
      <c r="AP79" s="156"/>
      <c r="AQ79" s="156"/>
      <c r="AR79" s="156"/>
      <c r="AS79" s="156"/>
      <c r="AT79" s="156"/>
      <c r="AU79" s="156"/>
      <c r="AV79" s="156"/>
      <c r="AW79" s="156"/>
      <c r="AX79" s="156"/>
    </row>
    <row r="80" spans="1:50">
      <c r="A80" s="156" t="s">
        <v>425</v>
      </c>
      <c r="B80" s="156"/>
      <c r="C80" s="156" t="s">
        <v>426</v>
      </c>
      <c r="D80" s="156" t="s">
        <v>427</v>
      </c>
      <c r="E80" s="156" t="s">
        <v>8</v>
      </c>
      <c r="F80" s="152">
        <v>2</v>
      </c>
      <c r="G80" s="152">
        <v>4</v>
      </c>
      <c r="H80" s="152">
        <v>4</v>
      </c>
      <c r="I80" s="152">
        <v>350</v>
      </c>
      <c r="J80" s="152">
        <f t="shared" ref="J80:J88" si="41">G80-H80</f>
        <v>0</v>
      </c>
      <c r="K80" s="154" t="s">
        <v>428</v>
      </c>
      <c r="L80" s="154"/>
      <c r="M80" s="154"/>
      <c r="N80" s="154"/>
      <c r="O80" s="154"/>
      <c r="P80" s="154"/>
      <c r="Q80" s="154"/>
      <c r="R80" s="154"/>
      <c r="S80" s="154"/>
      <c r="T80" s="154"/>
      <c r="U80" s="154"/>
      <c r="V80" s="152"/>
      <c r="W80" s="152"/>
      <c r="X80" s="152"/>
      <c r="Y80" s="156"/>
      <c r="Z80" s="156"/>
      <c r="AA80" s="156"/>
      <c r="AB80" s="156"/>
      <c r="AC80" s="156"/>
      <c r="AD80" s="156"/>
      <c r="AE80" s="156"/>
      <c r="AH80" s="156"/>
      <c r="AI80" s="156"/>
      <c r="AJ80" s="152" t="s">
        <v>328</v>
      </c>
      <c r="AK80" s="152" t="s">
        <v>329</v>
      </c>
      <c r="AL80" s="152"/>
      <c r="AM80" s="156"/>
      <c r="AN80" s="156"/>
      <c r="AO80" s="156">
        <f t="shared" ref="AO80:AO89" si="42">IF(ISBLANK($A80),,G80*1.024)</f>
        <v>4.0960000000000001</v>
      </c>
      <c r="AP80" s="156">
        <f t="shared" ref="AP80:AP89" si="43">IF(ISBLANK($A80),,H80*1.024)</f>
        <v>4.0960000000000001</v>
      </c>
      <c r="AQ80" s="156">
        <f>IF(ISBLANK($A80),,ROUNDDOWN(I80*AS6*1.024,))</f>
        <v>322</v>
      </c>
      <c r="AR80" s="156">
        <f>IF(ISBLANK($A80),,ROUNDDOWN(L80*AS6*1.024,))</f>
        <v>0</v>
      </c>
      <c r="AS80" s="156">
        <f>IF(ISBLANK($A80),,ROUNDDOWN(N80*AS6*1.024,))</f>
        <v>0</v>
      </c>
      <c r="AT80" s="156">
        <f>IF(ISBLANK($A80),,ROUNDDOWN(P80*AS6*1.024,))</f>
        <v>0</v>
      </c>
      <c r="AU80" s="156">
        <f>IF(ISBLANK($A80),,ROUNDDOWN(R80*AS6*1.024,))</f>
        <v>0</v>
      </c>
      <c r="AV80" s="156">
        <f t="shared" ref="AV80:AV88" si="44">IF(ISBLANK($A80),,ROUNDDOWN(T80*AS$6*1.024,))</f>
        <v>0</v>
      </c>
      <c r="AW80" s="156">
        <f>IF(ISBLANK($A80),,ROUNDDOWN(V80*AS6*1.024,))</f>
        <v>0</v>
      </c>
      <c r="AX80" s="156">
        <f>IF(ISBLANK($A80),,ROUNDDOWN(X80*AS6*1.024,))</f>
        <v>0</v>
      </c>
    </row>
    <row r="81" spans="1:50">
      <c r="A81" s="156" t="s">
        <v>429</v>
      </c>
      <c r="B81" s="156"/>
      <c r="C81" s="156" t="s">
        <v>426</v>
      </c>
      <c r="D81" s="156" t="s">
        <v>427</v>
      </c>
      <c r="E81" s="156" t="s">
        <v>430</v>
      </c>
      <c r="F81" s="152">
        <v>6</v>
      </c>
      <c r="G81" s="152">
        <v>10</v>
      </c>
      <c r="H81" s="152">
        <v>10</v>
      </c>
      <c r="I81" s="152">
        <v>100</v>
      </c>
      <c r="J81" s="152">
        <f t="shared" si="41"/>
        <v>0</v>
      </c>
      <c r="K81" s="154" t="s">
        <v>428</v>
      </c>
      <c r="L81" s="154"/>
      <c r="M81" s="154"/>
      <c r="N81" s="154">
        <v>200</v>
      </c>
      <c r="O81" s="154" t="s">
        <v>431</v>
      </c>
      <c r="P81" s="154"/>
      <c r="Q81" s="154"/>
      <c r="R81" s="154"/>
      <c r="S81" s="154"/>
      <c r="T81" s="154"/>
      <c r="U81" s="154"/>
      <c r="V81" s="152"/>
      <c r="W81" s="152"/>
      <c r="X81" s="152"/>
      <c r="Y81" s="156"/>
      <c r="Z81" s="156"/>
      <c r="AA81" s="156"/>
      <c r="AB81" s="156"/>
      <c r="AC81" s="156"/>
      <c r="AD81" s="156"/>
      <c r="AE81" s="156"/>
      <c r="AH81" s="156"/>
      <c r="AI81" s="156"/>
      <c r="AJ81" s="152" t="s">
        <v>328</v>
      </c>
      <c r="AK81" s="152" t="s">
        <v>329</v>
      </c>
      <c r="AL81" s="152"/>
      <c r="AM81" s="156"/>
      <c r="AN81" s="156"/>
      <c r="AO81" s="156">
        <f t="shared" si="42"/>
        <v>10.24</v>
      </c>
      <c r="AP81" s="156">
        <f t="shared" si="43"/>
        <v>10.24</v>
      </c>
      <c r="AQ81" s="156">
        <f>IF(ISBLANK($A81),,ROUNDDOWN(I81*AS6*1.024,))</f>
        <v>92</v>
      </c>
      <c r="AR81" s="156">
        <f>IF(ISBLANK($A81),,ROUNDDOWN(L81*AS6*1.024,))</f>
        <v>0</v>
      </c>
      <c r="AS81" s="156">
        <f>IF(ISBLANK($A81),,ROUNDDOWN(N81*AS6*1.024,))</f>
        <v>184</v>
      </c>
      <c r="AT81" s="156">
        <f>IF(ISBLANK($A81),,ROUNDDOWN(P81*AS6*1.024,))</f>
        <v>0</v>
      </c>
      <c r="AU81" s="156">
        <f>IF(ISBLANK($A81),,ROUNDDOWN(R81*AS6*1.024,))</f>
        <v>0</v>
      </c>
      <c r="AV81" s="156">
        <f t="shared" si="44"/>
        <v>0</v>
      </c>
      <c r="AW81" s="156">
        <f>IF(ISBLANK($A81),,ROUNDDOWN(V81*AS6*1.024,))</f>
        <v>0</v>
      </c>
      <c r="AX81" s="156">
        <f>IF(ISBLANK($A81),,ROUNDDOWN(X81*AS6*1.024,))</f>
        <v>0</v>
      </c>
    </row>
    <row r="82" spans="1:50">
      <c r="A82" s="156" t="s">
        <v>432</v>
      </c>
      <c r="B82" s="156"/>
      <c r="C82" s="156" t="s">
        <v>426</v>
      </c>
      <c r="D82" s="156" t="s">
        <v>427</v>
      </c>
      <c r="E82" s="156" t="s">
        <v>433</v>
      </c>
      <c r="F82" s="152">
        <v>8</v>
      </c>
      <c r="G82" s="152">
        <v>16</v>
      </c>
      <c r="H82" s="152">
        <v>16</v>
      </c>
      <c r="I82" s="152">
        <v>60</v>
      </c>
      <c r="J82" s="152">
        <f t="shared" si="41"/>
        <v>0</v>
      </c>
      <c r="K82" s="154" t="s">
        <v>434</v>
      </c>
      <c r="L82" s="154"/>
      <c r="M82" s="154"/>
      <c r="N82" s="154"/>
      <c r="O82" s="154"/>
      <c r="P82" s="154"/>
      <c r="Q82" s="154"/>
      <c r="R82" s="154"/>
      <c r="S82" s="154"/>
      <c r="T82" s="154"/>
      <c r="U82" s="154"/>
      <c r="V82" s="152"/>
      <c r="W82" s="152"/>
      <c r="X82" s="152"/>
      <c r="Y82" s="156"/>
      <c r="Z82" s="156"/>
      <c r="AA82" s="156"/>
      <c r="AB82" s="156"/>
      <c r="AC82" s="156"/>
      <c r="AD82" s="156"/>
      <c r="AE82" s="156"/>
      <c r="AH82" s="156"/>
      <c r="AI82" s="156"/>
      <c r="AJ82" s="152" t="s">
        <v>346</v>
      </c>
      <c r="AK82" s="152" t="s">
        <v>347</v>
      </c>
      <c r="AL82" s="152"/>
      <c r="AM82" s="156"/>
      <c r="AN82" s="156"/>
      <c r="AO82" s="156">
        <f t="shared" si="42"/>
        <v>16.384</v>
      </c>
      <c r="AP82" s="156">
        <f t="shared" si="43"/>
        <v>16.384</v>
      </c>
      <c r="AQ82" s="156">
        <f>IF(ISBLANK($A82),,ROUNDDOWN(I82*AS6*1.024,))</f>
        <v>55</v>
      </c>
      <c r="AR82" s="156">
        <f>IF(ISBLANK($A82),,ROUNDDOWN(L82*AS6*1.024,))</f>
        <v>0</v>
      </c>
      <c r="AS82" s="156">
        <f>IF(ISBLANK($A82),,ROUNDDOWN(N82*AS6*1.024,))</f>
        <v>0</v>
      </c>
      <c r="AT82" s="156">
        <f>IF(ISBLANK($A82),,ROUNDDOWN(P82*AS6*1.024,))</f>
        <v>0</v>
      </c>
      <c r="AU82" s="156">
        <f>IF(ISBLANK($A82),,ROUNDDOWN(R82*AS6*1.024,))</f>
        <v>0</v>
      </c>
      <c r="AV82" s="156">
        <f t="shared" si="44"/>
        <v>0</v>
      </c>
      <c r="AW82" s="156">
        <f>IF(ISBLANK($A82),,ROUNDDOWN(V82*AS6*1.024,))</f>
        <v>0</v>
      </c>
      <c r="AX82" s="156">
        <f>IF(ISBLANK($A82),,ROUNDDOWN(X82*AS6*1.024,))</f>
        <v>0</v>
      </c>
    </row>
    <row r="83" spans="1:50">
      <c r="A83" s="156" t="s">
        <v>435</v>
      </c>
      <c r="B83" s="156"/>
      <c r="C83" s="156" t="s">
        <v>426</v>
      </c>
      <c r="D83" s="156" t="s">
        <v>427</v>
      </c>
      <c r="E83" s="156" t="s">
        <v>436</v>
      </c>
      <c r="F83" s="152">
        <v>10</v>
      </c>
      <c r="G83" s="152">
        <v>10</v>
      </c>
      <c r="H83" s="152">
        <v>10</v>
      </c>
      <c r="I83" s="152">
        <v>40</v>
      </c>
      <c r="J83" s="152">
        <f t="shared" si="41"/>
        <v>0</v>
      </c>
      <c r="K83" s="154" t="s">
        <v>434</v>
      </c>
      <c r="L83" s="154"/>
      <c r="M83" s="154"/>
      <c r="N83" s="154"/>
      <c r="O83" s="154"/>
      <c r="P83" s="154"/>
      <c r="Q83" s="154"/>
      <c r="R83" s="154"/>
      <c r="S83" s="154"/>
      <c r="T83" s="154"/>
      <c r="U83" s="154"/>
      <c r="V83" s="152"/>
      <c r="W83" s="152"/>
      <c r="X83" s="152"/>
      <c r="Y83" s="156"/>
      <c r="Z83" s="156"/>
      <c r="AA83" s="156"/>
      <c r="AB83" s="156"/>
      <c r="AC83" s="156"/>
      <c r="AD83" s="156"/>
      <c r="AE83" s="156"/>
      <c r="AH83" s="156"/>
      <c r="AI83" s="156"/>
      <c r="AJ83" s="152" t="s">
        <v>346</v>
      </c>
      <c r="AK83" s="152" t="s">
        <v>347</v>
      </c>
      <c r="AL83" s="152"/>
      <c r="AM83" s="156"/>
      <c r="AN83" s="156"/>
      <c r="AO83" s="156">
        <f t="shared" si="42"/>
        <v>10.24</v>
      </c>
      <c r="AP83" s="156">
        <f t="shared" si="43"/>
        <v>10.24</v>
      </c>
      <c r="AQ83" s="156">
        <f>IF(ISBLANK($A83),,ROUNDDOWN(I83*AS6*1.024,))</f>
        <v>36</v>
      </c>
      <c r="AR83" s="156">
        <f>IF(ISBLANK($A83),,ROUNDDOWN(L83*AS6*1.024,))</f>
        <v>0</v>
      </c>
      <c r="AS83" s="156">
        <f>IF(ISBLANK($A83),,ROUNDDOWN(N83*AS6*1.024,))</f>
        <v>0</v>
      </c>
      <c r="AT83" s="156">
        <f>IF(ISBLANK($A83),,ROUNDDOWN(P83*AS6*1.024,))</f>
        <v>0</v>
      </c>
      <c r="AU83" s="156">
        <f>IF(ISBLANK($A83),,ROUNDDOWN(R83*AS6*1.024,))</f>
        <v>0</v>
      </c>
      <c r="AV83" s="156">
        <f t="shared" si="44"/>
        <v>0</v>
      </c>
      <c r="AW83" s="156">
        <f>IF(ISBLANK($A83),,ROUNDDOWN(V83*AS6*1.024,))</f>
        <v>0</v>
      </c>
      <c r="AX83" s="156">
        <f>IF(ISBLANK($A83),,ROUNDDOWN(X83*AS6*1.024,))</f>
        <v>0</v>
      </c>
    </row>
    <row r="84" spans="1:50">
      <c r="A84" s="156" t="s">
        <v>437</v>
      </c>
      <c r="B84" s="156"/>
      <c r="C84" s="156" t="s">
        <v>426</v>
      </c>
      <c r="D84" s="156" t="s">
        <v>427</v>
      </c>
      <c r="E84" s="156" t="s">
        <v>438</v>
      </c>
      <c r="F84" s="152">
        <v>4</v>
      </c>
      <c r="G84" s="152">
        <v>16</v>
      </c>
      <c r="H84" s="152">
        <v>0</v>
      </c>
      <c r="I84" s="152">
        <v>550</v>
      </c>
      <c r="J84" s="152">
        <f t="shared" si="41"/>
        <v>16</v>
      </c>
      <c r="K84" s="154" t="s">
        <v>439</v>
      </c>
      <c r="L84" s="154"/>
      <c r="M84" s="154"/>
      <c r="N84" s="154"/>
      <c r="O84" s="154"/>
      <c r="P84" s="154"/>
      <c r="Q84" s="154"/>
      <c r="R84" s="154"/>
      <c r="S84" s="154"/>
      <c r="T84" s="154"/>
      <c r="U84" s="154"/>
      <c r="V84" s="152"/>
      <c r="W84" s="152"/>
      <c r="X84" s="152"/>
      <c r="Y84" s="156"/>
      <c r="Z84" s="156"/>
      <c r="AA84" s="156"/>
      <c r="AB84" s="156"/>
      <c r="AC84" s="156"/>
      <c r="AD84" s="156"/>
      <c r="AE84" s="156"/>
      <c r="AH84" s="156"/>
      <c r="AI84" s="156"/>
      <c r="AJ84" s="152" t="s">
        <v>346</v>
      </c>
      <c r="AK84" s="152" t="s">
        <v>347</v>
      </c>
      <c r="AL84" s="152"/>
      <c r="AM84" s="156"/>
      <c r="AN84" s="156"/>
      <c r="AO84" s="156">
        <f t="shared" si="42"/>
        <v>16.384</v>
      </c>
      <c r="AP84" s="156">
        <f t="shared" si="43"/>
        <v>0</v>
      </c>
      <c r="AQ84" s="156">
        <f>IF(ISBLANK($A84),,ROUNDDOWN(I84*AS6*1.024,))</f>
        <v>506</v>
      </c>
      <c r="AR84" s="156">
        <f>IF(ISBLANK($A84),,ROUNDDOWN(L84*AS6*1.024,))</f>
        <v>0</v>
      </c>
      <c r="AS84" s="156">
        <f>IF(ISBLANK($A84),,ROUNDDOWN(N84*AS6*1.024,))</f>
        <v>0</v>
      </c>
      <c r="AT84" s="156">
        <f>IF(ISBLANK($A84),,ROUNDDOWN(P84*AS6*1.024,))</f>
        <v>0</v>
      </c>
      <c r="AU84" s="156">
        <f>IF(ISBLANK($A84),,ROUNDDOWN(R84*AS6*1.024,))</f>
        <v>0</v>
      </c>
      <c r="AV84" s="156">
        <f t="shared" si="44"/>
        <v>0</v>
      </c>
      <c r="AW84" s="156">
        <f>IF(ISBLANK($A84),,ROUNDDOWN(V84*AS6*1.024,))</f>
        <v>0</v>
      </c>
      <c r="AX84" s="156">
        <f>IF(ISBLANK($A84),,ROUNDDOWN(X84*AS6*1.024,))</f>
        <v>0</v>
      </c>
    </row>
    <row r="85" spans="1:50">
      <c r="A85" s="156" t="s">
        <v>440</v>
      </c>
      <c r="B85" s="156"/>
      <c r="C85" s="156" t="s">
        <v>426</v>
      </c>
      <c r="D85" s="156" t="s">
        <v>427</v>
      </c>
      <c r="E85" s="156" t="s">
        <v>441</v>
      </c>
      <c r="F85" s="152">
        <v>2</v>
      </c>
      <c r="G85" s="152">
        <v>4</v>
      </c>
      <c r="H85" s="152">
        <v>4</v>
      </c>
      <c r="I85" s="152">
        <v>40</v>
      </c>
      <c r="J85" s="152">
        <f t="shared" si="41"/>
        <v>0</v>
      </c>
      <c r="K85" s="154" t="s">
        <v>434</v>
      </c>
      <c r="L85" s="154"/>
      <c r="M85" s="154"/>
      <c r="N85" s="154"/>
      <c r="O85" s="154"/>
      <c r="P85" s="154"/>
      <c r="Q85" s="154"/>
      <c r="R85" s="154">
        <v>50</v>
      </c>
      <c r="S85" s="154" t="s">
        <v>442</v>
      </c>
      <c r="T85" s="154"/>
      <c r="U85" s="154"/>
      <c r="V85" s="152"/>
      <c r="W85" s="152"/>
      <c r="X85" s="152"/>
      <c r="Y85" s="156"/>
      <c r="Z85" s="156"/>
      <c r="AA85" s="156"/>
      <c r="AB85" s="156"/>
      <c r="AC85" s="156"/>
      <c r="AD85" s="156"/>
      <c r="AE85" s="156"/>
      <c r="AH85" s="156"/>
      <c r="AI85" s="156"/>
      <c r="AJ85" s="152" t="s">
        <v>328</v>
      </c>
      <c r="AK85" s="152" t="s">
        <v>329</v>
      </c>
      <c r="AL85" s="152"/>
      <c r="AM85" s="156"/>
      <c r="AN85" s="156"/>
      <c r="AO85" s="156">
        <f t="shared" si="42"/>
        <v>4.0960000000000001</v>
      </c>
      <c r="AP85" s="156">
        <f t="shared" si="43"/>
        <v>4.0960000000000001</v>
      </c>
      <c r="AQ85" s="156">
        <f>IF(ISBLANK($A85),,ROUNDDOWN(I85*AS6*1.024,))</f>
        <v>36</v>
      </c>
      <c r="AR85" s="156">
        <f>IF(ISBLANK($A85),,ROUNDDOWN(L85*AS6*1.024,))</f>
        <v>0</v>
      </c>
      <c r="AS85" s="156">
        <f>IF(ISBLANK($A85),,ROUNDDOWN(N85*AS6*1.024,))</f>
        <v>0</v>
      </c>
      <c r="AT85" s="156">
        <f>IF(ISBLANK($A85),,ROUNDDOWN(P85*AS6*1.024,))</f>
        <v>0</v>
      </c>
      <c r="AU85" s="156">
        <f>IF(ISBLANK($A85),,ROUNDDOWN(R85*AS6*1.024,))</f>
        <v>46</v>
      </c>
      <c r="AV85" s="156">
        <f t="shared" si="44"/>
        <v>0</v>
      </c>
      <c r="AW85" s="156">
        <f>IF(ISBLANK($A85),,ROUNDDOWN(V85*AS6*1.024,))</f>
        <v>0</v>
      </c>
      <c r="AX85" s="156">
        <f>IF(ISBLANK($A85),,ROUNDDOWN(X85*AS6*1.024,))</f>
        <v>0</v>
      </c>
    </row>
    <row r="86" spans="1:50">
      <c r="A86" s="156" t="s">
        <v>443</v>
      </c>
      <c r="B86" s="156"/>
      <c r="C86" s="156" t="s">
        <v>444</v>
      </c>
      <c r="D86" s="156" t="s">
        <v>427</v>
      </c>
      <c r="E86" s="156" t="s">
        <v>45</v>
      </c>
      <c r="F86" s="152">
        <v>4</v>
      </c>
      <c r="G86" s="152">
        <v>16</v>
      </c>
      <c r="H86" s="152">
        <v>0</v>
      </c>
      <c r="I86" s="152">
        <v>80</v>
      </c>
      <c r="J86" s="152">
        <f t="shared" si="41"/>
        <v>16</v>
      </c>
      <c r="K86" s="154" t="s">
        <v>445</v>
      </c>
      <c r="L86" s="154"/>
      <c r="M86" s="154"/>
      <c r="N86" s="154"/>
      <c r="O86" s="154"/>
      <c r="P86" s="154"/>
      <c r="Q86" s="154"/>
      <c r="R86" s="154"/>
      <c r="S86" s="154"/>
      <c r="T86" s="154"/>
      <c r="U86" s="154"/>
      <c r="V86" s="152"/>
      <c r="W86" s="152"/>
      <c r="X86" s="152"/>
      <c r="Y86" s="156"/>
      <c r="Z86" s="156"/>
      <c r="AA86" s="156"/>
      <c r="AB86" s="156"/>
      <c r="AC86" s="156"/>
      <c r="AD86" s="156"/>
      <c r="AE86" s="156"/>
      <c r="AH86" s="156"/>
      <c r="AI86" s="156"/>
      <c r="AJ86" s="152" t="s">
        <v>328</v>
      </c>
      <c r="AK86" s="152" t="s">
        <v>329</v>
      </c>
      <c r="AL86" s="152"/>
      <c r="AM86" s="156"/>
      <c r="AN86" s="156"/>
      <c r="AO86" s="156">
        <f t="shared" si="42"/>
        <v>16.384</v>
      </c>
      <c r="AP86" s="156">
        <f t="shared" si="43"/>
        <v>0</v>
      </c>
      <c r="AQ86" s="156">
        <f>IF(ISBLANK($A86),,ROUNDDOWN(I86*AS6*1.024,))</f>
        <v>73</v>
      </c>
      <c r="AR86" s="156">
        <f>IF(ISBLANK($A86),,ROUNDDOWN(L86*AS6*1.024,))</f>
        <v>0</v>
      </c>
      <c r="AS86" s="156">
        <f>IF(ISBLANK($A86),,ROUNDDOWN(N86*AS6*1.024,))</f>
        <v>0</v>
      </c>
      <c r="AT86" s="156">
        <f>IF(ISBLANK($A86),,ROUNDDOWN(P86*AS6*1.024,))</f>
        <v>0</v>
      </c>
      <c r="AU86" s="156">
        <f>IF(ISBLANK($A86),,ROUNDDOWN(R86*AS6*1.024,))</f>
        <v>0</v>
      </c>
      <c r="AV86" s="156">
        <f t="shared" si="44"/>
        <v>0</v>
      </c>
      <c r="AW86" s="156">
        <f>IF(ISBLANK($A86),,ROUNDDOWN(V86*AS6*1.024,))</f>
        <v>0</v>
      </c>
      <c r="AX86" s="156">
        <f>IF(ISBLANK($A86),,ROUNDDOWN(X86*AS6*1.024,))</f>
        <v>0</v>
      </c>
    </row>
    <row r="87" spans="1:50">
      <c r="A87" s="101" t="s">
        <v>446</v>
      </c>
      <c r="B87" s="101"/>
      <c r="C87" s="101" t="s">
        <v>444</v>
      </c>
      <c r="D87" s="101" t="s">
        <v>427</v>
      </c>
      <c r="E87" s="101" t="s">
        <v>45</v>
      </c>
      <c r="F87" s="102">
        <v>4</v>
      </c>
      <c r="G87" s="102">
        <v>16</v>
      </c>
      <c r="H87" s="102">
        <v>0</v>
      </c>
      <c r="I87" s="102">
        <v>80</v>
      </c>
      <c r="J87" s="102">
        <f t="shared" si="41"/>
        <v>16</v>
      </c>
      <c r="K87" s="114" t="s">
        <v>445</v>
      </c>
      <c r="L87" s="114"/>
      <c r="M87" s="114"/>
      <c r="N87" s="114"/>
      <c r="O87" s="114"/>
      <c r="P87" s="114"/>
      <c r="Q87" s="114"/>
      <c r="R87" s="114"/>
      <c r="S87" s="114"/>
      <c r="T87" s="114"/>
      <c r="U87" s="114"/>
      <c r="V87" s="102"/>
      <c r="W87" s="102"/>
      <c r="X87" s="102"/>
      <c r="Y87" s="101"/>
      <c r="Z87" s="101"/>
      <c r="AA87" s="101"/>
      <c r="AB87" s="101"/>
      <c r="AC87" s="101"/>
      <c r="AD87" s="101"/>
      <c r="AE87" s="101"/>
      <c r="AF87" s="101"/>
      <c r="AG87" s="101"/>
      <c r="AH87" s="101"/>
      <c r="AI87" s="101"/>
      <c r="AJ87" s="102" t="s">
        <v>328</v>
      </c>
      <c r="AK87" s="102" t="s">
        <v>329</v>
      </c>
      <c r="AL87" s="102"/>
      <c r="AM87" s="156"/>
      <c r="AN87" s="156"/>
      <c r="AO87" s="156">
        <f t="shared" si="42"/>
        <v>16.384</v>
      </c>
      <c r="AP87" s="156">
        <f t="shared" si="43"/>
        <v>0</v>
      </c>
      <c r="AQ87" s="156">
        <f>IF(ISBLANK($A87),,ROUNDDOWN(I87*AS6*1.024,))</f>
        <v>73</v>
      </c>
      <c r="AR87" s="156">
        <f>IF(ISBLANK($A87),,ROUNDDOWN(L87*AS6*1.024,))</f>
        <v>0</v>
      </c>
      <c r="AS87" s="156">
        <f>IF(ISBLANK($A87),,ROUNDDOWN(N87*AS6*1.024,))</f>
        <v>0</v>
      </c>
      <c r="AT87" s="156">
        <f>IF(ISBLANK($A87),,ROUNDDOWN(P87*AS6*1.024,))</f>
        <v>0</v>
      </c>
      <c r="AU87" s="156">
        <f>IF(ISBLANK($A87),,ROUNDDOWN(R87*AS6*1.024,))</f>
        <v>0</v>
      </c>
      <c r="AV87" s="156">
        <f t="shared" si="44"/>
        <v>0</v>
      </c>
      <c r="AW87" s="156">
        <f>IF(ISBLANK($A87),,ROUNDDOWN(V87*AS6*1.024,))</f>
        <v>0</v>
      </c>
      <c r="AX87" s="156">
        <f>IF(ISBLANK($A87),,ROUNDDOWN(X87*AS6*1.024,))</f>
        <v>0</v>
      </c>
    </row>
    <row r="88" spans="1:50" s="101" customFormat="1">
      <c r="A88" s="101" t="s">
        <v>447</v>
      </c>
      <c r="C88" s="101" t="s">
        <v>448</v>
      </c>
      <c r="D88" s="101" t="s">
        <v>326</v>
      </c>
      <c r="E88" s="101" t="s">
        <v>449</v>
      </c>
      <c r="F88" s="102">
        <v>4</v>
      </c>
      <c r="G88" s="102">
        <v>8</v>
      </c>
      <c r="H88" s="102">
        <v>0</v>
      </c>
      <c r="I88" s="102">
        <v>30</v>
      </c>
      <c r="J88" s="102">
        <f t="shared" si="41"/>
        <v>8</v>
      </c>
      <c r="K88" s="114" t="s">
        <v>450</v>
      </c>
      <c r="L88" s="114"/>
      <c r="M88" s="114"/>
      <c r="N88" s="114"/>
      <c r="O88" s="114"/>
      <c r="P88" s="114"/>
      <c r="Q88" s="114"/>
      <c r="R88" s="114"/>
      <c r="S88" s="114"/>
      <c r="T88" s="114"/>
      <c r="U88" s="114"/>
      <c r="V88" s="102"/>
      <c r="W88" s="102"/>
      <c r="X88" s="102"/>
      <c r="AJ88" s="102" t="s">
        <v>328</v>
      </c>
      <c r="AK88" s="102" t="s">
        <v>329</v>
      </c>
      <c r="AL88" s="102"/>
      <c r="AO88" s="101">
        <f t="shared" si="42"/>
        <v>8.1920000000000002</v>
      </c>
      <c r="AP88" s="101">
        <f t="shared" si="43"/>
        <v>0</v>
      </c>
      <c r="AQ88" s="101">
        <f>IF(ISBLANK($A88),,ROUNDDOWN(I88*AS6*1.024,))</f>
        <v>27</v>
      </c>
      <c r="AR88" s="101">
        <f>IF(ISBLANK($A88),,ROUNDDOWN(L88*AS5*1.024,))</f>
        <v>0</v>
      </c>
      <c r="AS88" s="101">
        <f>IF(ISBLANK($A88),,ROUNDDOWN(N88*AS5*1.024,))</f>
        <v>0</v>
      </c>
      <c r="AT88" s="101">
        <f>IF(ISBLANK($A88),,ROUNDDOWN(P88*AS5*1.024,))</f>
        <v>0</v>
      </c>
      <c r="AU88" s="101">
        <f>IF(ISBLANK($A88),,ROUNDDOWN(R88*AS5*1.024,))</f>
        <v>0</v>
      </c>
      <c r="AV88" s="13">
        <f t="shared" si="44"/>
        <v>0</v>
      </c>
      <c r="AW88" s="101">
        <f>IF(ISBLANK($A88),,ROUNDDOWN(V88*AS5*1.024,))</f>
        <v>0</v>
      </c>
      <c r="AX88" s="101">
        <f>IF(ISBLANK($A88),,ROUNDDOWN(X88*AS5*1.024,))</f>
        <v>0</v>
      </c>
    </row>
    <row r="89" spans="1:50" s="13" customFormat="1">
      <c r="A89" s="13" t="s">
        <v>451</v>
      </c>
      <c r="C89" s="13" t="s">
        <v>452</v>
      </c>
      <c r="D89" s="13" t="s">
        <v>453</v>
      </c>
      <c r="E89" s="13" t="s">
        <v>65</v>
      </c>
      <c r="F89" s="8">
        <v>8</v>
      </c>
      <c r="G89" s="8">
        <v>6</v>
      </c>
      <c r="H89" s="8">
        <v>0</v>
      </c>
      <c r="I89" s="8">
        <v>70</v>
      </c>
      <c r="J89" s="8">
        <f>G89-H89</f>
        <v>6</v>
      </c>
      <c r="K89" s="36" t="s">
        <v>454</v>
      </c>
      <c r="L89" s="36"/>
      <c r="M89" s="36"/>
      <c r="N89" s="36"/>
      <c r="O89" s="36"/>
      <c r="P89" s="36"/>
      <c r="Q89" s="36"/>
      <c r="R89" s="36"/>
      <c r="S89" s="36"/>
      <c r="T89" s="36"/>
      <c r="U89" s="36"/>
      <c r="V89" s="8"/>
      <c r="W89" s="8"/>
      <c r="X89" s="8"/>
      <c r="AJ89" s="8" t="s">
        <v>328</v>
      </c>
      <c r="AK89" s="8" t="s">
        <v>329</v>
      </c>
      <c r="AL89" s="8"/>
      <c r="AO89" s="13">
        <f t="shared" si="42"/>
        <v>6.1440000000000001</v>
      </c>
      <c r="AP89" s="13">
        <f t="shared" si="43"/>
        <v>0</v>
      </c>
      <c r="AQ89" s="13">
        <f>IF(ISBLANK($A89),,ROUNDDOWN(I89*AS6*1.024,))</f>
        <v>64</v>
      </c>
      <c r="AR89" s="13">
        <f>IF(ISBLANK($A89),,ROUNDDOWN(L89*AS6*1.024,))</f>
        <v>0</v>
      </c>
      <c r="AS89" s="13">
        <f>IF(ISBLANK($A89),,ROUNDDOWN(N89*AS6*1.024,))</f>
        <v>0</v>
      </c>
      <c r="AT89" s="13">
        <f>IF(ISBLANK($A89),,ROUNDDOWN(P89*AS6*1.024,))</f>
        <v>0</v>
      </c>
      <c r="AU89" s="13">
        <f>IF(ISBLANK($A89),,ROUNDDOWN(R89*AS6*1.024,))</f>
        <v>0</v>
      </c>
      <c r="AV89" s="13">
        <f>IF(ISBLANK($A89),,ROUNDDOWN(T89*AS$6*1.024,))</f>
        <v>0</v>
      </c>
      <c r="AW89" s="13">
        <f>IF(ISBLANK($A89),,ROUNDDOWN(V89*AS6*1.024,))</f>
        <v>0</v>
      </c>
      <c r="AX89" s="13">
        <f>IF(ISBLANK($A89),,ROUNDDOWN(X89*AS6*1.024,))</f>
        <v>0</v>
      </c>
    </row>
    <row r="90" spans="1:50" s="10" customFormat="1">
      <c r="F90" s="137">
        <f>SUM(F80:F89)+F77</f>
        <v>285</v>
      </c>
      <c r="G90" s="137">
        <f>SUM(G80:G89)+G77</f>
        <v>801</v>
      </c>
      <c r="H90" s="137">
        <f>SUM(H80:H89)+H77</f>
        <v>150</v>
      </c>
      <c r="I90" s="137">
        <f>SUM(I80:I89)+I77</f>
        <v>6057</v>
      </c>
      <c r="J90" s="9"/>
      <c r="K90" s="9"/>
      <c r="L90" s="137">
        <f>SUM(L80:L89)+L77</f>
        <v>66</v>
      </c>
      <c r="M90" s="9"/>
      <c r="N90" s="137">
        <f>SUM(N80:N89)+N77</f>
        <v>950</v>
      </c>
      <c r="O90" s="9"/>
      <c r="P90" s="137">
        <f>SUM(P80:P89)+P77</f>
        <v>1125</v>
      </c>
      <c r="Q90" s="9"/>
      <c r="R90" s="137">
        <f>SUM(R80:R89)+R77</f>
        <v>320</v>
      </c>
      <c r="S90" s="9"/>
      <c r="T90" s="137">
        <f>SUM(T80:T89)+T77</f>
        <v>300</v>
      </c>
      <c r="U90" s="9"/>
      <c r="V90" s="137">
        <f>SUM(V80:V89)+V77</f>
        <v>1500</v>
      </c>
      <c r="W90" s="9"/>
      <c r="X90" s="137">
        <f>SUM(X80:X89)+X77</f>
        <v>3050</v>
      </c>
      <c r="Y90" s="9"/>
      <c r="Z90" s="137">
        <f>SUM(Z80:Z89)+Z77</f>
        <v>100</v>
      </c>
      <c r="AA90" s="9"/>
      <c r="AB90" s="137">
        <f>SUM(AB80:AB89)+AB77</f>
        <v>50</v>
      </c>
      <c r="AC90" s="9"/>
      <c r="AD90" s="137">
        <f>SUM(AD80:AD89)+AD77</f>
        <v>65</v>
      </c>
      <c r="AE90" s="9"/>
      <c r="AF90" s="137">
        <f>SUM(AF80:AF89)+AF77</f>
        <v>100</v>
      </c>
      <c r="AG90" s="9"/>
      <c r="AH90" s="137">
        <f>SUM(AH80:AH89)+AH77</f>
        <v>2500</v>
      </c>
      <c r="AI90" s="9"/>
      <c r="AJ90" s="9"/>
      <c r="AK90" s="9" t="s">
        <v>698</v>
      </c>
      <c r="AL90" s="9">
        <v>3</v>
      </c>
    </row>
    <row r="91" spans="1:50">
      <c r="A91" s="156"/>
      <c r="B91" s="156"/>
      <c r="C91" s="156"/>
      <c r="D91" s="156"/>
      <c r="E91" s="156"/>
      <c r="F91" s="152"/>
      <c r="G91" s="152"/>
      <c r="H91" s="152"/>
      <c r="I91" s="152"/>
      <c r="J91" s="152"/>
      <c r="K91" s="152"/>
      <c r="L91" s="152"/>
      <c r="M91" s="152"/>
      <c r="N91" s="152"/>
      <c r="O91" s="152"/>
      <c r="P91" s="152"/>
      <c r="Q91" s="152"/>
      <c r="R91" s="152"/>
      <c r="S91" s="152"/>
      <c r="T91" s="152"/>
      <c r="U91" s="152"/>
      <c r="V91" s="152"/>
      <c r="W91" s="152"/>
      <c r="X91" s="31"/>
      <c r="Y91" s="152"/>
      <c r="Z91" s="152"/>
      <c r="AA91" s="152"/>
      <c r="AB91" s="152"/>
      <c r="AC91" s="152"/>
      <c r="AD91" s="152"/>
      <c r="AE91" s="152"/>
      <c r="AF91" s="179"/>
      <c r="AG91" s="179"/>
      <c r="AH91" s="152"/>
      <c r="AI91" s="152"/>
      <c r="AJ91" s="152"/>
      <c r="AK91" s="152"/>
      <c r="AL91" s="152"/>
      <c r="AM91" s="156"/>
      <c r="AN91" s="156"/>
      <c r="AO91" s="156"/>
      <c r="AP91" s="156"/>
      <c r="AQ91" s="156"/>
      <c r="AR91" s="156"/>
      <c r="AS91" s="156"/>
      <c r="AT91" s="156"/>
      <c r="AU91" s="156"/>
      <c r="AV91" s="156"/>
      <c r="AW91" s="156"/>
      <c r="AX91" s="156"/>
    </row>
    <row r="92" spans="1:50" ht="15">
      <c r="A92" s="219" t="s">
        <v>316</v>
      </c>
      <c r="B92" s="220"/>
      <c r="C92" s="220"/>
      <c r="D92" s="156"/>
      <c r="E92" s="156"/>
      <c r="F92" s="156"/>
      <c r="G92" s="156"/>
      <c r="H92" s="156"/>
      <c r="I92" s="156"/>
      <c r="J92" s="156"/>
      <c r="K92" s="156"/>
      <c r="L92" s="156"/>
      <c r="M92" s="156"/>
      <c r="N92" s="156"/>
      <c r="O92" s="156"/>
      <c r="P92" s="156"/>
      <c r="Q92" s="156"/>
      <c r="R92" s="156"/>
      <c r="S92" s="156"/>
      <c r="T92" s="156"/>
      <c r="U92" s="156"/>
      <c r="V92" s="156"/>
      <c r="W92" s="156"/>
      <c r="X92" s="156"/>
      <c r="Y92" s="156"/>
      <c r="Z92" s="156"/>
      <c r="AA92" s="156"/>
      <c r="AB92" s="156"/>
      <c r="AC92" s="156"/>
      <c r="AD92" s="156"/>
      <c r="AE92" s="156"/>
      <c r="AH92" s="156"/>
      <c r="AI92" s="156"/>
      <c r="AJ92" s="156"/>
      <c r="AK92" s="156"/>
      <c r="AL92" s="156"/>
      <c r="AM92" s="156"/>
      <c r="AN92" s="156"/>
      <c r="AO92" s="156"/>
      <c r="AP92" s="156"/>
      <c r="AQ92" s="156"/>
      <c r="AR92" s="156"/>
      <c r="AS92" s="156"/>
      <c r="AT92" s="156"/>
      <c r="AU92" s="156"/>
      <c r="AV92" s="156"/>
      <c r="AW92" s="156"/>
      <c r="AX92" s="156"/>
    </row>
    <row r="93" spans="1:50">
      <c r="A93" s="149" t="s">
        <v>455</v>
      </c>
      <c r="B93" s="149" t="s">
        <v>456</v>
      </c>
      <c r="C93" s="149" t="s">
        <v>457</v>
      </c>
      <c r="D93" s="156"/>
      <c r="E93" s="156"/>
      <c r="F93" s="156"/>
      <c r="G93" s="156"/>
      <c r="H93" s="156"/>
      <c r="I93" s="156"/>
      <c r="J93" s="156"/>
      <c r="K93" s="156"/>
      <c r="L93" s="156"/>
      <c r="M93" s="156"/>
      <c r="N93" s="156"/>
      <c r="O93" s="156"/>
      <c r="P93" s="156"/>
      <c r="Q93" s="156"/>
      <c r="R93" s="156"/>
      <c r="S93" s="156"/>
      <c r="T93" s="156"/>
      <c r="U93" s="156"/>
      <c r="V93" s="156"/>
      <c r="W93" s="156"/>
      <c r="X93" s="156"/>
      <c r="Y93" s="156"/>
      <c r="Z93" s="156"/>
      <c r="AA93" s="156"/>
      <c r="AB93" s="156"/>
      <c r="AC93" s="156"/>
      <c r="AD93" s="156"/>
      <c r="AE93" s="156"/>
      <c r="AH93" s="156"/>
      <c r="AI93" s="156"/>
      <c r="AJ93" s="156"/>
      <c r="AK93" s="156"/>
      <c r="AL93" s="156"/>
      <c r="AM93" s="156"/>
      <c r="AN93" s="156"/>
      <c r="AO93" s="156"/>
      <c r="AP93" s="156"/>
      <c r="AQ93" s="156"/>
      <c r="AR93" s="156"/>
      <c r="AS93" s="156"/>
      <c r="AT93" s="156"/>
      <c r="AU93" s="156"/>
      <c r="AV93" s="156"/>
      <c r="AW93" s="156"/>
      <c r="AX93" s="156"/>
    </row>
    <row r="94" spans="1:50">
      <c r="A94" s="124" t="s">
        <v>335</v>
      </c>
      <c r="B94" s="125" cm="1">
        <f t="array" ref="B94">SUM(IF(K8:K89=A94,I8:J89,""))</f>
        <v>453</v>
      </c>
      <c r="C94" s="126">
        <v>800</v>
      </c>
      <c r="D94" s="156"/>
      <c r="E94" s="156"/>
      <c r="F94" s="156"/>
      <c r="G94" s="156"/>
      <c r="H94" s="156"/>
      <c r="I94" s="156"/>
      <c r="J94" s="156"/>
      <c r="K94" s="156"/>
      <c r="L94" s="156"/>
      <c r="M94" s="156"/>
      <c r="N94" s="156"/>
      <c r="O94" s="156"/>
      <c r="P94" s="156"/>
      <c r="Q94" s="156"/>
      <c r="R94" s="156"/>
      <c r="S94" s="156"/>
      <c r="T94" s="156"/>
      <c r="U94" s="156"/>
      <c r="V94" s="156"/>
      <c r="W94" s="156"/>
      <c r="X94" s="156"/>
      <c r="Y94" s="156"/>
      <c r="Z94" s="156"/>
      <c r="AA94" s="156"/>
      <c r="AB94" s="156"/>
      <c r="AC94" s="156"/>
      <c r="AD94" s="156"/>
      <c r="AE94" s="156"/>
      <c r="AH94" s="156"/>
      <c r="AI94" s="156"/>
      <c r="AJ94" s="156"/>
      <c r="AK94" s="156"/>
      <c r="AL94" s="156"/>
      <c r="AM94" s="156"/>
      <c r="AN94" s="156"/>
      <c r="AO94" s="156"/>
      <c r="AP94" s="156"/>
      <c r="AQ94" s="156"/>
      <c r="AR94" s="156"/>
      <c r="AS94" s="156"/>
      <c r="AT94" s="156"/>
      <c r="AU94" s="156"/>
      <c r="AV94" s="156"/>
      <c r="AW94" s="156"/>
      <c r="AX94" s="156"/>
    </row>
    <row r="95" spans="1:50">
      <c r="A95" s="124" t="s">
        <v>337</v>
      </c>
      <c r="B95" s="125" cm="1">
        <f t="array" ref="B95">SUM(IF(K8:K89=A95,I8:J89,""))</f>
        <v>586</v>
      </c>
      <c r="C95" s="126">
        <v>800</v>
      </c>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c r="AB95" s="156"/>
      <c r="AC95" s="156"/>
      <c r="AD95" s="156"/>
      <c r="AE95" s="156"/>
      <c r="AH95" s="156"/>
      <c r="AI95" s="156"/>
      <c r="AJ95" s="156"/>
      <c r="AK95" s="156"/>
      <c r="AL95" s="156"/>
      <c r="AM95" s="156"/>
      <c r="AN95" s="156"/>
      <c r="AO95" s="156"/>
      <c r="AP95" s="156"/>
      <c r="AQ95" s="156"/>
      <c r="AR95" s="156"/>
      <c r="AS95" s="156"/>
      <c r="AT95" s="156"/>
      <c r="AU95" s="156"/>
      <c r="AV95" s="156"/>
      <c r="AW95" s="156"/>
      <c r="AX95" s="156"/>
    </row>
    <row r="96" spans="1:50">
      <c r="A96" s="124" t="s">
        <v>343</v>
      </c>
      <c r="B96" s="125" cm="1">
        <f t="array" ref="B96">SUM(IF(K8:K89=A96,I8:J89,""),AB19,AD21)</f>
        <v>617</v>
      </c>
      <c r="C96" s="126">
        <v>850</v>
      </c>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c r="AB96" s="156"/>
      <c r="AC96" s="156"/>
      <c r="AD96" s="156"/>
      <c r="AE96" s="156"/>
      <c r="AH96" s="156"/>
      <c r="AI96" s="156"/>
      <c r="AJ96" s="156"/>
      <c r="AK96" s="156"/>
      <c r="AL96" s="156"/>
      <c r="AM96" s="156"/>
      <c r="AN96" s="156"/>
      <c r="AO96" s="156"/>
      <c r="AP96" s="156"/>
      <c r="AQ96" s="156"/>
      <c r="AR96" s="156"/>
      <c r="AS96" s="156"/>
      <c r="AT96" s="156"/>
      <c r="AU96" s="156"/>
      <c r="AV96" s="156"/>
      <c r="AW96" s="156"/>
      <c r="AX96" s="156"/>
    </row>
    <row r="97" spans="1:50">
      <c r="A97" s="124" t="s">
        <v>458</v>
      </c>
      <c r="B97" s="126">
        <v>10</v>
      </c>
      <c r="C97" s="126">
        <v>35</v>
      </c>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c r="AB97" s="156"/>
      <c r="AC97" s="156"/>
      <c r="AD97" s="156"/>
      <c r="AE97" s="156"/>
      <c r="AH97" s="156"/>
      <c r="AI97" s="156"/>
      <c r="AJ97" s="156"/>
      <c r="AK97" s="156"/>
      <c r="AL97" s="156"/>
      <c r="AM97" s="156"/>
      <c r="AN97" s="156"/>
      <c r="AO97" s="156"/>
      <c r="AP97" s="156"/>
      <c r="AQ97" s="156"/>
      <c r="AR97" s="156"/>
      <c r="AS97" s="156"/>
      <c r="AT97" s="156"/>
      <c r="AU97" s="156"/>
      <c r="AV97" s="156"/>
      <c r="AW97" s="156"/>
      <c r="AX97" s="156"/>
    </row>
    <row r="98" spans="1:50">
      <c r="A98" s="124" t="s">
        <v>459</v>
      </c>
      <c r="B98" s="126">
        <v>10</v>
      </c>
      <c r="C98" s="126">
        <v>35</v>
      </c>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c r="AB98" s="156"/>
      <c r="AC98" s="156"/>
      <c r="AD98" s="156"/>
      <c r="AE98" s="156"/>
      <c r="AH98" s="156"/>
      <c r="AI98" s="156"/>
      <c r="AJ98" s="156"/>
      <c r="AK98" s="156"/>
      <c r="AL98" s="156"/>
      <c r="AM98" s="156"/>
      <c r="AN98" s="156"/>
      <c r="AO98" s="156"/>
      <c r="AP98" s="156"/>
      <c r="AQ98" s="156"/>
      <c r="AR98" s="156"/>
      <c r="AS98" s="156"/>
      <c r="AT98" s="156"/>
      <c r="AU98" s="156"/>
      <c r="AV98" s="156"/>
      <c r="AW98" s="156"/>
      <c r="AX98" s="156"/>
    </row>
    <row r="99" spans="1:50">
      <c r="A99" s="124" t="s">
        <v>460</v>
      </c>
      <c r="B99" s="126">
        <v>10</v>
      </c>
      <c r="C99" s="126">
        <v>35</v>
      </c>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c r="AB99" s="156"/>
      <c r="AC99" s="156"/>
      <c r="AD99" s="156"/>
      <c r="AE99" s="156"/>
      <c r="AH99" s="156"/>
      <c r="AI99" s="156"/>
      <c r="AJ99" s="156"/>
      <c r="AK99" s="156"/>
      <c r="AL99" s="156"/>
      <c r="AM99" s="156"/>
      <c r="AN99" s="156"/>
      <c r="AO99" s="156"/>
      <c r="AP99" s="156"/>
      <c r="AQ99" s="156"/>
      <c r="AR99" s="156"/>
      <c r="AS99" s="156"/>
      <c r="AT99" s="156"/>
      <c r="AU99" s="156"/>
      <c r="AV99" s="156"/>
      <c r="AW99" s="156"/>
      <c r="AX99" s="156"/>
    </row>
    <row r="100" spans="1:50">
      <c r="A100" s="124" t="s">
        <v>461</v>
      </c>
      <c r="B100" s="126">
        <v>10</v>
      </c>
      <c r="C100" s="126">
        <v>35</v>
      </c>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c r="AC100" s="156"/>
      <c r="AD100" s="156"/>
      <c r="AE100" s="156"/>
      <c r="AH100" s="156"/>
      <c r="AI100" s="156"/>
      <c r="AJ100" s="156"/>
      <c r="AK100" s="156"/>
      <c r="AL100" s="156"/>
      <c r="AM100" s="156"/>
      <c r="AN100" s="156"/>
      <c r="AO100" s="156"/>
      <c r="AP100" s="156"/>
      <c r="AQ100" s="156"/>
      <c r="AR100" s="156"/>
      <c r="AS100" s="156"/>
      <c r="AT100" s="156"/>
      <c r="AU100" s="156"/>
      <c r="AV100" s="156"/>
      <c r="AW100" s="156"/>
      <c r="AX100" s="156"/>
    </row>
    <row r="101" spans="1:50">
      <c r="A101" s="124" t="s">
        <v>462</v>
      </c>
      <c r="B101" s="126">
        <v>10</v>
      </c>
      <c r="C101" s="126">
        <v>35</v>
      </c>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c r="AB101" s="156"/>
      <c r="AC101" s="156"/>
      <c r="AD101" s="156"/>
      <c r="AE101" s="156"/>
      <c r="AH101" s="156"/>
      <c r="AI101" s="156"/>
      <c r="AJ101" s="156"/>
      <c r="AK101" s="156"/>
      <c r="AL101" s="156"/>
      <c r="AM101" s="156"/>
      <c r="AN101" s="156"/>
      <c r="AO101" s="156"/>
      <c r="AP101" s="156"/>
      <c r="AQ101" s="156"/>
      <c r="AR101" s="156"/>
      <c r="AS101" s="156"/>
      <c r="AT101" s="156"/>
      <c r="AU101" s="156"/>
      <c r="AV101" s="156"/>
      <c r="AW101" s="156"/>
      <c r="AX101" s="156"/>
    </row>
    <row r="102" spans="1:50">
      <c r="A102" s="124" t="s">
        <v>463</v>
      </c>
      <c r="B102" s="126">
        <v>60.825000000000003</v>
      </c>
      <c r="C102" s="126">
        <v>66</v>
      </c>
      <c r="D102" s="156"/>
    </row>
    <row r="103" spans="1:50">
      <c r="A103" s="124" t="s">
        <v>464</v>
      </c>
      <c r="B103" s="145">
        <f>VLOOKUP(N11,B128:H130,2,FALSE)</f>
        <v>691.2</v>
      </c>
      <c r="C103" s="145">
        <f>N11</f>
        <v>750</v>
      </c>
      <c r="D103" s="156"/>
    </row>
    <row r="104" spans="1:50">
      <c r="A104" s="124" t="s">
        <v>465</v>
      </c>
      <c r="B104" s="145">
        <f>VLOOKUP(N11,B128:H130,7,FALSE)</f>
        <v>1036.8</v>
      </c>
      <c r="C104" s="145">
        <f>P11</f>
        <v>1125</v>
      </c>
      <c r="D104" s="156"/>
    </row>
    <row r="105" spans="1:50">
      <c r="A105" s="124" t="s">
        <v>130</v>
      </c>
      <c r="B105" s="126">
        <f>222+20</f>
        <v>242</v>
      </c>
      <c r="C105" s="126">
        <v>270</v>
      </c>
      <c r="D105" s="156"/>
    </row>
    <row r="106" spans="1:50">
      <c r="A106" s="124" t="s">
        <v>137</v>
      </c>
      <c r="B106" s="126">
        <v>276.48</v>
      </c>
      <c r="C106" s="126">
        <v>300</v>
      </c>
      <c r="D106" s="156"/>
    </row>
    <row r="107" spans="1:50">
      <c r="A107" s="124" t="s">
        <v>366</v>
      </c>
      <c r="B107" s="126">
        <v>92.16</v>
      </c>
      <c r="C107" s="126">
        <v>150</v>
      </c>
      <c r="D107" s="156"/>
    </row>
    <row r="108" spans="1:50">
      <c r="A108" s="124" t="s">
        <v>466</v>
      </c>
      <c r="B108" s="145">
        <f>X11*0.9*1.024+X12*0.9*1.024+1700</f>
        <v>4510.88</v>
      </c>
      <c r="C108" s="145">
        <f>VLOOKUP(N11,B128:K130,10,FALSE)</f>
        <v>5000</v>
      </c>
      <c r="D108" s="152"/>
    </row>
    <row r="109" spans="1:50">
      <c r="A109" s="124" t="s">
        <v>467</v>
      </c>
      <c r="B109" s="143">
        <f>IF($N$11=750,B108+1700,0)</f>
        <v>6210.88</v>
      </c>
      <c r="C109" s="145">
        <f>IF($N$11=750,C108+1800,0)</f>
        <v>6800</v>
      </c>
      <c r="D109" s="152"/>
    </row>
    <row r="110" spans="1:50">
      <c r="A110" s="124" t="s">
        <v>468</v>
      </c>
      <c r="B110" s="126">
        <v>2048</v>
      </c>
      <c r="C110" s="126">
        <v>2500</v>
      </c>
      <c r="D110" s="152"/>
    </row>
    <row r="111" spans="1:50">
      <c r="A111" s="124" t="s">
        <v>327</v>
      </c>
      <c r="B111" s="145" cm="1">
        <f t="array" ref="B111">SUM(IF(K8:K89=A111,I8:J89,""))</f>
        <v>829</v>
      </c>
      <c r="C111" s="145">
        <f>IF(E9="vCSA7.0",900, 700)</f>
        <v>900</v>
      </c>
      <c r="D111" s="152"/>
    </row>
    <row r="112" spans="1:50" s="156" customFormat="1">
      <c r="A112" s="169" t="s">
        <v>695</v>
      </c>
      <c r="B112" s="187">
        <f>IF(OR(E42=1,E42=2,E42=3,E42=4),VLOOKUP(E42,A135:F140,4,FALSE),VLOOKUP(1,A135:F140,4,FALSE))</f>
        <v>100</v>
      </c>
      <c r="C112" s="188">
        <f>IF(OR(E42=1,E42=2,E42=3,E42=4),VLOOKUP(E42,A135:F140,5,FALSE),VLOOKUP(1,A135:F140,5,FALSE))</f>
        <v>115</v>
      </c>
      <c r="D112" s="164"/>
    </row>
    <row r="113" spans="1:33" s="156" customFormat="1">
      <c r="A113" s="169" t="s">
        <v>676</v>
      </c>
      <c r="B113" s="170">
        <v>58</v>
      </c>
      <c r="C113" s="171">
        <v>100</v>
      </c>
      <c r="D113" s="178"/>
    </row>
    <row r="114" spans="1:33">
      <c r="A114" s="124" t="s">
        <v>405</v>
      </c>
      <c r="B114" s="126">
        <v>1110</v>
      </c>
      <c r="C114" s="126">
        <v>2500</v>
      </c>
      <c r="D114" s="152"/>
    </row>
    <row r="115" spans="1:33">
      <c r="A115" s="85" t="s">
        <v>469</v>
      </c>
      <c r="B115" s="152"/>
      <c r="C115" s="152"/>
      <c r="D115" s="152"/>
    </row>
    <row r="116" spans="1:33">
      <c r="A116" s="156"/>
      <c r="B116" s="152"/>
      <c r="C116" s="152"/>
      <c r="D116" s="152"/>
    </row>
    <row r="117" spans="1:33">
      <c r="A117" s="156"/>
      <c r="B117" s="152"/>
      <c r="C117" s="152"/>
      <c r="D117" s="152"/>
    </row>
    <row r="118" spans="1:33">
      <c r="A118" s="156"/>
      <c r="B118" s="152"/>
      <c r="C118" s="152"/>
      <c r="D118" s="152"/>
    </row>
    <row r="119" spans="1:33">
      <c r="A119" s="156"/>
      <c r="B119" s="152"/>
      <c r="C119" s="152"/>
      <c r="D119" s="152"/>
    </row>
    <row r="120" spans="1:33">
      <c r="A120" s="156"/>
      <c r="B120" s="152"/>
      <c r="C120" s="152"/>
      <c r="D120" s="152"/>
      <c r="E120" s="156"/>
      <c r="F120" s="156"/>
      <c r="G120" s="156"/>
      <c r="H120" s="156"/>
      <c r="I120" s="156"/>
      <c r="J120" s="156"/>
    </row>
    <row r="121" spans="1:33">
      <c r="A121" s="156"/>
      <c r="B121" s="152"/>
      <c r="C121" s="152"/>
    </row>
    <row r="122" spans="1:33">
      <c r="D122" s="156"/>
      <c r="E122" s="156"/>
      <c r="F122" s="156"/>
      <c r="G122" s="156"/>
      <c r="H122" s="156"/>
      <c r="I122" s="156"/>
      <c r="J122" s="156"/>
    </row>
    <row r="123" spans="1:33">
      <c r="A123" s="156"/>
      <c r="B123" s="4" t="s">
        <v>126</v>
      </c>
      <c r="C123" s="156"/>
      <c r="D123" s="156"/>
      <c r="E123" s="156"/>
      <c r="F123" s="156"/>
      <c r="G123" s="156"/>
      <c r="H123" s="156"/>
      <c r="I123" s="156"/>
      <c r="J123" s="156"/>
    </row>
    <row r="124" spans="1:33">
      <c r="A124" s="20" t="s">
        <v>470</v>
      </c>
      <c r="B124" s="156">
        <v>1500</v>
      </c>
      <c r="C124" s="156"/>
      <c r="D124" s="156"/>
      <c r="E124" s="156"/>
      <c r="F124" s="156"/>
      <c r="G124" s="156"/>
      <c r="H124" s="156"/>
      <c r="I124" s="156"/>
      <c r="J124" s="156"/>
    </row>
    <row r="125" spans="1:33">
      <c r="A125" s="20" t="s">
        <v>471</v>
      </c>
      <c r="B125" s="156">
        <v>3000</v>
      </c>
      <c r="C125" s="156"/>
    </row>
    <row r="127" spans="1:33" s="138" customFormat="1">
      <c r="A127" s="3"/>
      <c r="B127" s="3"/>
      <c r="C127" s="3"/>
      <c r="AF127" s="156"/>
      <c r="AG127" s="156"/>
    </row>
    <row r="128" spans="1:33" s="138" customFormat="1">
      <c r="A128" s="139"/>
      <c r="B128" s="140" t="s">
        <v>472</v>
      </c>
      <c r="C128" s="140" t="s">
        <v>473</v>
      </c>
      <c r="D128" s="141" t="s">
        <v>474</v>
      </c>
      <c r="E128" s="141" t="s">
        <v>475</v>
      </c>
      <c r="F128" s="141" t="s">
        <v>626</v>
      </c>
      <c r="G128" s="141" t="s">
        <v>122</v>
      </c>
      <c r="H128" s="140" t="s">
        <v>476</v>
      </c>
      <c r="I128" s="141" t="s">
        <v>477</v>
      </c>
      <c r="J128" s="141" t="s">
        <v>625</v>
      </c>
      <c r="K128" s="141" t="s">
        <v>478</v>
      </c>
      <c r="L128" s="141" t="s">
        <v>468</v>
      </c>
      <c r="M128" s="141" t="s">
        <v>629</v>
      </c>
      <c r="AF128" s="156"/>
      <c r="AG128" s="156"/>
    </row>
    <row r="129" spans="1:33" s="138" customFormat="1">
      <c r="A129" s="142" t="s">
        <v>479</v>
      </c>
      <c r="B129" s="139">
        <v>750</v>
      </c>
      <c r="C129" s="139">
        <v>691.2</v>
      </c>
      <c r="D129" s="139">
        <v>6</v>
      </c>
      <c r="E129" s="139">
        <v>40</v>
      </c>
      <c r="F129" s="138">
        <v>33</v>
      </c>
      <c r="G129" s="139">
        <v>1125</v>
      </c>
      <c r="H129" s="139">
        <v>1036.8</v>
      </c>
      <c r="I129" s="139">
        <v>2800</v>
      </c>
      <c r="J129" s="138">
        <v>2580.48</v>
      </c>
      <c r="K129" s="139">
        <v>5000</v>
      </c>
      <c r="L129" s="138">
        <v>2500</v>
      </c>
      <c r="M129" s="138">
        <v>2048</v>
      </c>
      <c r="AF129" s="156"/>
      <c r="AG129" s="156"/>
    </row>
    <row r="130" spans="1:33">
      <c r="A130" s="142" t="s">
        <v>480</v>
      </c>
      <c r="B130" s="139">
        <v>2350</v>
      </c>
      <c r="C130" s="139">
        <v>2165.7600000000002</v>
      </c>
      <c r="D130" s="139">
        <v>11</v>
      </c>
      <c r="E130" s="139">
        <v>70</v>
      </c>
      <c r="F130" s="138">
        <v>57.75</v>
      </c>
      <c r="G130" s="139">
        <v>2550</v>
      </c>
      <c r="H130" s="139">
        <v>2350.08</v>
      </c>
      <c r="I130" s="139">
        <v>7050</v>
      </c>
      <c r="J130" s="138">
        <v>6497.28</v>
      </c>
      <c r="K130" s="139">
        <v>9400</v>
      </c>
      <c r="L130" s="138">
        <v>2500</v>
      </c>
      <c r="M130" s="138">
        <v>2048</v>
      </c>
    </row>
    <row r="135" spans="1:33" ht="15">
      <c r="A135" s="217" t="s">
        <v>711</v>
      </c>
      <c r="B135" s="218"/>
      <c r="C135" s="218"/>
      <c r="D135" s="218"/>
      <c r="E135" s="218"/>
      <c r="F135" s="218"/>
    </row>
    <row r="136" spans="1:33" ht="51">
      <c r="A136" s="189" t="s">
        <v>712</v>
      </c>
      <c r="B136" s="189" t="s">
        <v>474</v>
      </c>
      <c r="C136" s="189" t="s">
        <v>713</v>
      </c>
      <c r="D136" s="189" t="s">
        <v>714</v>
      </c>
      <c r="E136" s="189" t="s">
        <v>714</v>
      </c>
      <c r="F136" s="189" t="s">
        <v>715</v>
      </c>
    </row>
    <row r="137" spans="1:33">
      <c r="A137" s="190">
        <v>1</v>
      </c>
      <c r="B137" s="190">
        <v>4</v>
      </c>
      <c r="C137" s="190">
        <v>8</v>
      </c>
      <c r="D137" s="190">
        <v>100</v>
      </c>
      <c r="E137" s="190">
        <v>115</v>
      </c>
      <c r="F137" s="190">
        <v>1000</v>
      </c>
    </row>
    <row r="138" spans="1:33">
      <c r="A138" s="190">
        <v>2</v>
      </c>
      <c r="B138" s="190">
        <v>4</v>
      </c>
      <c r="C138" s="190">
        <v>8</v>
      </c>
      <c r="D138" s="190">
        <v>100</v>
      </c>
      <c r="E138" s="190">
        <v>115</v>
      </c>
      <c r="F138" s="190">
        <v>1000</v>
      </c>
    </row>
    <row r="139" spans="1:33">
      <c r="A139" s="190">
        <v>3</v>
      </c>
      <c r="B139" s="190">
        <v>6</v>
      </c>
      <c r="C139" s="190">
        <v>16</v>
      </c>
      <c r="D139" s="190">
        <v>150</v>
      </c>
      <c r="E139" s="190">
        <v>170</v>
      </c>
      <c r="F139" s="190">
        <v>1000</v>
      </c>
    </row>
    <row r="140" spans="1:33">
      <c r="A140" s="190">
        <v>4</v>
      </c>
      <c r="B140" s="190">
        <v>6</v>
      </c>
      <c r="C140" s="190">
        <v>16</v>
      </c>
      <c r="D140" s="190">
        <v>150</v>
      </c>
      <c r="E140" s="190">
        <v>170</v>
      </c>
      <c r="F140" s="190">
        <v>1000</v>
      </c>
    </row>
  </sheetData>
  <mergeCells count="11">
    <mergeCell ref="A135:F135"/>
    <mergeCell ref="A92:C92"/>
    <mergeCell ref="H35:L40"/>
    <mergeCell ref="A36:D36"/>
    <mergeCell ref="A1:E1"/>
    <mergeCell ref="A3:B3"/>
    <mergeCell ref="F3:G3"/>
    <mergeCell ref="A4:B4"/>
    <mergeCell ref="A5:B5"/>
    <mergeCell ref="A35:D35"/>
    <mergeCell ref="A42:D42"/>
  </mergeCells>
  <dataValidations count="3">
    <dataValidation type="list" allowBlank="1" showInputMessage="1" showErrorMessage="1" sqref="N11" xr:uid="{D35CFE61-544E-4A50-B939-E14F753F28CB}">
      <formula1>$B$129:$B$130</formula1>
    </dataValidation>
    <dataValidation type="list" allowBlank="1" showInputMessage="1" showErrorMessage="1" sqref="E9" xr:uid="{7FD8CDA4-DBAE-4204-B95D-D442C816F739}">
      <formula1>"vCSA7.0, vCSA6.5"</formula1>
    </dataValidation>
    <dataValidation type="list" allowBlank="1" showInputMessage="1" showErrorMessage="1" error="1 To 4 NetAct cluster are allowed to integrated to a Single NAPD." prompt="Select total number of NetAct clusters planned to integrate to NAPD. By default, computing resources shown is for ONE NetAct cluster." sqref="E42" xr:uid="{FF0C2388-01C2-4EF1-9CF2-63DB0C443579}">
      <formula1>"1,2,3,4"</formula1>
    </dataValidation>
  </dataValidations>
  <hyperlinks>
    <hyperlink ref="F3:G3" location="Shortcuts!A1" display="Back to shortcuts" xr:uid="{48FF001E-4728-4897-89E6-7B2A165EC4D4}"/>
  </hyperlink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8E049-2EC3-4DD8-8B16-BA4D5EEB788A}">
  <dimension ref="A1:AX142"/>
  <sheetViews>
    <sheetView zoomScale="83" zoomScaleNormal="83" zoomScalePageLayoutView="70" workbookViewId="0">
      <selection sqref="A1:E1"/>
    </sheetView>
  </sheetViews>
  <sheetFormatPr defaultColWidth="8.5703125" defaultRowHeight="12.75"/>
  <cols>
    <col min="1" max="1" width="38.140625" style="3" customWidth="1"/>
    <col min="2" max="2" width="14.42578125" style="3" customWidth="1"/>
    <col min="3" max="3" width="15.5703125" style="3" customWidth="1"/>
    <col min="4" max="4" width="23.42578125" style="3" customWidth="1"/>
    <col min="5" max="5" width="55.42578125" style="3" customWidth="1"/>
    <col min="6" max="7" width="8.5703125" style="3"/>
    <col min="8" max="8" width="21.42578125" style="3" customWidth="1"/>
    <col min="9" max="10" width="8.5703125" style="3"/>
    <col min="11" max="11" width="17.85546875" style="3" customWidth="1"/>
    <col min="12" max="12" width="8.5703125" style="3"/>
    <col min="13" max="13" width="9.5703125" style="3" customWidth="1"/>
    <col min="14" max="14" width="8.5703125" style="3"/>
    <col min="15" max="15" width="11.5703125" style="3" customWidth="1"/>
    <col min="16" max="16" width="8.5703125" style="3"/>
    <col min="17" max="17" width="9.5703125" style="3" customWidth="1"/>
    <col min="18" max="18" width="8.5703125" style="3"/>
    <col min="19" max="19" width="9.5703125" style="3" customWidth="1"/>
    <col min="20" max="20" width="8.5703125" style="3"/>
    <col min="21" max="21" width="9.5703125" style="3" customWidth="1"/>
    <col min="22" max="22" width="8.5703125" style="3"/>
    <col min="23" max="23" width="9.5703125" style="3" customWidth="1"/>
    <col min="24" max="24" width="11.140625" style="3" customWidth="1"/>
    <col min="25" max="26" width="9.5703125" style="3" customWidth="1"/>
    <col min="27" max="31" width="13.5703125" style="3" customWidth="1"/>
    <col min="32" max="33" width="13.5703125" style="156" customWidth="1"/>
    <col min="34" max="35" width="13.5703125" style="3" customWidth="1"/>
    <col min="36" max="36" width="22" style="3" customWidth="1"/>
    <col min="37" max="37" width="12.42578125" style="3" customWidth="1"/>
    <col min="38" max="38" width="13.42578125" style="3" customWidth="1"/>
    <col min="39" max="41" width="8.5703125" style="3"/>
    <col min="42" max="42" width="18.5703125" style="3" customWidth="1"/>
    <col min="43" max="49" width="8.5703125" style="3"/>
    <col min="50" max="50" width="10.42578125" style="3" customWidth="1"/>
    <col min="51" max="16384" width="8.5703125" style="3"/>
  </cols>
  <sheetData>
    <row r="1" spans="1:50">
      <c r="A1" s="215" t="s">
        <v>4</v>
      </c>
      <c r="B1" s="215"/>
      <c r="C1" s="215"/>
      <c r="D1" s="215"/>
      <c r="E1" s="216"/>
      <c r="F1" s="60" t="s">
        <v>707</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H1" s="156"/>
      <c r="AI1" s="156"/>
      <c r="AJ1" s="156"/>
      <c r="AK1" s="156"/>
      <c r="AL1" s="156"/>
      <c r="AM1" s="156"/>
      <c r="AN1" s="156"/>
      <c r="AO1" s="156"/>
      <c r="AP1" s="156"/>
      <c r="AQ1" s="156"/>
      <c r="AR1" s="156"/>
      <c r="AS1" s="156"/>
      <c r="AT1" s="156"/>
      <c r="AU1" s="156"/>
      <c r="AV1" s="156"/>
      <c r="AW1" s="156"/>
      <c r="AX1" s="156"/>
    </row>
    <row r="2" spans="1:50">
      <c r="A2" s="155"/>
      <c r="B2" s="155"/>
      <c r="C2" s="155"/>
      <c r="D2" s="155"/>
      <c r="E2" s="156"/>
      <c r="F2" s="155"/>
      <c r="G2" s="156"/>
      <c r="H2" s="156"/>
      <c r="I2" s="156"/>
      <c r="J2" s="156"/>
      <c r="K2" s="156"/>
      <c r="L2" s="156"/>
      <c r="M2" s="156"/>
      <c r="N2" s="156"/>
      <c r="O2" s="156"/>
      <c r="P2" s="156"/>
      <c r="Q2" s="156"/>
      <c r="R2" s="156"/>
      <c r="S2" s="156"/>
      <c r="T2" s="156"/>
      <c r="U2" s="156"/>
      <c r="V2" s="156"/>
      <c r="W2" s="156"/>
      <c r="X2" s="156"/>
      <c r="Y2" s="156"/>
      <c r="Z2" s="156"/>
      <c r="AA2" s="156"/>
      <c r="AB2" s="156"/>
      <c r="AC2" s="156"/>
      <c r="AD2" s="156"/>
      <c r="AE2" s="156"/>
      <c r="AH2" s="156"/>
      <c r="AI2" s="156"/>
      <c r="AJ2" s="156"/>
      <c r="AK2" s="156"/>
      <c r="AL2" s="156"/>
      <c r="AM2" s="156"/>
      <c r="AN2" s="156"/>
      <c r="AO2" s="156"/>
      <c r="AP2" s="156"/>
      <c r="AQ2" s="156"/>
      <c r="AR2" s="156"/>
      <c r="AS2" s="156"/>
      <c r="AT2" s="156"/>
      <c r="AU2" s="156"/>
      <c r="AV2" s="156"/>
      <c r="AW2" s="156"/>
      <c r="AX2" s="156"/>
    </row>
    <row r="3" spans="1:50" ht="15">
      <c r="A3" s="225" t="s">
        <v>632</v>
      </c>
      <c r="B3" s="225"/>
      <c r="C3" s="20"/>
      <c r="D3" s="156" t="s">
        <v>304</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H3" s="156"/>
      <c r="AI3" s="156"/>
      <c r="AJ3" s="156"/>
      <c r="AK3" s="156"/>
      <c r="AL3" s="156"/>
      <c r="AM3" s="156"/>
      <c r="AN3" s="156"/>
      <c r="AO3" s="156"/>
      <c r="AP3" s="156"/>
      <c r="AQ3" s="156"/>
      <c r="AR3" s="156"/>
      <c r="AS3" s="156"/>
      <c r="AT3" s="156"/>
      <c r="AU3" s="156"/>
      <c r="AV3" s="156"/>
      <c r="AW3" s="156"/>
      <c r="AX3" s="156"/>
    </row>
    <row r="4" spans="1:50">
      <c r="A4" s="225" t="s">
        <v>303</v>
      </c>
      <c r="B4" s="225"/>
      <c r="C4" s="156" t="s">
        <v>306</v>
      </c>
      <c r="D4" s="156"/>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H4" s="156"/>
      <c r="AI4" s="156"/>
      <c r="AJ4" s="156"/>
      <c r="AK4" s="156"/>
      <c r="AL4" s="156"/>
      <c r="AM4" s="156"/>
      <c r="AN4" s="156"/>
      <c r="AO4" s="156"/>
      <c r="AP4" s="156"/>
      <c r="AQ4" s="156"/>
      <c r="AR4" s="156"/>
      <c r="AS4" s="156"/>
      <c r="AT4" s="156"/>
      <c r="AU4" s="156"/>
      <c r="AV4" s="156"/>
      <c r="AW4" s="156"/>
      <c r="AX4" s="156"/>
    </row>
    <row r="5" spans="1:50">
      <c r="A5" s="225" t="s">
        <v>305</v>
      </c>
      <c r="B5" s="225"/>
      <c r="C5" s="156" t="s">
        <v>646</v>
      </c>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H5" s="156"/>
      <c r="AI5" s="156"/>
      <c r="AJ5" s="156"/>
      <c r="AK5" s="156"/>
      <c r="AL5" s="156"/>
      <c r="AM5" s="156"/>
      <c r="AN5" s="156"/>
      <c r="AO5" s="156"/>
      <c r="AP5" s="156"/>
      <c r="AQ5" s="156"/>
      <c r="AR5" s="156"/>
      <c r="AS5" s="156"/>
      <c r="AT5" s="156"/>
      <c r="AU5" s="156"/>
      <c r="AV5" s="156"/>
      <c r="AW5" s="156"/>
      <c r="AX5" s="156"/>
    </row>
    <row r="6" spans="1:50">
      <c r="A6" s="156"/>
      <c r="B6" s="156"/>
      <c r="C6" s="156" t="s">
        <v>645</v>
      </c>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H6" s="156"/>
      <c r="AI6" s="156"/>
      <c r="AJ6" s="156"/>
      <c r="AK6" s="156"/>
      <c r="AL6" s="156"/>
      <c r="AM6" s="156"/>
      <c r="AN6" s="156"/>
      <c r="AO6" s="7" t="s">
        <v>308</v>
      </c>
      <c r="AP6" s="7"/>
      <c r="AQ6" s="156"/>
      <c r="AR6" s="156" t="s">
        <v>309</v>
      </c>
      <c r="AS6" s="156">
        <v>0.9</v>
      </c>
      <c r="AT6" s="156"/>
      <c r="AU6" s="156"/>
      <c r="AV6" s="156"/>
      <c r="AW6" s="156"/>
      <c r="AX6" s="156"/>
    </row>
    <row r="7" spans="1:50" ht="25.5">
      <c r="A7" s="5" t="s">
        <v>161</v>
      </c>
      <c r="B7" s="5" t="s">
        <v>310</v>
      </c>
      <c r="C7" s="5" t="s">
        <v>311</v>
      </c>
      <c r="D7" s="5" t="s">
        <v>312</v>
      </c>
      <c r="E7" s="5" t="s">
        <v>313</v>
      </c>
      <c r="F7" s="4" t="s">
        <v>103</v>
      </c>
      <c r="G7" s="4" t="s">
        <v>109</v>
      </c>
      <c r="H7" s="4" t="s">
        <v>314</v>
      </c>
      <c r="I7" s="4" t="s">
        <v>113</v>
      </c>
      <c r="J7" s="4" t="s">
        <v>315</v>
      </c>
      <c r="K7" s="4" t="s">
        <v>316</v>
      </c>
      <c r="L7" s="4" t="s">
        <v>118</v>
      </c>
      <c r="M7" s="4" t="s">
        <v>316</v>
      </c>
      <c r="N7" s="4" t="s">
        <v>20</v>
      </c>
      <c r="O7" s="4" t="s">
        <v>316</v>
      </c>
      <c r="P7" s="4" t="s">
        <v>122</v>
      </c>
      <c r="Q7" s="4" t="s">
        <v>316</v>
      </c>
      <c r="R7" s="4" t="s">
        <v>130</v>
      </c>
      <c r="S7" s="4" t="s">
        <v>316</v>
      </c>
      <c r="T7" s="4" t="s">
        <v>137</v>
      </c>
      <c r="U7" s="4" t="s">
        <v>316</v>
      </c>
      <c r="V7" s="4" t="s">
        <v>126</v>
      </c>
      <c r="W7" s="4" t="s">
        <v>316</v>
      </c>
      <c r="X7" s="4" t="s">
        <v>317</v>
      </c>
      <c r="Y7" s="4" t="s">
        <v>316</v>
      </c>
      <c r="Z7" s="4" t="s">
        <v>481</v>
      </c>
      <c r="AA7" s="4" t="s">
        <v>316</v>
      </c>
      <c r="AB7" s="4" t="s">
        <v>319</v>
      </c>
      <c r="AC7" s="4" t="s">
        <v>316</v>
      </c>
      <c r="AD7" s="4" t="s">
        <v>320</v>
      </c>
      <c r="AE7" s="4" t="s">
        <v>316</v>
      </c>
      <c r="AF7" s="4" t="s">
        <v>692</v>
      </c>
      <c r="AG7" s="4" t="s">
        <v>316</v>
      </c>
      <c r="AH7" s="95" t="s">
        <v>321</v>
      </c>
      <c r="AI7" s="4" t="s">
        <v>316</v>
      </c>
      <c r="AJ7" s="4" t="s">
        <v>322</v>
      </c>
      <c r="AK7" s="4" t="s">
        <v>323</v>
      </c>
      <c r="AL7" s="4" t="s">
        <v>324</v>
      </c>
      <c r="AM7" s="156"/>
      <c r="AN7" s="156"/>
      <c r="AO7" s="4" t="s">
        <v>109</v>
      </c>
      <c r="AP7" s="4" t="s">
        <v>314</v>
      </c>
      <c r="AQ7" s="4" t="s">
        <v>113</v>
      </c>
      <c r="AR7" s="4" t="s">
        <v>118</v>
      </c>
      <c r="AS7" s="4" t="s">
        <v>20</v>
      </c>
      <c r="AT7" s="4" t="s">
        <v>122</v>
      </c>
      <c r="AU7" s="4" t="s">
        <v>130</v>
      </c>
      <c r="AV7" s="4" t="s">
        <v>137</v>
      </c>
      <c r="AW7" s="4" t="s">
        <v>126</v>
      </c>
      <c r="AX7" s="4" t="s">
        <v>317</v>
      </c>
    </row>
    <row r="8" spans="1:50">
      <c r="A8" s="156" t="s">
        <v>325</v>
      </c>
      <c r="B8" s="152"/>
      <c r="C8" s="11"/>
      <c r="D8" s="156" t="s">
        <v>453</v>
      </c>
      <c r="E8" s="156" t="s">
        <v>8</v>
      </c>
      <c r="F8" s="152">
        <v>4</v>
      </c>
      <c r="G8" s="152">
        <v>4</v>
      </c>
      <c r="H8" s="152">
        <v>0</v>
      </c>
      <c r="I8" s="152">
        <v>350</v>
      </c>
      <c r="J8" s="154">
        <f>G8-H8</f>
        <v>4</v>
      </c>
      <c r="K8" s="152" t="s">
        <v>327</v>
      </c>
      <c r="L8" s="152"/>
      <c r="M8" s="152"/>
      <c r="N8" s="152"/>
      <c r="O8" s="152"/>
      <c r="P8" s="152"/>
      <c r="Q8" s="152"/>
      <c r="R8" s="152"/>
      <c r="S8" s="152"/>
      <c r="T8" s="152"/>
      <c r="U8" s="152"/>
      <c r="V8" s="152"/>
      <c r="W8" s="152"/>
      <c r="X8" s="152"/>
      <c r="Y8" s="152"/>
      <c r="Z8" s="152"/>
      <c r="AA8" s="152"/>
      <c r="AB8" s="152"/>
      <c r="AC8" s="152"/>
      <c r="AD8" s="152"/>
      <c r="AE8" s="152"/>
      <c r="AF8" s="179"/>
      <c r="AG8" s="179"/>
      <c r="AH8" s="152"/>
      <c r="AI8" s="152"/>
      <c r="AJ8" s="152" t="s">
        <v>328</v>
      </c>
      <c r="AK8" s="152" t="s">
        <v>329</v>
      </c>
      <c r="AL8" s="152"/>
      <c r="AM8" s="156"/>
      <c r="AN8" s="156"/>
      <c r="AO8" s="156">
        <f t="shared" ref="AO8:AO37" si="0">IF(ISBLANK($A8),,G8*1.024)</f>
        <v>4.0960000000000001</v>
      </c>
      <c r="AP8" s="156">
        <f t="shared" ref="AP8:AP37" si="1">IF(ISBLANK($A8),,H8*1.024)</f>
        <v>0</v>
      </c>
      <c r="AQ8" s="156">
        <f>IF(ISBLANK($A8),,ROUNDDOWN(I8*AS6*1.024,))</f>
        <v>322</v>
      </c>
      <c r="AR8" s="156">
        <f>IF(ISBLANK($A8),,ROUNDDOWN(L8*AS6*1.024,))</f>
        <v>0</v>
      </c>
      <c r="AS8" s="156">
        <f>IF(ISBLANK($A8),,ROUNDDOWN(N8*AS6*1.024,))</f>
        <v>0</v>
      </c>
      <c r="AT8" s="156">
        <f>IF(ISBLANK($A8),,ROUNDDOWN(P8*AS6*1.024,))</f>
        <v>0</v>
      </c>
      <c r="AU8" s="156">
        <f>IF(ISBLANK($A8),,ROUNDDOWN(R8*AS6*1.024,))</f>
        <v>0</v>
      </c>
      <c r="AV8" s="156">
        <f>IF(ISBLANK($A8),,ROUNDDOWN(T8*AS$6*1.024,))</f>
        <v>0</v>
      </c>
      <c r="AW8" s="156">
        <f>IF(ISBLANK($A8),,ROUNDDOWN(V8*AS6*1.024,))</f>
        <v>0</v>
      </c>
      <c r="AX8" s="156">
        <f>IF(ISBLANK($A8),,ROUNDDOWN(X8*AS6*1.024,))</f>
        <v>0</v>
      </c>
    </row>
    <row r="9" spans="1:50">
      <c r="A9" s="156" t="s">
        <v>330</v>
      </c>
      <c r="B9" s="152"/>
      <c r="C9" s="11"/>
      <c r="D9" s="160" t="str">
        <f>IF(E9="vCSA7.0","VPOS3.0", "VPL1.0")</f>
        <v>VPOS3.0</v>
      </c>
      <c r="E9" s="160" t="s">
        <v>644</v>
      </c>
      <c r="F9" s="152">
        <v>4</v>
      </c>
      <c r="G9" s="143">
        <f>IF(E9="vCSA7.0",12, 10)</f>
        <v>12</v>
      </c>
      <c r="H9" s="152">
        <v>0</v>
      </c>
      <c r="I9" s="143">
        <f>IF(E9="vCSA7.0",450, 250)</f>
        <v>450</v>
      </c>
      <c r="J9" s="154">
        <v>25</v>
      </c>
      <c r="K9" s="152" t="s">
        <v>327</v>
      </c>
      <c r="L9" s="152"/>
      <c r="M9" s="152"/>
      <c r="N9" s="152"/>
      <c r="O9" s="152"/>
      <c r="P9" s="152"/>
      <c r="Q9" s="152"/>
      <c r="R9" s="152"/>
      <c r="S9" s="152"/>
      <c r="T9" s="152"/>
      <c r="U9" s="152"/>
      <c r="V9" s="152"/>
      <c r="W9" s="152"/>
      <c r="X9" s="152"/>
      <c r="Y9" s="152"/>
      <c r="Z9" s="152"/>
      <c r="AA9" s="152"/>
      <c r="AB9" s="152"/>
      <c r="AC9" s="152"/>
      <c r="AD9" s="152"/>
      <c r="AE9" s="152"/>
      <c r="AF9" s="179"/>
      <c r="AG9" s="179"/>
      <c r="AH9" s="152"/>
      <c r="AI9" s="152"/>
      <c r="AJ9" s="152" t="s">
        <v>328</v>
      </c>
      <c r="AK9" s="152" t="s">
        <v>329</v>
      </c>
      <c r="AL9" s="152"/>
      <c r="AM9" s="156"/>
      <c r="AN9" s="156"/>
      <c r="AO9" s="156">
        <f t="shared" si="0"/>
        <v>12.288</v>
      </c>
      <c r="AP9" s="156">
        <f t="shared" si="1"/>
        <v>0</v>
      </c>
      <c r="AQ9" s="156">
        <f>IF(ISBLANK($A9),,ROUNDDOWN(I9*AS6*1.024,))</f>
        <v>414</v>
      </c>
      <c r="AR9" s="156">
        <f>IF(ISBLANK($A9),,ROUNDDOWN(L9*AS6*1.024,))</f>
        <v>0</v>
      </c>
      <c r="AS9" s="156">
        <f>IF(ISBLANK($A9),,ROUNDDOWN(N9*AS6*1.024,))</f>
        <v>0</v>
      </c>
      <c r="AT9" s="156">
        <f>IF(ISBLANK($A9),,ROUNDDOWN(P9*AS6*1.024,))</f>
        <v>0</v>
      </c>
      <c r="AU9" s="156">
        <f>IF(ISBLANK($A9),,ROUNDDOWN(R9*AS6*1.024,))</f>
        <v>0</v>
      </c>
      <c r="AV9" s="156">
        <f t="shared" ref="AV9:AV37" si="2">IF(ISBLANK($A9),,ROUNDDOWN(T9*AS$6*1.024,))</f>
        <v>0</v>
      </c>
      <c r="AW9" s="156">
        <f>IF(ISBLANK($A9),,ROUNDDOWN(V9*AS6*1.024,))</f>
        <v>0</v>
      </c>
      <c r="AX9" s="156">
        <f>IF(ISBLANK($A9),,ROUNDDOWN(X9*AS6*1.024,))</f>
        <v>0</v>
      </c>
    </row>
    <row r="10" spans="1:50">
      <c r="A10" s="156" t="s">
        <v>331</v>
      </c>
      <c r="B10" s="152" t="s">
        <v>332</v>
      </c>
      <c r="C10" s="11" t="s">
        <v>333</v>
      </c>
      <c r="D10" s="156" t="s">
        <v>453</v>
      </c>
      <c r="E10" s="156" t="s">
        <v>16</v>
      </c>
      <c r="F10" s="152">
        <v>4</v>
      </c>
      <c r="G10" s="152">
        <v>6</v>
      </c>
      <c r="H10" s="152">
        <v>6</v>
      </c>
      <c r="I10" s="152">
        <v>41</v>
      </c>
      <c r="J10" s="154">
        <f t="shared" ref="J10:J35" si="3">G10-H10</f>
        <v>0</v>
      </c>
      <c r="K10" s="152" t="s">
        <v>335</v>
      </c>
      <c r="L10" s="152"/>
      <c r="M10" s="152"/>
      <c r="N10" s="152"/>
      <c r="O10" s="152"/>
      <c r="P10" s="152"/>
      <c r="Q10" s="152"/>
      <c r="R10" s="152"/>
      <c r="S10" s="152"/>
      <c r="T10" s="152"/>
      <c r="U10" s="152"/>
      <c r="V10" s="152"/>
      <c r="W10" s="152"/>
      <c r="X10" s="152"/>
      <c r="Y10" s="152"/>
      <c r="Z10" s="152"/>
      <c r="AA10" s="152"/>
      <c r="AB10" s="152"/>
      <c r="AC10" s="152"/>
      <c r="AD10" s="152"/>
      <c r="AE10" s="152"/>
      <c r="AF10" s="179"/>
      <c r="AG10" s="179"/>
      <c r="AH10" s="152"/>
      <c r="AI10" s="152"/>
      <c r="AJ10" s="152" t="s">
        <v>328</v>
      </c>
      <c r="AK10" s="152" t="s">
        <v>329</v>
      </c>
      <c r="AL10" s="152"/>
      <c r="AM10" s="156"/>
      <c r="AN10" s="156"/>
      <c r="AO10" s="156">
        <f t="shared" si="0"/>
        <v>6.1440000000000001</v>
      </c>
      <c r="AP10" s="156">
        <f t="shared" si="1"/>
        <v>6.1440000000000001</v>
      </c>
      <c r="AQ10" s="156">
        <f>IF(ISBLANK($A10),,ROUNDDOWN(I10*AS6*1.024,))</f>
        <v>37</v>
      </c>
      <c r="AR10" s="156">
        <f>IF(ISBLANK($A10),,ROUNDDOWN(L10*AS6*1.024,))</f>
        <v>0</v>
      </c>
      <c r="AS10" s="156">
        <f>IF(ISBLANK($A10),,ROUNDDOWN(N10*AS6*1.024,))</f>
        <v>0</v>
      </c>
      <c r="AT10" s="156">
        <f>IF(ISBLANK($A10),,ROUNDDOWN(P10*AS6*1.024,))</f>
        <v>0</v>
      </c>
      <c r="AU10" s="156">
        <f>IF(ISBLANK($A10),,ROUNDDOWN(R10*AS6*1.024,))</f>
        <v>0</v>
      </c>
      <c r="AV10" s="156">
        <f t="shared" si="2"/>
        <v>0</v>
      </c>
      <c r="AW10" s="156">
        <f>IF(ISBLANK($A10),,ROUNDDOWN(V10*AS6*1.024,))</f>
        <v>0</v>
      </c>
      <c r="AX10" s="156">
        <f>IF(ISBLANK($A10),,ROUNDDOWN(X10*AS6*1.024,))</f>
        <v>0</v>
      </c>
    </row>
    <row r="11" spans="1:50">
      <c r="A11" s="156" t="s">
        <v>336</v>
      </c>
      <c r="B11" s="152"/>
      <c r="C11" s="11" t="s">
        <v>333</v>
      </c>
      <c r="D11" s="156" t="s">
        <v>453</v>
      </c>
      <c r="E11" s="156" t="s">
        <v>20</v>
      </c>
      <c r="F11" s="152">
        <v>11</v>
      </c>
      <c r="G11" s="152">
        <v>70</v>
      </c>
      <c r="H11" s="152">
        <f>(G11*82.5)/100</f>
        <v>57.75</v>
      </c>
      <c r="I11" s="152">
        <v>91</v>
      </c>
      <c r="J11" s="154">
        <f t="shared" si="3"/>
        <v>12.25</v>
      </c>
      <c r="K11" s="152" t="s">
        <v>337</v>
      </c>
      <c r="L11" s="152">
        <v>66</v>
      </c>
      <c r="M11" s="152" t="s">
        <v>338</v>
      </c>
      <c r="N11" s="19">
        <v>1500</v>
      </c>
      <c r="O11" s="152" t="s">
        <v>339</v>
      </c>
      <c r="P11" s="152">
        <v>2250</v>
      </c>
      <c r="Q11" s="152" t="s">
        <v>340</v>
      </c>
      <c r="R11" s="152"/>
      <c r="S11" s="152"/>
      <c r="T11" s="152"/>
      <c r="U11" s="152"/>
      <c r="V11" s="152"/>
      <c r="W11" s="152"/>
      <c r="X11" s="31">
        <v>6525</v>
      </c>
      <c r="Y11" s="152" t="s">
        <v>126</v>
      </c>
      <c r="Z11" s="152"/>
      <c r="AA11" s="152"/>
      <c r="AB11" s="152"/>
      <c r="AC11" s="152"/>
      <c r="AD11" s="152"/>
      <c r="AE11" s="152"/>
      <c r="AF11" s="179"/>
      <c r="AG11" s="179"/>
      <c r="AH11" s="152">
        <v>2500</v>
      </c>
      <c r="AI11" s="152" t="s">
        <v>341</v>
      </c>
      <c r="AJ11" s="152" t="s">
        <v>328</v>
      </c>
      <c r="AK11" s="152" t="s">
        <v>329</v>
      </c>
      <c r="AL11" s="152"/>
      <c r="AM11" s="156"/>
      <c r="AN11" s="156"/>
      <c r="AO11" s="156">
        <f t="shared" si="0"/>
        <v>71.680000000000007</v>
      </c>
      <c r="AP11" s="156">
        <f t="shared" si="1"/>
        <v>59.136000000000003</v>
      </c>
      <c r="AQ11" s="156">
        <f>IF(ISBLANK($A11),,ROUNDDOWN(I11*AS6*1.024,))</f>
        <v>83</v>
      </c>
      <c r="AR11" s="156">
        <f>IF(ISBLANK($A11),,ROUNDDOWN(L11*AS6*1.024,))</f>
        <v>60</v>
      </c>
      <c r="AS11" s="156">
        <f>IF(ISBLANK($A11),,ROUNDDOWN(N11*AS6*1.024,))</f>
        <v>1382</v>
      </c>
      <c r="AT11" s="156">
        <f>IF(ISBLANK($A11),,ROUNDDOWN(P11*AS6*1.024,))</f>
        <v>2073</v>
      </c>
      <c r="AU11" s="156">
        <f>IF(ISBLANK($A11),,ROUNDDOWN(R11*AS6*1.024,))</f>
        <v>0</v>
      </c>
      <c r="AV11" s="156">
        <f t="shared" si="2"/>
        <v>0</v>
      </c>
      <c r="AW11" s="156">
        <f>IF(ISBLANK($A11),,ROUNDDOWN(V11*AS6*1.024,))</f>
        <v>0</v>
      </c>
      <c r="AX11" s="156">
        <f>IF(ISBLANK($A11),,ROUNDDOWN(X11*AS6*1.024,))</f>
        <v>6013</v>
      </c>
    </row>
    <row r="12" spans="1:50">
      <c r="A12" s="156" t="s">
        <v>342</v>
      </c>
      <c r="B12" s="152" t="s">
        <v>332</v>
      </c>
      <c r="C12" s="11" t="s">
        <v>333</v>
      </c>
      <c r="D12" s="156" t="s">
        <v>453</v>
      </c>
      <c r="E12" s="156" t="s">
        <v>24</v>
      </c>
      <c r="F12" s="152">
        <v>6</v>
      </c>
      <c r="G12" s="152">
        <v>7</v>
      </c>
      <c r="H12" s="152">
        <v>7</v>
      </c>
      <c r="I12" s="152">
        <v>46</v>
      </c>
      <c r="J12" s="154">
        <f t="shared" si="3"/>
        <v>0</v>
      </c>
      <c r="K12" s="152" t="s">
        <v>343</v>
      </c>
      <c r="L12" s="152"/>
      <c r="M12" s="152"/>
      <c r="N12" s="152"/>
      <c r="O12" s="152"/>
      <c r="P12" s="152"/>
      <c r="Q12" s="152"/>
      <c r="R12" s="152">
        <v>360</v>
      </c>
      <c r="S12" s="152" t="s">
        <v>344</v>
      </c>
      <c r="T12" s="152">
        <v>300</v>
      </c>
      <c r="U12" s="152" t="s">
        <v>137</v>
      </c>
      <c r="V12" s="152"/>
      <c r="W12" s="152"/>
      <c r="X12" s="152">
        <v>330</v>
      </c>
      <c r="Y12" s="152" t="s">
        <v>126</v>
      </c>
      <c r="Z12" s="152"/>
      <c r="AA12" s="152"/>
      <c r="AB12" s="152"/>
      <c r="AC12" s="152"/>
      <c r="AD12" s="152"/>
      <c r="AE12" s="152"/>
      <c r="AF12" s="179"/>
      <c r="AG12" s="179"/>
      <c r="AH12" s="152"/>
      <c r="AI12" s="152"/>
      <c r="AJ12" s="152" t="s">
        <v>328</v>
      </c>
      <c r="AK12" s="152" t="s">
        <v>329</v>
      </c>
      <c r="AL12" s="152"/>
      <c r="AM12" s="156"/>
      <c r="AN12" s="156"/>
      <c r="AO12" s="156">
        <f t="shared" si="0"/>
        <v>7.1680000000000001</v>
      </c>
      <c r="AP12" s="156">
        <f t="shared" si="1"/>
        <v>7.1680000000000001</v>
      </c>
      <c r="AQ12" s="156">
        <f>IF(ISBLANK($A12),,ROUNDDOWN(I12*AS6*1.024,))</f>
        <v>42</v>
      </c>
      <c r="AR12" s="156">
        <f>IF(ISBLANK($A12),,ROUNDDOWN(L12*AS6*1.024,))</f>
        <v>0</v>
      </c>
      <c r="AS12" s="156">
        <f>IF(ISBLANK($A12),,ROUNDDOWN(N12*AS6*1.024,))</f>
        <v>0</v>
      </c>
      <c r="AT12" s="156">
        <f>IF(ISBLANK($A12),,ROUNDDOWN(P12*AS6*1.024,))</f>
        <v>0</v>
      </c>
      <c r="AU12" s="156">
        <f>IF(ISBLANK($A12),,ROUNDDOWN(R12*AS6*1.024,))</f>
        <v>331</v>
      </c>
      <c r="AV12" s="156">
        <f t="shared" si="2"/>
        <v>276</v>
      </c>
      <c r="AW12" s="156">
        <f>IF(ISBLANK($A12),,ROUNDDOWN(V12*AS6*1.024,))</f>
        <v>0</v>
      </c>
      <c r="AX12" s="156">
        <f>IF(ISBLANK($A12),,ROUNDDOWN(X12*AS6*1.024,))</f>
        <v>304</v>
      </c>
    </row>
    <row r="13" spans="1:50">
      <c r="A13" s="156" t="s">
        <v>345</v>
      </c>
      <c r="B13" s="152"/>
      <c r="C13" s="11" t="s">
        <v>333</v>
      </c>
      <c r="D13" s="156" t="s">
        <v>453</v>
      </c>
      <c r="E13" s="156" t="s">
        <v>28</v>
      </c>
      <c r="F13" s="152">
        <v>2</v>
      </c>
      <c r="G13" s="152">
        <v>2</v>
      </c>
      <c r="H13" s="152">
        <v>0</v>
      </c>
      <c r="I13" s="152">
        <v>31</v>
      </c>
      <c r="J13" s="154">
        <f t="shared" si="3"/>
        <v>2</v>
      </c>
      <c r="K13" s="152" t="s">
        <v>335</v>
      </c>
      <c r="L13" s="152"/>
      <c r="M13" s="152"/>
      <c r="N13" s="152"/>
      <c r="O13" s="152"/>
      <c r="P13" s="152"/>
      <c r="Q13" s="152"/>
      <c r="R13" s="152"/>
      <c r="S13" s="152"/>
      <c r="T13" s="152"/>
      <c r="U13" s="152"/>
      <c r="V13" s="152"/>
      <c r="W13" s="152"/>
      <c r="X13" s="152"/>
      <c r="Y13" s="152"/>
      <c r="Z13" s="152"/>
      <c r="AA13" s="152"/>
      <c r="AB13" s="152"/>
      <c r="AC13" s="152"/>
      <c r="AD13" s="152"/>
      <c r="AE13" s="152"/>
      <c r="AF13" s="179"/>
      <c r="AG13" s="179"/>
      <c r="AH13" s="152"/>
      <c r="AI13" s="152"/>
      <c r="AJ13" s="152" t="s">
        <v>346</v>
      </c>
      <c r="AK13" s="152" t="s">
        <v>347</v>
      </c>
      <c r="AL13" s="152" t="s">
        <v>329</v>
      </c>
      <c r="AM13" s="156"/>
      <c r="AN13" s="156"/>
      <c r="AO13" s="156">
        <f t="shared" si="0"/>
        <v>2.048</v>
      </c>
      <c r="AP13" s="156">
        <f t="shared" si="1"/>
        <v>0</v>
      </c>
      <c r="AQ13" s="156">
        <f>IF(ISBLANK($A13),,ROUNDDOWN(I13*AS6*1.024,))</f>
        <v>28</v>
      </c>
      <c r="AR13" s="156">
        <f>IF(ISBLANK($A13),,ROUNDDOWN(L13*AS6*1.024,))</f>
        <v>0</v>
      </c>
      <c r="AS13" s="156">
        <f>IF(ISBLANK($A13),,ROUNDDOWN(N13*AS6*1.024,))</f>
        <v>0</v>
      </c>
      <c r="AT13" s="156">
        <f>IF(ISBLANK($A13),,ROUNDDOWN(P13*AS6*1.024,))</f>
        <v>0</v>
      </c>
      <c r="AU13" s="156">
        <f>IF(ISBLANK($A13),,ROUNDDOWN(R13*AS6*1.024,))</f>
        <v>0</v>
      </c>
      <c r="AV13" s="156">
        <f t="shared" si="2"/>
        <v>0</v>
      </c>
      <c r="AW13" s="156">
        <f>IF(ISBLANK($A13),,ROUNDDOWN(V13*AS6*1.024,))</f>
        <v>0</v>
      </c>
      <c r="AX13" s="156">
        <f>IF(ISBLANK($A13),,ROUNDDOWN(X13*AS6*1.024,))</f>
        <v>0</v>
      </c>
    </row>
    <row r="14" spans="1:50">
      <c r="A14" s="156" t="s">
        <v>348</v>
      </c>
      <c r="B14" s="152"/>
      <c r="C14" s="11" t="s">
        <v>333</v>
      </c>
      <c r="D14" s="156" t="s">
        <v>453</v>
      </c>
      <c r="E14" s="156" t="s">
        <v>32</v>
      </c>
      <c r="F14" s="152">
        <v>2</v>
      </c>
      <c r="G14" s="152">
        <v>5</v>
      </c>
      <c r="H14" s="152">
        <v>0</v>
      </c>
      <c r="I14" s="152">
        <v>31</v>
      </c>
      <c r="J14" s="154">
        <f t="shared" si="3"/>
        <v>5</v>
      </c>
      <c r="K14" s="152" t="s">
        <v>337</v>
      </c>
      <c r="L14" s="152"/>
      <c r="M14" s="152"/>
      <c r="N14" s="152"/>
      <c r="O14" s="152"/>
      <c r="P14" s="152"/>
      <c r="Q14" s="152"/>
      <c r="R14" s="152"/>
      <c r="S14" s="152"/>
      <c r="T14" s="152"/>
      <c r="U14" s="152"/>
      <c r="V14" s="152"/>
      <c r="W14" s="152"/>
      <c r="X14" s="152"/>
      <c r="Y14" s="152"/>
      <c r="Z14" s="152"/>
      <c r="AA14" s="152"/>
      <c r="AB14" s="152"/>
      <c r="AC14" s="152"/>
      <c r="AD14" s="152"/>
      <c r="AE14" s="152"/>
      <c r="AF14" s="179"/>
      <c r="AG14" s="179"/>
      <c r="AH14" s="152"/>
      <c r="AI14" s="152"/>
      <c r="AJ14" s="152" t="s">
        <v>328</v>
      </c>
      <c r="AK14" s="152" t="s">
        <v>329</v>
      </c>
      <c r="AL14" s="152"/>
      <c r="AM14" s="156"/>
      <c r="AN14" s="156"/>
      <c r="AO14" s="156">
        <f t="shared" si="0"/>
        <v>5.12</v>
      </c>
      <c r="AP14" s="156">
        <f t="shared" si="1"/>
        <v>0</v>
      </c>
      <c r="AQ14" s="156">
        <f>IF(ISBLANK($A14),,ROUNDDOWN(I14*AS6*1.024,))</f>
        <v>28</v>
      </c>
      <c r="AR14" s="156">
        <f>IF(ISBLANK($A14),,ROUNDDOWN(L14*AS6*1.024,))</f>
        <v>0</v>
      </c>
      <c r="AS14" s="156">
        <f>IF(ISBLANK($A14),,ROUNDDOWN(N14*AS6*1.024,))</f>
        <v>0</v>
      </c>
      <c r="AT14" s="156">
        <f>IF(ISBLANK($A14),,ROUNDDOWN(P14*AS6*1.024,))</f>
        <v>0</v>
      </c>
      <c r="AU14" s="156">
        <f>IF(ISBLANK($A14),,ROUNDDOWN(R14*AS6*1.024,))</f>
        <v>0</v>
      </c>
      <c r="AV14" s="156">
        <f t="shared" si="2"/>
        <v>0</v>
      </c>
      <c r="AW14" s="156">
        <f>IF(ISBLANK($A14),,ROUNDDOWN(V14*AS6*1.024,))</f>
        <v>0</v>
      </c>
      <c r="AX14" s="156">
        <f>IF(ISBLANK($A14),,ROUNDDOWN(X14*AS6*1.024,))</f>
        <v>0</v>
      </c>
    </row>
    <row r="15" spans="1:50">
      <c r="A15" s="156" t="s">
        <v>349</v>
      </c>
      <c r="B15" s="152"/>
      <c r="C15" s="11" t="s">
        <v>333</v>
      </c>
      <c r="D15" s="156" t="s">
        <v>453</v>
      </c>
      <c r="E15" s="156" t="s">
        <v>482</v>
      </c>
      <c r="F15" s="152">
        <v>3</v>
      </c>
      <c r="G15" s="152">
        <v>6</v>
      </c>
      <c r="H15" s="152">
        <v>0</v>
      </c>
      <c r="I15" s="152">
        <v>41</v>
      </c>
      <c r="J15" s="154">
        <f t="shared" si="3"/>
        <v>6</v>
      </c>
      <c r="K15" s="152" t="s">
        <v>343</v>
      </c>
      <c r="L15" s="152"/>
      <c r="M15" s="152"/>
      <c r="N15" s="152"/>
      <c r="O15" s="152"/>
      <c r="P15" s="152"/>
      <c r="Q15" s="152"/>
      <c r="R15" s="152"/>
      <c r="S15" s="152"/>
      <c r="T15" s="152"/>
      <c r="U15" s="152"/>
      <c r="V15" s="152"/>
      <c r="W15" s="152"/>
      <c r="X15" s="152"/>
      <c r="Y15" s="152"/>
      <c r="Z15" s="152"/>
      <c r="AA15" s="152"/>
      <c r="AB15" s="152"/>
      <c r="AC15" s="152"/>
      <c r="AD15" s="152"/>
      <c r="AE15" s="152"/>
      <c r="AF15" s="179"/>
      <c r="AG15" s="179"/>
      <c r="AH15" s="152"/>
      <c r="AI15" s="152"/>
      <c r="AJ15" s="152" t="s">
        <v>346</v>
      </c>
      <c r="AK15" s="152" t="s">
        <v>347</v>
      </c>
      <c r="AL15" s="152"/>
      <c r="AM15" s="156"/>
      <c r="AN15" s="156"/>
      <c r="AO15" s="156">
        <f t="shared" si="0"/>
        <v>6.1440000000000001</v>
      </c>
      <c r="AP15" s="156">
        <f t="shared" si="1"/>
        <v>0</v>
      </c>
      <c r="AQ15" s="156">
        <f>IF(ISBLANK($A15),,ROUNDDOWN(I15*AS6*1.024,))</f>
        <v>37</v>
      </c>
      <c r="AR15" s="156">
        <f>IF(ISBLANK($A15),,ROUNDDOWN(L15*AS6*1.024,))</f>
        <v>0</v>
      </c>
      <c r="AS15" s="156">
        <f>IF(ISBLANK($A15),,ROUNDDOWN(N15*AS6*1.024,))</f>
        <v>0</v>
      </c>
      <c r="AT15" s="156">
        <f>IF(ISBLANK($A15),,ROUNDDOWN(P15*AS6*1.024,))</f>
        <v>0</v>
      </c>
      <c r="AU15" s="156">
        <f>IF(ISBLANK($A15),,ROUNDDOWN(R15*AS6*1.024,))</f>
        <v>0</v>
      </c>
      <c r="AV15" s="156">
        <f t="shared" si="2"/>
        <v>0</v>
      </c>
      <c r="AW15" s="156">
        <f>IF(ISBLANK($A15),,ROUNDDOWN(V15*AS6*1.024,))</f>
        <v>0</v>
      </c>
      <c r="AX15" s="156">
        <f>IF(ISBLANK($A15),,ROUNDDOWN(X15*AS6*1.024,))</f>
        <v>0</v>
      </c>
    </row>
    <row r="16" spans="1:50">
      <c r="A16" s="156" t="s">
        <v>351</v>
      </c>
      <c r="B16" s="152"/>
      <c r="C16" s="11" t="s">
        <v>333</v>
      </c>
      <c r="D16" s="156" t="s">
        <v>453</v>
      </c>
      <c r="E16" s="156" t="s">
        <v>40</v>
      </c>
      <c r="F16" s="152">
        <v>5</v>
      </c>
      <c r="G16" s="152">
        <v>5</v>
      </c>
      <c r="H16" s="152">
        <v>0</v>
      </c>
      <c r="I16" s="152">
        <v>56</v>
      </c>
      <c r="J16" s="154">
        <f t="shared" si="3"/>
        <v>5</v>
      </c>
      <c r="K16" s="152" t="s">
        <v>335</v>
      </c>
      <c r="L16" s="156"/>
      <c r="M16" s="152"/>
      <c r="N16" s="152"/>
      <c r="O16" s="152"/>
      <c r="P16" s="152"/>
      <c r="Q16" s="152"/>
      <c r="R16" s="152"/>
      <c r="S16" s="152"/>
      <c r="T16" s="152"/>
      <c r="U16" s="152"/>
      <c r="V16" s="152"/>
      <c r="W16" s="152"/>
      <c r="X16" s="152"/>
      <c r="Y16" s="152"/>
      <c r="Z16" s="152"/>
      <c r="AA16" s="152"/>
      <c r="AB16" s="152"/>
      <c r="AC16" s="152"/>
      <c r="AD16" s="152"/>
      <c r="AE16" s="152"/>
      <c r="AF16" s="179"/>
      <c r="AG16" s="179"/>
      <c r="AH16" s="152"/>
      <c r="AI16" s="152"/>
      <c r="AJ16" s="152" t="s">
        <v>346</v>
      </c>
      <c r="AK16" s="152" t="s">
        <v>347</v>
      </c>
      <c r="AL16" s="152"/>
      <c r="AM16" s="156"/>
      <c r="AN16" s="156"/>
      <c r="AO16" s="156">
        <f t="shared" si="0"/>
        <v>5.12</v>
      </c>
      <c r="AP16" s="156">
        <f t="shared" si="1"/>
        <v>0</v>
      </c>
      <c r="AQ16" s="156">
        <f>IF(ISBLANK($A16),,ROUNDDOWN(I16*AS6*1.024,))</f>
        <v>51</v>
      </c>
      <c r="AR16" s="156">
        <f>IF(ISBLANK($A16),,ROUNDDOWN(L11*AS6*1.024,))</f>
        <v>60</v>
      </c>
      <c r="AS16" s="156">
        <f>IF(ISBLANK($A16),,ROUNDDOWN(N16*AS6*1.024,))</f>
        <v>0</v>
      </c>
      <c r="AT16" s="156">
        <f>IF(ISBLANK($A16),,ROUNDDOWN(P16*AS6*1.024,))</f>
        <v>0</v>
      </c>
      <c r="AU16" s="156">
        <f>IF(ISBLANK($A16),,ROUNDDOWN(R16*AS6*1.024,))</f>
        <v>0</v>
      </c>
      <c r="AV16" s="156">
        <f t="shared" si="2"/>
        <v>0</v>
      </c>
      <c r="AW16" s="156">
        <f>IF(ISBLANK($A16),,ROUNDDOWN(V16*AS6*1.024,))</f>
        <v>0</v>
      </c>
      <c r="AX16" s="156">
        <f>IF(ISBLANK($A16),,ROUNDDOWN(X16*AS6*1.024,))</f>
        <v>0</v>
      </c>
    </row>
    <row r="17" spans="1:50">
      <c r="A17" s="156" t="s">
        <v>352</v>
      </c>
      <c r="B17" s="152"/>
      <c r="C17" s="11" t="s">
        <v>333</v>
      </c>
      <c r="D17" s="156" t="s">
        <v>453</v>
      </c>
      <c r="E17" s="156" t="s">
        <v>43</v>
      </c>
      <c r="F17" s="152">
        <v>4</v>
      </c>
      <c r="G17" s="152">
        <v>6</v>
      </c>
      <c r="H17" s="152">
        <v>0</v>
      </c>
      <c r="I17" s="152">
        <v>31</v>
      </c>
      <c r="J17" s="154">
        <f t="shared" si="3"/>
        <v>6</v>
      </c>
      <c r="K17" s="152" t="s">
        <v>337</v>
      </c>
      <c r="L17" s="152"/>
      <c r="M17" s="152"/>
      <c r="N17" s="152"/>
      <c r="O17" s="152"/>
      <c r="P17" s="152"/>
      <c r="Q17" s="152"/>
      <c r="R17" s="152"/>
      <c r="S17" s="152"/>
      <c r="T17" s="152"/>
      <c r="U17" s="152"/>
      <c r="V17" s="152"/>
      <c r="W17" s="152"/>
      <c r="X17" s="152"/>
      <c r="Y17" s="152"/>
      <c r="Z17" s="152"/>
      <c r="AA17" s="152"/>
      <c r="AB17" s="152"/>
      <c r="AC17" s="152"/>
      <c r="AD17" s="152"/>
      <c r="AE17" s="152"/>
      <c r="AF17" s="179"/>
      <c r="AG17" s="179"/>
      <c r="AH17" s="152"/>
      <c r="AI17" s="152"/>
      <c r="AJ17" s="152" t="s">
        <v>346</v>
      </c>
      <c r="AK17" s="152" t="s">
        <v>347</v>
      </c>
      <c r="AL17" s="152"/>
      <c r="AM17" s="156"/>
      <c r="AN17" s="156"/>
      <c r="AO17" s="156">
        <f t="shared" si="0"/>
        <v>6.1440000000000001</v>
      </c>
      <c r="AP17" s="156">
        <f t="shared" si="1"/>
        <v>0</v>
      </c>
      <c r="AQ17" s="156">
        <f>IF(ISBLANK($A17),,ROUNDDOWN(I17*AS6*1.024,))</f>
        <v>28</v>
      </c>
      <c r="AR17" s="156">
        <f>IF(ISBLANK($A17),,ROUNDDOWN(L17*AS6*1.024,))</f>
        <v>0</v>
      </c>
      <c r="AS17" s="156">
        <f>IF(ISBLANK($A17),,ROUNDDOWN(N17*AS6*1.024,))</f>
        <v>0</v>
      </c>
      <c r="AT17" s="156">
        <f>IF(ISBLANK($A17),,ROUNDDOWN(P17*AS6*1.024,))</f>
        <v>0</v>
      </c>
      <c r="AU17" s="156">
        <f>IF(ISBLANK($A17),,ROUNDDOWN(R17*AS6*1.024,))</f>
        <v>0</v>
      </c>
      <c r="AV17" s="156">
        <f t="shared" si="2"/>
        <v>0</v>
      </c>
      <c r="AW17" s="156">
        <f>IF(ISBLANK($A17),,ROUNDDOWN(V17*AS6*1.024,))</f>
        <v>0</v>
      </c>
      <c r="AX17" s="156">
        <f>IF(ISBLANK($A17),,ROUNDDOWN(X17*AS6*1.024,))</f>
        <v>0</v>
      </c>
    </row>
    <row r="18" spans="1:50">
      <c r="A18" s="156" t="s">
        <v>353</v>
      </c>
      <c r="B18" s="152"/>
      <c r="C18" s="11" t="s">
        <v>333</v>
      </c>
      <c r="D18" s="156" t="s">
        <v>453</v>
      </c>
      <c r="E18" s="156" t="s">
        <v>47</v>
      </c>
      <c r="F18" s="152">
        <v>4</v>
      </c>
      <c r="G18" s="152">
        <v>4</v>
      </c>
      <c r="H18" s="152">
        <v>0</v>
      </c>
      <c r="I18" s="152">
        <v>31</v>
      </c>
      <c r="J18" s="154">
        <f t="shared" si="3"/>
        <v>4</v>
      </c>
      <c r="K18" s="152" t="s">
        <v>343</v>
      </c>
      <c r="L18" s="152"/>
      <c r="M18" s="152"/>
      <c r="N18" s="152"/>
      <c r="O18" s="152"/>
      <c r="P18" s="152"/>
      <c r="Q18" s="152"/>
      <c r="R18" s="152"/>
      <c r="S18" s="152"/>
      <c r="T18" s="152"/>
      <c r="U18" s="152"/>
      <c r="V18" s="152"/>
      <c r="W18" s="152"/>
      <c r="X18" s="152"/>
      <c r="Y18" s="152"/>
      <c r="Z18" s="152"/>
      <c r="AA18" s="152"/>
      <c r="AB18" s="152"/>
      <c r="AC18" s="152"/>
      <c r="AD18" s="152"/>
      <c r="AE18" s="152"/>
      <c r="AF18" s="179"/>
      <c r="AG18" s="179"/>
      <c r="AH18" s="152"/>
      <c r="AI18" s="152"/>
      <c r="AJ18" s="152" t="s">
        <v>346</v>
      </c>
      <c r="AK18" s="152" t="s">
        <v>347</v>
      </c>
      <c r="AL18" s="152" t="s">
        <v>329</v>
      </c>
      <c r="AM18" s="156"/>
      <c r="AN18" s="156"/>
      <c r="AO18" s="156">
        <f t="shared" si="0"/>
        <v>4.0960000000000001</v>
      </c>
      <c r="AP18" s="156">
        <f t="shared" si="1"/>
        <v>0</v>
      </c>
      <c r="AQ18" s="156">
        <f>IF(ISBLANK($A18),,ROUNDDOWN(I18*AS6*1.024,))</f>
        <v>28</v>
      </c>
      <c r="AR18" s="156">
        <f>IF(ISBLANK($A18),,ROUNDDOWN(L18*AS6*1.024,))</f>
        <v>0</v>
      </c>
      <c r="AS18" s="156">
        <f>IF(ISBLANK($A18),,ROUNDDOWN(N18*AS6*1.024,))</f>
        <v>0</v>
      </c>
      <c r="AT18" s="156">
        <f>IF(ISBLANK($A18),,ROUNDDOWN(P18*AS6*1.024,))</f>
        <v>0</v>
      </c>
      <c r="AU18" s="156">
        <f>IF(ISBLANK($A18),,ROUNDDOWN(R18*AS6*1.024,))</f>
        <v>0</v>
      </c>
      <c r="AV18" s="156">
        <f t="shared" si="2"/>
        <v>0</v>
      </c>
      <c r="AW18" s="156">
        <f>IF(ISBLANK($A18),,ROUNDDOWN(V18*AS6*1.024,))</f>
        <v>0</v>
      </c>
      <c r="AX18" s="156">
        <f>IF(ISBLANK($A18),,ROUNDDOWN(X18*AS6*1.024,))</f>
        <v>0</v>
      </c>
    </row>
    <row r="19" spans="1:50">
      <c r="A19" s="156" t="s">
        <v>354</v>
      </c>
      <c r="B19" s="152"/>
      <c r="C19" s="11" t="s">
        <v>333</v>
      </c>
      <c r="D19" s="156" t="s">
        <v>453</v>
      </c>
      <c r="E19" s="156" t="s">
        <v>355</v>
      </c>
      <c r="F19" s="152">
        <v>8</v>
      </c>
      <c r="G19" s="152">
        <v>10</v>
      </c>
      <c r="H19" s="152">
        <v>0</v>
      </c>
      <c r="I19" s="152">
        <v>101</v>
      </c>
      <c r="J19" s="154">
        <f t="shared" si="3"/>
        <v>10</v>
      </c>
      <c r="K19" s="152" t="s">
        <v>335</v>
      </c>
      <c r="L19" s="152"/>
      <c r="M19" s="152"/>
      <c r="N19" s="152"/>
      <c r="O19" s="152"/>
      <c r="P19" s="152"/>
      <c r="Q19" s="152"/>
      <c r="R19" s="152"/>
      <c r="S19" s="152"/>
      <c r="T19" s="152"/>
      <c r="U19" s="152"/>
      <c r="V19" s="152"/>
      <c r="W19" s="152"/>
      <c r="X19" s="152"/>
      <c r="Y19" s="152"/>
      <c r="Z19" s="152"/>
      <c r="AA19" s="152"/>
      <c r="AB19" s="152">
        <v>50</v>
      </c>
      <c r="AC19" s="152" t="s">
        <v>343</v>
      </c>
      <c r="AD19" s="152"/>
      <c r="AE19" s="152"/>
      <c r="AF19" s="179"/>
      <c r="AG19" s="179"/>
      <c r="AH19" s="152"/>
      <c r="AI19" s="152"/>
      <c r="AJ19" s="152" t="s">
        <v>328</v>
      </c>
      <c r="AK19" s="152" t="s">
        <v>329</v>
      </c>
      <c r="AL19" s="152"/>
      <c r="AM19" s="156"/>
      <c r="AN19" s="156"/>
      <c r="AO19" s="156">
        <f t="shared" si="0"/>
        <v>10.24</v>
      </c>
      <c r="AP19" s="156">
        <f t="shared" si="1"/>
        <v>0</v>
      </c>
      <c r="AQ19" s="156">
        <f>IF(ISBLANK($A19),,ROUNDDOWN(I19*AS6*1.024,))</f>
        <v>93</v>
      </c>
      <c r="AR19" s="156">
        <f>IF(ISBLANK($A19),,ROUNDDOWN(L19*AS6*1.024,))</f>
        <v>0</v>
      </c>
      <c r="AS19" s="156">
        <f>IF(ISBLANK($A19),,ROUNDDOWN(N19*AS6*1.024,))</f>
        <v>0</v>
      </c>
      <c r="AT19" s="156">
        <f>IF(ISBLANK($A19),,ROUNDDOWN(P19*AS6*1.024,))</f>
        <v>0</v>
      </c>
      <c r="AU19" s="156">
        <f>IF(ISBLANK($A19),,ROUNDDOWN(R19*AS6*1.024,))</f>
        <v>0</v>
      </c>
      <c r="AV19" s="156">
        <f t="shared" si="2"/>
        <v>0</v>
      </c>
      <c r="AW19" s="156">
        <f>IF(ISBLANK($A19),,ROUNDDOWN(V19*AS6*1.024,))</f>
        <v>0</v>
      </c>
      <c r="AX19" s="156">
        <f>IF(ISBLANK($A19),,ROUNDDOWN(X19*AS6*1.024,))</f>
        <v>0</v>
      </c>
    </row>
    <row r="20" spans="1:50">
      <c r="A20" s="156" t="s">
        <v>356</v>
      </c>
      <c r="B20" s="152"/>
      <c r="C20" s="11" t="s">
        <v>333</v>
      </c>
      <c r="D20" s="156" t="s">
        <v>453</v>
      </c>
      <c r="E20" s="156" t="s">
        <v>55</v>
      </c>
      <c r="F20" s="152">
        <v>6</v>
      </c>
      <c r="G20" s="152">
        <v>6</v>
      </c>
      <c r="H20" s="152">
        <v>0</v>
      </c>
      <c r="I20" s="152">
        <v>131</v>
      </c>
      <c r="J20" s="154">
        <f t="shared" si="3"/>
        <v>6</v>
      </c>
      <c r="K20" s="152" t="s">
        <v>337</v>
      </c>
      <c r="L20" s="152"/>
      <c r="M20" s="152"/>
      <c r="N20" s="152"/>
      <c r="O20" s="152"/>
      <c r="P20" s="152"/>
      <c r="Q20" s="152"/>
      <c r="R20" s="152"/>
      <c r="S20" s="152"/>
      <c r="T20" s="152"/>
      <c r="U20" s="152"/>
      <c r="V20" s="152"/>
      <c r="W20" s="152"/>
      <c r="X20" s="152"/>
      <c r="Y20" s="152"/>
      <c r="Z20" s="152"/>
      <c r="AA20" s="152"/>
      <c r="AB20" s="152"/>
      <c r="AC20" s="152"/>
      <c r="AD20" s="152"/>
      <c r="AE20" s="152"/>
      <c r="AF20" s="179"/>
      <c r="AG20" s="179"/>
      <c r="AH20" s="152"/>
      <c r="AI20" s="152"/>
      <c r="AJ20" s="152" t="s">
        <v>346</v>
      </c>
      <c r="AK20" s="152" t="s">
        <v>347</v>
      </c>
      <c r="AL20" s="152"/>
      <c r="AM20" s="156"/>
      <c r="AN20" s="156"/>
      <c r="AO20" s="156">
        <f t="shared" si="0"/>
        <v>6.1440000000000001</v>
      </c>
      <c r="AP20" s="156">
        <f t="shared" si="1"/>
        <v>0</v>
      </c>
      <c r="AQ20" s="156">
        <f>IF(ISBLANK($A20),,ROUNDDOWN(I20*AS6*1.024,))</f>
        <v>120</v>
      </c>
      <c r="AR20" s="156">
        <f>IF(ISBLANK($A20),,ROUNDDOWN(L20*AS6*1.024,))</f>
        <v>0</v>
      </c>
      <c r="AS20" s="156">
        <f>IF(ISBLANK($A20),,ROUNDDOWN(N20*AS6*1.024,))</f>
        <v>0</v>
      </c>
      <c r="AT20" s="156">
        <f>IF(ISBLANK($A20),,ROUNDDOWN(P20*AS6*1.024,))</f>
        <v>0</v>
      </c>
      <c r="AU20" s="156">
        <f>IF(ISBLANK($A20),,ROUNDDOWN(R20*AS6*1.024,))</f>
        <v>0</v>
      </c>
      <c r="AV20" s="156">
        <f t="shared" si="2"/>
        <v>0</v>
      </c>
      <c r="AW20" s="156">
        <f>IF(ISBLANK($A20),,ROUNDDOWN(V20*AS6*1.024,))</f>
        <v>0</v>
      </c>
      <c r="AX20" s="156">
        <f>IF(ISBLANK($A20),,ROUNDDOWN(X20*AS6*1.024,))</f>
        <v>0</v>
      </c>
    </row>
    <row r="21" spans="1:50">
      <c r="A21" s="156" t="s">
        <v>357</v>
      </c>
      <c r="B21" s="152"/>
      <c r="C21" s="11" t="s">
        <v>333</v>
      </c>
      <c r="D21" s="156" t="s">
        <v>453</v>
      </c>
      <c r="E21" s="156" t="s">
        <v>483</v>
      </c>
      <c r="F21" s="152">
        <v>5</v>
      </c>
      <c r="G21" s="152">
        <v>6</v>
      </c>
      <c r="H21" s="152">
        <v>0</v>
      </c>
      <c r="I21" s="152">
        <v>61</v>
      </c>
      <c r="J21" s="154">
        <f t="shared" si="3"/>
        <v>6</v>
      </c>
      <c r="K21" s="152" t="s">
        <v>343</v>
      </c>
      <c r="L21" s="152"/>
      <c r="M21" s="152"/>
      <c r="N21" s="152"/>
      <c r="O21" s="152"/>
      <c r="P21" s="152"/>
      <c r="Q21" s="152"/>
      <c r="R21" s="152"/>
      <c r="S21" s="152"/>
      <c r="T21" s="152"/>
      <c r="U21" s="152"/>
      <c r="V21" s="152"/>
      <c r="W21" s="152"/>
      <c r="X21" s="152"/>
      <c r="Y21" s="152"/>
      <c r="Z21" s="152"/>
      <c r="AA21" s="152"/>
      <c r="AB21" s="152"/>
      <c r="AC21" s="152"/>
      <c r="AD21" s="152"/>
      <c r="AE21" s="152"/>
      <c r="AF21" s="179"/>
      <c r="AG21" s="179"/>
      <c r="AH21" s="152"/>
      <c r="AI21" s="152"/>
      <c r="AJ21" s="152" t="s">
        <v>328</v>
      </c>
      <c r="AK21" s="152" t="s">
        <v>329</v>
      </c>
      <c r="AL21" s="152"/>
      <c r="AM21" s="156"/>
      <c r="AN21" s="156"/>
      <c r="AO21" s="156">
        <f t="shared" si="0"/>
        <v>6.1440000000000001</v>
      </c>
      <c r="AP21" s="156">
        <f t="shared" si="1"/>
        <v>0</v>
      </c>
      <c r="AQ21" s="156">
        <f>IF(ISBLANK($A21),,ROUNDDOWN(I21*AS6*1.024,))</f>
        <v>56</v>
      </c>
      <c r="AR21" s="156">
        <f>IF(ISBLANK($A21),,ROUNDDOWN(L21*AS6*1.024,))</f>
        <v>0</v>
      </c>
      <c r="AS21" s="156">
        <f>IF(ISBLANK($A21),,ROUNDDOWN(N21*AS6*1.024,))</f>
        <v>0</v>
      </c>
      <c r="AT21" s="156">
        <f>IF(ISBLANK($A21),,ROUNDDOWN(P21*AS6*1.024,))</f>
        <v>0</v>
      </c>
      <c r="AU21" s="156">
        <f>IF(ISBLANK($A21),,ROUNDDOWN(R21*AS6*1.024,))</f>
        <v>0</v>
      </c>
      <c r="AV21" s="156">
        <f t="shared" si="2"/>
        <v>0</v>
      </c>
      <c r="AW21" s="156">
        <f>IF(ISBLANK($A21),,ROUNDDOWN(V21*AS6*1.024,))</f>
        <v>0</v>
      </c>
      <c r="AX21" s="156">
        <f>IF(ISBLANK($A21),,ROUNDDOWN(X21*AS6*1.024,))</f>
        <v>0</v>
      </c>
    </row>
    <row r="22" spans="1:50">
      <c r="A22" s="156" t="s">
        <v>358</v>
      </c>
      <c r="B22" s="152"/>
      <c r="C22" s="11" t="s">
        <v>333</v>
      </c>
      <c r="D22" s="156" t="s">
        <v>453</v>
      </c>
      <c r="E22" s="156" t="s">
        <v>483</v>
      </c>
      <c r="F22" s="152">
        <v>5</v>
      </c>
      <c r="G22" s="152">
        <v>6</v>
      </c>
      <c r="H22" s="152">
        <v>0</v>
      </c>
      <c r="I22" s="152">
        <v>61</v>
      </c>
      <c r="J22" s="154">
        <f t="shared" si="3"/>
        <v>6</v>
      </c>
      <c r="K22" s="152" t="s">
        <v>335</v>
      </c>
      <c r="L22" s="152"/>
      <c r="M22" s="152"/>
      <c r="N22" s="152"/>
      <c r="O22" s="152"/>
      <c r="P22" s="152"/>
      <c r="Q22" s="152"/>
      <c r="R22" s="152"/>
      <c r="S22" s="152"/>
      <c r="T22" s="152"/>
      <c r="U22" s="152"/>
      <c r="V22" s="152"/>
      <c r="W22" s="152"/>
      <c r="X22" s="152"/>
      <c r="Y22" s="152"/>
      <c r="Z22" s="152"/>
      <c r="AA22" s="152"/>
      <c r="AB22" s="152"/>
      <c r="AC22" s="152"/>
      <c r="AD22" s="152"/>
      <c r="AE22" s="152"/>
      <c r="AF22" s="179"/>
      <c r="AG22" s="179"/>
      <c r="AH22" s="152"/>
      <c r="AI22" s="152"/>
      <c r="AJ22" s="152" t="s">
        <v>328</v>
      </c>
      <c r="AK22" s="152" t="s">
        <v>329</v>
      </c>
      <c r="AL22" s="152"/>
      <c r="AM22" s="156"/>
      <c r="AN22" s="156"/>
      <c r="AO22" s="156">
        <f t="shared" si="0"/>
        <v>6.1440000000000001</v>
      </c>
      <c r="AP22" s="156">
        <f t="shared" si="1"/>
        <v>0</v>
      </c>
      <c r="AQ22" s="156">
        <f>IF(ISBLANK($A22),,ROUNDDOWN(I22*AS6*1.024,))</f>
        <v>56</v>
      </c>
      <c r="AR22" s="156">
        <f>IF(ISBLANK($A22),,ROUNDDOWN(L22*AS6*1.024,))</f>
        <v>0</v>
      </c>
      <c r="AS22" s="156">
        <f>IF(ISBLANK($A22),,ROUNDDOWN(N22*AS6*1.024,))</f>
        <v>0</v>
      </c>
      <c r="AT22" s="156">
        <f>IF(ISBLANK($A22),,ROUNDDOWN(P22*AS6*1.024,))</f>
        <v>0</v>
      </c>
      <c r="AU22" s="156">
        <f>IF(ISBLANK($A22),,ROUNDDOWN(R22*AS6*1.024,))</f>
        <v>0</v>
      </c>
      <c r="AV22" s="156">
        <f t="shared" si="2"/>
        <v>0</v>
      </c>
      <c r="AW22" s="156">
        <f>IF(ISBLANK($A22),,ROUNDDOWN(V22*AS6*1.024,))</f>
        <v>0</v>
      </c>
      <c r="AX22" s="156">
        <f>IF(ISBLANK($A22),,ROUNDDOWN(X22*AS6*1.024,))</f>
        <v>0</v>
      </c>
    </row>
    <row r="23" spans="1:50">
      <c r="A23" s="156" t="s">
        <v>359</v>
      </c>
      <c r="B23" s="152"/>
      <c r="C23" s="11" t="s">
        <v>333</v>
      </c>
      <c r="D23" s="156" t="s">
        <v>453</v>
      </c>
      <c r="E23" s="156" t="s">
        <v>63</v>
      </c>
      <c r="F23" s="152">
        <v>5</v>
      </c>
      <c r="G23" s="152">
        <v>13</v>
      </c>
      <c r="H23" s="152">
        <v>0</v>
      </c>
      <c r="I23" s="152">
        <v>56</v>
      </c>
      <c r="J23" s="154">
        <f t="shared" si="3"/>
        <v>13</v>
      </c>
      <c r="K23" s="152" t="s">
        <v>337</v>
      </c>
      <c r="L23" s="152"/>
      <c r="M23" s="152"/>
      <c r="N23" s="152"/>
      <c r="O23" s="152"/>
      <c r="P23" s="152"/>
      <c r="Q23" s="152"/>
      <c r="R23" s="152"/>
      <c r="S23" s="152"/>
      <c r="T23" s="152"/>
      <c r="U23" s="152"/>
      <c r="V23" s="152"/>
      <c r="W23" s="152"/>
      <c r="X23" s="152"/>
      <c r="Y23" s="152"/>
      <c r="Z23" s="152"/>
      <c r="AA23" s="152"/>
      <c r="AB23" s="152"/>
      <c r="AC23" s="152"/>
      <c r="AD23" s="152">
        <v>85</v>
      </c>
      <c r="AE23" s="152" t="s">
        <v>337</v>
      </c>
      <c r="AF23" s="179"/>
      <c r="AG23" s="179"/>
      <c r="AH23" s="152"/>
      <c r="AI23" s="152"/>
      <c r="AJ23" s="152" t="s">
        <v>328</v>
      </c>
      <c r="AK23" s="152" t="s">
        <v>329</v>
      </c>
      <c r="AL23" s="152"/>
      <c r="AM23" s="156"/>
      <c r="AN23" s="156"/>
      <c r="AO23" s="156">
        <f t="shared" si="0"/>
        <v>13.312000000000001</v>
      </c>
      <c r="AP23" s="156">
        <f t="shared" si="1"/>
        <v>0</v>
      </c>
      <c r="AQ23" s="156">
        <f>IF(ISBLANK($A23),,ROUNDDOWN(I23*AS6*1.024,))</f>
        <v>51</v>
      </c>
      <c r="AR23" s="156">
        <f>IF(ISBLANK($A23),,ROUNDDOWN(L23*AS6*1.024,))</f>
        <v>0</v>
      </c>
      <c r="AS23" s="156">
        <f>IF(ISBLANK($A23),,ROUNDDOWN(N23*AS6*1.024,))</f>
        <v>0</v>
      </c>
      <c r="AT23" s="156">
        <f>IF(ISBLANK($A23),,ROUNDDOWN(P23*AS6*1.024,))</f>
        <v>0</v>
      </c>
      <c r="AU23" s="156">
        <f>IF(ISBLANK($A23),,ROUNDDOWN(R23*AS6*1.024,))</f>
        <v>0</v>
      </c>
      <c r="AV23" s="156">
        <f t="shared" si="2"/>
        <v>0</v>
      </c>
      <c r="AW23" s="156">
        <f>IF(ISBLANK($A23),,ROUNDDOWN(V23*AS6*1.024,))</f>
        <v>0</v>
      </c>
      <c r="AX23" s="156">
        <f>IF(ISBLANK($A23),,ROUNDDOWN(X23*AS6*1.024,))</f>
        <v>0</v>
      </c>
    </row>
    <row r="24" spans="1:50">
      <c r="A24" s="156" t="s">
        <v>360</v>
      </c>
      <c r="B24" s="152"/>
      <c r="C24" s="11" t="s">
        <v>333</v>
      </c>
      <c r="D24" s="156" t="s">
        <v>453</v>
      </c>
      <c r="E24" s="156" t="s">
        <v>67</v>
      </c>
      <c r="F24" s="152">
        <v>5</v>
      </c>
      <c r="G24" s="152">
        <v>13</v>
      </c>
      <c r="H24" s="152">
        <v>0</v>
      </c>
      <c r="I24" s="152">
        <v>56</v>
      </c>
      <c r="J24" s="154">
        <f t="shared" si="3"/>
        <v>13</v>
      </c>
      <c r="K24" s="152" t="s">
        <v>343</v>
      </c>
      <c r="L24" s="152"/>
      <c r="M24" s="152"/>
      <c r="N24" s="152"/>
      <c r="O24" s="152"/>
      <c r="P24" s="152"/>
      <c r="Q24" s="152"/>
      <c r="R24" s="152"/>
      <c r="S24" s="152"/>
      <c r="T24" s="152"/>
      <c r="U24" s="152"/>
      <c r="V24" s="152"/>
      <c r="W24" s="152"/>
      <c r="X24" s="152"/>
      <c r="Y24" s="152"/>
      <c r="Z24" s="152"/>
      <c r="AA24" s="152"/>
      <c r="AB24" s="152"/>
      <c r="AC24" s="152"/>
      <c r="AD24" s="152">
        <v>85</v>
      </c>
      <c r="AE24" s="152" t="s">
        <v>343</v>
      </c>
      <c r="AF24" s="179"/>
      <c r="AG24" s="179"/>
      <c r="AH24" s="152"/>
      <c r="AI24" s="152"/>
      <c r="AJ24" s="152" t="s">
        <v>328</v>
      </c>
      <c r="AK24" s="152" t="s">
        <v>329</v>
      </c>
      <c r="AL24" s="152"/>
      <c r="AM24" s="156"/>
      <c r="AN24" s="156"/>
      <c r="AO24" s="156">
        <f t="shared" si="0"/>
        <v>13.312000000000001</v>
      </c>
      <c r="AP24" s="156">
        <f t="shared" si="1"/>
        <v>0</v>
      </c>
      <c r="AQ24" s="156">
        <f>IF(ISBLANK($A24),,ROUNDDOWN(I24*AS6*1.024,))</f>
        <v>51</v>
      </c>
      <c r="AR24" s="156">
        <f>IF(ISBLANK($A24),,ROUNDDOWN(L24*AS6*1.024,))</f>
        <v>0</v>
      </c>
      <c r="AS24" s="156">
        <f>IF(ISBLANK($A24),,ROUNDDOWN(N24*AS6*1.024,))</f>
        <v>0</v>
      </c>
      <c r="AT24" s="156">
        <f>IF(ISBLANK($A24),,ROUNDDOWN(P24*AS6*1.024,))</f>
        <v>0</v>
      </c>
      <c r="AU24" s="156">
        <f>IF(ISBLANK($A24),,ROUNDDOWN(R24*AS6*1.024,))</f>
        <v>0</v>
      </c>
      <c r="AV24" s="156">
        <f t="shared" si="2"/>
        <v>0</v>
      </c>
      <c r="AW24" s="156">
        <f>IF(ISBLANK($A24),,ROUNDDOWN(V24*AS6*1.024,))</f>
        <v>0</v>
      </c>
      <c r="AX24" s="156">
        <f>IF(ISBLANK($A24),,ROUNDDOWN(X24*AS6*1.024,))</f>
        <v>0</v>
      </c>
    </row>
    <row r="25" spans="1:50">
      <c r="A25" s="156" t="s">
        <v>361</v>
      </c>
      <c r="B25" s="152"/>
      <c r="C25" s="11" t="s">
        <v>333</v>
      </c>
      <c r="D25" s="156" t="s">
        <v>453</v>
      </c>
      <c r="E25" s="156" t="s">
        <v>71</v>
      </c>
      <c r="F25" s="152">
        <v>4</v>
      </c>
      <c r="G25" s="152">
        <v>7</v>
      </c>
      <c r="H25" s="152">
        <v>0</v>
      </c>
      <c r="I25" s="152">
        <v>41</v>
      </c>
      <c r="J25" s="154">
        <f t="shared" si="3"/>
        <v>7</v>
      </c>
      <c r="K25" s="152" t="s">
        <v>335</v>
      </c>
      <c r="L25" s="152"/>
      <c r="M25" s="152"/>
      <c r="N25" s="152"/>
      <c r="O25" s="152"/>
      <c r="P25" s="152"/>
      <c r="Q25" s="152"/>
      <c r="R25" s="152"/>
      <c r="S25" s="152"/>
      <c r="T25" s="152"/>
      <c r="U25" s="152"/>
      <c r="V25" s="152"/>
      <c r="W25" s="152"/>
      <c r="X25" s="152"/>
      <c r="Y25" s="152"/>
      <c r="Z25" s="152"/>
      <c r="AA25" s="152"/>
      <c r="AB25" s="152"/>
      <c r="AC25" s="152"/>
      <c r="AD25" s="152"/>
      <c r="AE25" s="152"/>
      <c r="AF25" s="179"/>
      <c r="AG25" s="179"/>
      <c r="AH25" s="152"/>
      <c r="AI25" s="152"/>
      <c r="AJ25" s="152" t="s">
        <v>328</v>
      </c>
      <c r="AK25" s="152" t="s">
        <v>329</v>
      </c>
      <c r="AL25" s="152"/>
      <c r="AM25" s="156"/>
      <c r="AN25" s="156"/>
      <c r="AO25" s="156">
        <f t="shared" si="0"/>
        <v>7.1680000000000001</v>
      </c>
      <c r="AP25" s="156">
        <f t="shared" si="1"/>
        <v>0</v>
      </c>
      <c r="AQ25" s="156">
        <f>IF(ISBLANK($A25),,ROUNDDOWN(I25*AS6*1.024,))</f>
        <v>37</v>
      </c>
      <c r="AR25" s="156">
        <f>IF(ISBLANK($A25),,ROUNDDOWN(L25*AS6*1.024,))</f>
        <v>0</v>
      </c>
      <c r="AS25" s="156">
        <f>IF(ISBLANK($A25),,ROUNDDOWN(N25*AS6*1.024,))</f>
        <v>0</v>
      </c>
      <c r="AT25" s="156">
        <f>IF(ISBLANK($A25),,ROUNDDOWN(P25*AS6*1.024,))</f>
        <v>0</v>
      </c>
      <c r="AU25" s="156">
        <f>IF(ISBLANK($A25),,ROUNDDOWN(R25*AS6*1.024,))</f>
        <v>0</v>
      </c>
      <c r="AV25" s="156">
        <f t="shared" si="2"/>
        <v>0</v>
      </c>
      <c r="AW25" s="156">
        <f>IF(ISBLANK($A25),,ROUNDDOWN(V25*AS6*1.024,))</f>
        <v>0</v>
      </c>
      <c r="AX25" s="156">
        <f>IF(ISBLANK($A25),,ROUNDDOWN(X25*AS6*1.024,))</f>
        <v>0</v>
      </c>
    </row>
    <row r="26" spans="1:50">
      <c r="A26" s="156" t="s">
        <v>363</v>
      </c>
      <c r="B26" s="152"/>
      <c r="C26" s="11" t="s">
        <v>333</v>
      </c>
      <c r="D26" s="156" t="s">
        <v>453</v>
      </c>
      <c r="E26" s="156" t="s">
        <v>71</v>
      </c>
      <c r="F26" s="152">
        <v>4</v>
      </c>
      <c r="G26" s="152">
        <v>7</v>
      </c>
      <c r="H26" s="152">
        <v>0</v>
      </c>
      <c r="I26" s="152">
        <v>41</v>
      </c>
      <c r="J26" s="154">
        <f t="shared" si="3"/>
        <v>7</v>
      </c>
      <c r="K26" s="152" t="s">
        <v>337</v>
      </c>
      <c r="L26" s="152"/>
      <c r="M26" s="152"/>
      <c r="N26" s="152"/>
      <c r="O26" s="152"/>
      <c r="P26" s="152"/>
      <c r="Q26" s="152"/>
      <c r="R26" s="152"/>
      <c r="S26" s="152"/>
      <c r="T26" s="152"/>
      <c r="U26" s="152"/>
      <c r="V26" s="152"/>
      <c r="W26" s="152"/>
      <c r="X26" s="152"/>
      <c r="Y26" s="152"/>
      <c r="Z26" s="152"/>
      <c r="AA26" s="152"/>
      <c r="AB26" s="152"/>
      <c r="AC26" s="152"/>
      <c r="AD26" s="152"/>
      <c r="AE26" s="152"/>
      <c r="AF26" s="179"/>
      <c r="AG26" s="179"/>
      <c r="AH26" s="152"/>
      <c r="AI26" s="152"/>
      <c r="AJ26" s="152" t="s">
        <v>328</v>
      </c>
      <c r="AK26" s="152" t="s">
        <v>329</v>
      </c>
      <c r="AL26" s="152"/>
      <c r="AM26" s="156"/>
      <c r="AN26" s="156"/>
      <c r="AO26" s="156">
        <f t="shared" si="0"/>
        <v>7.1680000000000001</v>
      </c>
      <c r="AP26" s="156">
        <f t="shared" si="1"/>
        <v>0</v>
      </c>
      <c r="AQ26" s="156">
        <f>IF(ISBLANK($A26),,ROUNDDOWN(I26*AS6*1.024,))</f>
        <v>37</v>
      </c>
      <c r="AR26" s="156">
        <f>IF(ISBLANK($A26),,ROUNDDOWN(L26*AS6*1.024,))</f>
        <v>0</v>
      </c>
      <c r="AS26" s="156">
        <f>IF(ISBLANK($A26),,ROUNDDOWN(N26*AS6*1.024,))</f>
        <v>0</v>
      </c>
      <c r="AT26" s="156">
        <f>IF(ISBLANK($A26),,ROUNDDOWN(P26*AS6*1.024,))</f>
        <v>0</v>
      </c>
      <c r="AU26" s="156">
        <f>IF(ISBLANK($A26),,ROUNDDOWN(R26*AS6*1.024,))</f>
        <v>0</v>
      </c>
      <c r="AV26" s="156">
        <f t="shared" si="2"/>
        <v>0</v>
      </c>
      <c r="AW26" s="156">
        <f>IF(ISBLANK($A26),,ROUNDDOWN(V26*AS6*1.024,))</f>
        <v>0</v>
      </c>
      <c r="AX26" s="156">
        <f>IF(ISBLANK($A26),,ROUNDDOWN(X26*AS6*1.024,))</f>
        <v>0</v>
      </c>
    </row>
    <row r="27" spans="1:50">
      <c r="A27" s="156" t="s">
        <v>484</v>
      </c>
      <c r="B27" s="152"/>
      <c r="C27" s="11" t="s">
        <v>333</v>
      </c>
      <c r="D27" s="156" t="s">
        <v>453</v>
      </c>
      <c r="E27" s="156" t="s">
        <v>73</v>
      </c>
      <c r="F27" s="152">
        <v>8</v>
      </c>
      <c r="G27" s="152">
        <v>33</v>
      </c>
      <c r="H27" s="152">
        <v>33</v>
      </c>
      <c r="I27" s="152">
        <v>136</v>
      </c>
      <c r="J27" s="154">
        <f t="shared" si="3"/>
        <v>0</v>
      </c>
      <c r="K27" s="152" t="s">
        <v>343</v>
      </c>
      <c r="L27" s="152"/>
      <c r="M27" s="152"/>
      <c r="N27" s="152"/>
      <c r="O27" s="152"/>
      <c r="P27" s="152"/>
      <c r="Q27" s="152"/>
      <c r="R27" s="152"/>
      <c r="S27" s="152"/>
      <c r="T27" s="152"/>
      <c r="U27" s="152"/>
      <c r="V27" s="152"/>
      <c r="W27" s="152"/>
      <c r="X27" s="152"/>
      <c r="Y27" s="152"/>
      <c r="Z27" s="152"/>
      <c r="AA27" s="152"/>
      <c r="AB27" s="152"/>
      <c r="AC27" s="152"/>
      <c r="AD27" s="152"/>
      <c r="AE27" s="152"/>
      <c r="AF27" s="179"/>
      <c r="AG27" s="179"/>
      <c r="AH27" s="152"/>
      <c r="AI27" s="152"/>
      <c r="AJ27" s="152" t="s">
        <v>346</v>
      </c>
      <c r="AK27" s="152" t="s">
        <v>347</v>
      </c>
      <c r="AL27" s="152"/>
      <c r="AM27" s="156"/>
      <c r="AN27" s="156"/>
      <c r="AO27" s="156">
        <f t="shared" si="0"/>
        <v>33.792000000000002</v>
      </c>
      <c r="AP27" s="156">
        <f t="shared" si="1"/>
        <v>33.792000000000002</v>
      </c>
      <c r="AQ27" s="156">
        <f>IF(ISBLANK($A27),,ROUNDDOWN(I27*AS6*1.024,))</f>
        <v>125</v>
      </c>
      <c r="AR27" s="156">
        <f>IF(ISBLANK($A27),,ROUNDDOWN(L27*AS6*1.024,))</f>
        <v>0</v>
      </c>
      <c r="AS27" s="156">
        <f>IF(ISBLANK($A27),,ROUNDDOWN(N27*AS6*1.024,))</f>
        <v>0</v>
      </c>
      <c r="AT27" s="156">
        <f>IF(ISBLANK($A27),,ROUNDDOWN(P27*AS6*1.024,))</f>
        <v>0</v>
      </c>
      <c r="AU27" s="156">
        <f>IF(ISBLANK($A27),,ROUNDDOWN(R27*AS6*1.024,))</f>
        <v>0</v>
      </c>
      <c r="AV27" s="156">
        <f t="shared" si="2"/>
        <v>0</v>
      </c>
      <c r="AW27" s="156">
        <f>IF(ISBLANK($A27),,ROUNDDOWN(V27*AS6*1.024,))</f>
        <v>0</v>
      </c>
      <c r="AX27" s="156">
        <f>IF(ISBLANK($A27),,ROUNDDOWN(X27*AS6*1.024,))</f>
        <v>0</v>
      </c>
    </row>
    <row r="28" spans="1:50">
      <c r="A28" s="156" t="s">
        <v>485</v>
      </c>
      <c r="B28" s="152"/>
      <c r="C28" s="11" t="s">
        <v>333</v>
      </c>
      <c r="D28" s="156" t="s">
        <v>453</v>
      </c>
      <c r="E28" s="156" t="s">
        <v>73</v>
      </c>
      <c r="F28" s="152">
        <v>8</v>
      </c>
      <c r="G28" s="152">
        <v>33</v>
      </c>
      <c r="H28" s="152">
        <v>33</v>
      </c>
      <c r="I28" s="152">
        <v>136</v>
      </c>
      <c r="J28" s="154">
        <f t="shared" si="3"/>
        <v>0</v>
      </c>
      <c r="K28" s="152" t="s">
        <v>335</v>
      </c>
      <c r="L28" s="152"/>
      <c r="M28" s="152"/>
      <c r="N28" s="152"/>
      <c r="O28" s="152"/>
      <c r="P28" s="152"/>
      <c r="Q28" s="152"/>
      <c r="R28" s="152"/>
      <c r="S28" s="152"/>
      <c r="T28" s="152"/>
      <c r="U28" s="152"/>
      <c r="V28" s="152"/>
      <c r="W28" s="152"/>
      <c r="X28" s="152"/>
      <c r="Y28" s="152"/>
      <c r="Z28" s="152"/>
      <c r="AA28" s="152"/>
      <c r="AB28" s="152"/>
      <c r="AC28" s="152"/>
      <c r="AD28" s="152"/>
      <c r="AE28" s="152"/>
      <c r="AF28" s="179"/>
      <c r="AG28" s="179"/>
      <c r="AH28" s="152"/>
      <c r="AI28" s="152"/>
      <c r="AJ28" s="152" t="s">
        <v>346</v>
      </c>
      <c r="AK28" s="152" t="s">
        <v>347</v>
      </c>
      <c r="AL28" s="152"/>
      <c r="AM28" s="156"/>
      <c r="AN28" s="156"/>
      <c r="AO28" s="156">
        <f t="shared" si="0"/>
        <v>33.792000000000002</v>
      </c>
      <c r="AP28" s="156">
        <f t="shared" si="1"/>
        <v>33.792000000000002</v>
      </c>
      <c r="AQ28" s="156">
        <f>IF(ISBLANK($A28),,ROUNDDOWN(I28*AS6*1.024,))</f>
        <v>125</v>
      </c>
      <c r="AR28" s="156">
        <f>IF(ISBLANK($A28),,ROUNDDOWN(L28*AS6*1.024,))</f>
        <v>0</v>
      </c>
      <c r="AS28" s="156">
        <f>IF(ISBLANK($A28),,ROUNDDOWN(N28*AS6*1.024,))</f>
        <v>0</v>
      </c>
      <c r="AT28" s="156">
        <f>IF(ISBLANK($A28),,ROUNDDOWN(P28*AS6*1.024,))</f>
        <v>0</v>
      </c>
      <c r="AU28" s="156">
        <f>IF(ISBLANK($A28),,ROUNDDOWN(R28*AS6*1.024,))</f>
        <v>0</v>
      </c>
      <c r="AV28" s="156">
        <f t="shared" si="2"/>
        <v>0</v>
      </c>
      <c r="AW28" s="156">
        <f>IF(ISBLANK($A28),,ROUNDDOWN(V28*AS6*1.024,))</f>
        <v>0</v>
      </c>
      <c r="AX28" s="156">
        <f>IF(ISBLANK($A28),,ROUNDDOWN(X28*AS6*1.024,))</f>
        <v>0</v>
      </c>
    </row>
    <row r="29" spans="1:50">
      <c r="A29" s="156" t="s">
        <v>486</v>
      </c>
      <c r="B29" s="152"/>
      <c r="C29" s="11" t="s">
        <v>333</v>
      </c>
      <c r="D29" s="156" t="s">
        <v>453</v>
      </c>
      <c r="E29" s="156" t="s">
        <v>73</v>
      </c>
      <c r="F29" s="152">
        <v>8</v>
      </c>
      <c r="G29" s="152">
        <v>33</v>
      </c>
      <c r="H29" s="152">
        <v>33</v>
      </c>
      <c r="I29" s="152">
        <v>136</v>
      </c>
      <c r="J29" s="154">
        <f t="shared" si="3"/>
        <v>0</v>
      </c>
      <c r="K29" s="152" t="s">
        <v>337</v>
      </c>
      <c r="L29" s="152"/>
      <c r="M29" s="152"/>
      <c r="N29" s="152"/>
      <c r="O29" s="152"/>
      <c r="P29" s="152"/>
      <c r="Q29" s="152"/>
      <c r="R29" s="152"/>
      <c r="S29" s="152"/>
      <c r="T29" s="152"/>
      <c r="U29" s="152"/>
      <c r="V29" s="152"/>
      <c r="W29" s="152"/>
      <c r="X29" s="152"/>
      <c r="Y29" s="152"/>
      <c r="Z29" s="152"/>
      <c r="AA29" s="152"/>
      <c r="AB29" s="152"/>
      <c r="AC29" s="152"/>
      <c r="AD29" s="152"/>
      <c r="AE29" s="152"/>
      <c r="AF29" s="179"/>
      <c r="AG29" s="179"/>
      <c r="AH29" s="152"/>
      <c r="AI29" s="152"/>
      <c r="AJ29" s="152" t="s">
        <v>346</v>
      </c>
      <c r="AK29" s="152" t="s">
        <v>347</v>
      </c>
      <c r="AL29" s="152"/>
      <c r="AM29" s="156"/>
      <c r="AN29" s="156"/>
      <c r="AO29" s="156">
        <f t="shared" si="0"/>
        <v>33.792000000000002</v>
      </c>
      <c r="AP29" s="156">
        <f t="shared" si="1"/>
        <v>33.792000000000002</v>
      </c>
      <c r="AQ29" s="156">
        <f>IF(ISBLANK($A29),,ROUNDDOWN(I29*AS6*1.024,))</f>
        <v>125</v>
      </c>
      <c r="AR29" s="156">
        <f>IF(ISBLANK($A29),,ROUNDDOWN(L29*AS6*1.024,))</f>
        <v>0</v>
      </c>
      <c r="AS29" s="156">
        <f>IF(ISBLANK($A29),,ROUNDDOWN(N29*AS6*1.024,))</f>
        <v>0</v>
      </c>
      <c r="AT29" s="156">
        <f>IF(ISBLANK($A29),,ROUNDDOWN(P29*AS6*1.024,))</f>
        <v>0</v>
      </c>
      <c r="AU29" s="156">
        <f>IF(ISBLANK($A29),,ROUNDDOWN(R29*AS6*1.024,))</f>
        <v>0</v>
      </c>
      <c r="AV29" s="156">
        <f t="shared" si="2"/>
        <v>0</v>
      </c>
      <c r="AW29" s="156">
        <f>IF(ISBLANK($A29),,ROUNDDOWN(V29*AS6*1.024,))</f>
        <v>0</v>
      </c>
      <c r="AX29" s="156">
        <f>IF(ISBLANK($A29),,ROUNDDOWN(X29*AS6*1.024,))</f>
        <v>0</v>
      </c>
    </row>
    <row r="30" spans="1:50">
      <c r="A30" s="156" t="s">
        <v>487</v>
      </c>
      <c r="B30" s="152"/>
      <c r="C30" s="11" t="s">
        <v>333</v>
      </c>
      <c r="D30" s="156" t="s">
        <v>453</v>
      </c>
      <c r="E30" s="156" t="s">
        <v>73</v>
      </c>
      <c r="F30" s="152">
        <v>8</v>
      </c>
      <c r="G30" s="152">
        <v>33</v>
      </c>
      <c r="H30" s="152">
        <v>33</v>
      </c>
      <c r="I30" s="152">
        <v>136</v>
      </c>
      <c r="J30" s="154">
        <f t="shared" si="3"/>
        <v>0</v>
      </c>
      <c r="K30" s="152" t="s">
        <v>343</v>
      </c>
      <c r="L30" s="152"/>
      <c r="M30" s="152"/>
      <c r="N30" s="152"/>
      <c r="O30" s="152"/>
      <c r="P30" s="152"/>
      <c r="Q30" s="152"/>
      <c r="R30" s="152"/>
      <c r="S30" s="152"/>
      <c r="T30" s="152"/>
      <c r="U30" s="152"/>
      <c r="V30" s="152"/>
      <c r="W30" s="152"/>
      <c r="X30" s="152"/>
      <c r="Y30" s="152"/>
      <c r="Z30" s="152"/>
      <c r="AA30" s="152"/>
      <c r="AB30" s="152"/>
      <c r="AC30" s="152"/>
      <c r="AD30" s="152"/>
      <c r="AE30" s="152"/>
      <c r="AF30" s="179"/>
      <c r="AG30" s="179"/>
      <c r="AH30" s="152"/>
      <c r="AI30" s="152"/>
      <c r="AJ30" s="152" t="s">
        <v>346</v>
      </c>
      <c r="AK30" s="152" t="s">
        <v>347</v>
      </c>
      <c r="AL30" s="152"/>
      <c r="AM30" s="156"/>
      <c r="AN30" s="156"/>
      <c r="AO30" s="156">
        <f t="shared" si="0"/>
        <v>33.792000000000002</v>
      </c>
      <c r="AP30" s="156">
        <f t="shared" si="1"/>
        <v>33.792000000000002</v>
      </c>
      <c r="AQ30" s="156">
        <f>IF(ISBLANK($A30),,ROUNDDOWN(I30*AS6*1.024,))</f>
        <v>125</v>
      </c>
      <c r="AR30" s="156">
        <f>IF(ISBLANK($A30),,ROUNDDOWN(L30*AS6*1.024,))</f>
        <v>0</v>
      </c>
      <c r="AS30" s="156">
        <f>IF(ISBLANK($A30),,ROUNDDOWN(N30*AS6*1.024,))</f>
        <v>0</v>
      </c>
      <c r="AT30" s="156">
        <f>IF(ISBLANK($A30),,ROUNDDOWN(P30*AS6*1.024,))</f>
        <v>0</v>
      </c>
      <c r="AU30" s="156">
        <f>IF(ISBLANK($A30),,ROUNDDOWN(R30*AS6*1.024,))</f>
        <v>0</v>
      </c>
      <c r="AV30" s="156">
        <f t="shared" si="2"/>
        <v>0</v>
      </c>
      <c r="AW30" s="156">
        <f>IF(ISBLANK($A30),,ROUNDDOWN(V30*AS6*1.024,))</f>
        <v>0</v>
      </c>
      <c r="AX30" s="156">
        <f>IF(ISBLANK($A30),,ROUNDDOWN(X30*AS6*1.024,))</f>
        <v>0</v>
      </c>
    </row>
    <row r="31" spans="1:50">
      <c r="A31" s="156" t="s">
        <v>488</v>
      </c>
      <c r="B31" s="152"/>
      <c r="C31" s="11" t="s">
        <v>333</v>
      </c>
      <c r="D31" s="11" t="s">
        <v>362</v>
      </c>
      <c r="E31" s="156" t="s">
        <v>75</v>
      </c>
      <c r="F31" s="152">
        <v>4</v>
      </c>
      <c r="G31" s="152">
        <v>4</v>
      </c>
      <c r="H31" s="152">
        <v>0</v>
      </c>
      <c r="I31" s="152">
        <v>100</v>
      </c>
      <c r="J31" s="154">
        <f t="shared" si="3"/>
        <v>4</v>
      </c>
      <c r="K31" s="152" t="s">
        <v>335</v>
      </c>
      <c r="L31" s="152"/>
      <c r="M31" s="152"/>
      <c r="N31" s="152"/>
      <c r="O31" s="152"/>
      <c r="P31" s="152"/>
      <c r="Q31" s="152"/>
      <c r="R31" s="152"/>
      <c r="S31" s="152"/>
      <c r="T31" s="152"/>
      <c r="U31" s="152"/>
      <c r="V31" s="152"/>
      <c r="W31" s="152"/>
      <c r="X31" s="152"/>
      <c r="Y31" s="152"/>
      <c r="Z31" s="152"/>
      <c r="AA31" s="152"/>
      <c r="AB31" s="152"/>
      <c r="AC31" s="152"/>
      <c r="AD31" s="152"/>
      <c r="AE31" s="152"/>
      <c r="AF31" s="179"/>
      <c r="AG31" s="179"/>
      <c r="AH31" s="152"/>
      <c r="AI31" s="152"/>
      <c r="AJ31" s="152" t="s">
        <v>328</v>
      </c>
      <c r="AK31" s="152" t="s">
        <v>329</v>
      </c>
      <c r="AL31" s="152"/>
      <c r="AM31" s="156"/>
      <c r="AN31" s="156"/>
      <c r="AO31" s="156">
        <f t="shared" si="0"/>
        <v>4.0960000000000001</v>
      </c>
      <c r="AP31" s="156">
        <f t="shared" si="1"/>
        <v>0</v>
      </c>
      <c r="AQ31" s="156">
        <f>IF(ISBLANK($A31),,ROUNDDOWN(I31*AS6*1.024,))</f>
        <v>92</v>
      </c>
      <c r="AR31" s="156">
        <f>IF(ISBLANK($A31),,ROUNDDOWN(L31*AS6*1.024,))</f>
        <v>0</v>
      </c>
      <c r="AS31" s="156">
        <f>IF(ISBLANK($A31),,ROUNDDOWN(N31*AS6*1.024,))</f>
        <v>0</v>
      </c>
      <c r="AT31" s="156">
        <f>IF(ISBLANK($A31),,ROUNDDOWN(P31*AS6*1.024,))</f>
        <v>0</v>
      </c>
      <c r="AU31" s="156">
        <f>IF(ISBLANK($A31),,ROUNDDOWN(R31*AS6*1.024,))</f>
        <v>0</v>
      </c>
      <c r="AV31" s="156">
        <f t="shared" si="2"/>
        <v>0</v>
      </c>
      <c r="AW31" s="156">
        <f>IF(ISBLANK($A31),,ROUNDDOWN(V31*AS6*1.024,))</f>
        <v>0</v>
      </c>
      <c r="AX31" s="156">
        <f>IF(ISBLANK($A31),,ROUNDDOWN(X31*AS6*1.024,))</f>
        <v>0</v>
      </c>
    </row>
    <row r="32" spans="1:50">
      <c r="A32" s="156" t="s">
        <v>489</v>
      </c>
      <c r="B32" s="152"/>
      <c r="C32" s="11" t="s">
        <v>333</v>
      </c>
      <c r="D32" s="11" t="s">
        <v>362</v>
      </c>
      <c r="E32" s="156" t="s">
        <v>79</v>
      </c>
      <c r="F32" s="152">
        <v>4</v>
      </c>
      <c r="G32" s="152">
        <v>16</v>
      </c>
      <c r="H32" s="152">
        <v>0</v>
      </c>
      <c r="I32" s="152">
        <v>110</v>
      </c>
      <c r="J32" s="154">
        <f t="shared" si="3"/>
        <v>16</v>
      </c>
      <c r="K32" s="152" t="s">
        <v>337</v>
      </c>
      <c r="L32" s="152"/>
      <c r="M32" s="152"/>
      <c r="N32" s="152"/>
      <c r="O32" s="152"/>
      <c r="P32" s="152"/>
      <c r="Q32" s="152"/>
      <c r="R32" s="152"/>
      <c r="S32" s="152"/>
      <c r="T32" s="152"/>
      <c r="U32" s="152"/>
      <c r="V32" s="152"/>
      <c r="W32" s="152"/>
      <c r="X32" s="152"/>
      <c r="Y32" s="152"/>
      <c r="Z32" s="152"/>
      <c r="AA32" s="152"/>
      <c r="AB32" s="152"/>
      <c r="AC32" s="152"/>
      <c r="AD32" s="152"/>
      <c r="AE32" s="152"/>
      <c r="AF32" s="179"/>
      <c r="AG32" s="179"/>
      <c r="AH32" s="152"/>
      <c r="AI32" s="152"/>
      <c r="AJ32" s="152" t="s">
        <v>328</v>
      </c>
      <c r="AK32" s="152" t="s">
        <v>329</v>
      </c>
      <c r="AL32" s="152"/>
      <c r="AM32" s="156"/>
      <c r="AN32" s="156"/>
      <c r="AO32" s="156">
        <f t="shared" si="0"/>
        <v>16.384</v>
      </c>
      <c r="AP32" s="156">
        <f t="shared" si="1"/>
        <v>0</v>
      </c>
      <c r="AQ32" s="156">
        <f>IF(ISBLANK($A32),,ROUNDDOWN(I32*AS6*1.024,))</f>
        <v>101</v>
      </c>
      <c r="AR32" s="156">
        <f>IF(ISBLANK($A32),,ROUNDDOWN(L32*AS6*1.024,))</f>
        <v>0</v>
      </c>
      <c r="AS32" s="156">
        <f>IF(ISBLANK($A32),,ROUNDDOWN(N32*AS6*1.024,))</f>
        <v>0</v>
      </c>
      <c r="AT32" s="156">
        <f>IF(ISBLANK($A32),,ROUNDDOWN(P32*AS6*1.024,))</f>
        <v>0</v>
      </c>
      <c r="AU32" s="156">
        <f>IF(ISBLANK($A32),,ROUNDDOWN(R32*AS6*1.024,))</f>
        <v>0</v>
      </c>
      <c r="AV32" s="156">
        <f t="shared" si="2"/>
        <v>0</v>
      </c>
      <c r="AW32" s="156">
        <f>IF(ISBLANK($A32),,ROUNDDOWN(V32*AS6*1.024,))</f>
        <v>0</v>
      </c>
      <c r="AX32" s="156">
        <f>IF(ISBLANK($A32),,ROUNDDOWN(X32*AS6*1.024,))</f>
        <v>0</v>
      </c>
    </row>
    <row r="33" spans="1:50">
      <c r="A33" s="156" t="s">
        <v>364</v>
      </c>
      <c r="B33" s="152"/>
      <c r="C33" s="11" t="s">
        <v>333</v>
      </c>
      <c r="D33" s="11" t="s">
        <v>362</v>
      </c>
      <c r="E33" s="156" t="s">
        <v>77</v>
      </c>
      <c r="F33" s="152">
        <v>4</v>
      </c>
      <c r="G33" s="152">
        <v>14</v>
      </c>
      <c r="H33" s="152">
        <v>0</v>
      </c>
      <c r="I33" s="152">
        <v>100</v>
      </c>
      <c r="J33" s="154">
        <f t="shared" si="3"/>
        <v>14</v>
      </c>
      <c r="K33" s="152" t="s">
        <v>337</v>
      </c>
      <c r="L33" s="152"/>
      <c r="M33" s="152"/>
      <c r="N33" s="152"/>
      <c r="O33" s="152"/>
      <c r="P33" s="152"/>
      <c r="Q33" s="152"/>
      <c r="R33" s="152"/>
      <c r="S33" s="152"/>
      <c r="T33" s="152"/>
      <c r="U33" s="152"/>
      <c r="V33" s="152"/>
      <c r="W33" s="152"/>
      <c r="X33" s="152"/>
      <c r="Y33" s="152"/>
      <c r="Z33" s="152"/>
      <c r="AA33" s="152"/>
      <c r="AB33" s="152"/>
      <c r="AC33" s="152"/>
      <c r="AD33" s="152"/>
      <c r="AE33" s="152"/>
      <c r="AF33" s="179"/>
      <c r="AG33" s="179"/>
      <c r="AH33" s="152"/>
      <c r="AI33" s="152"/>
      <c r="AJ33" s="152" t="s">
        <v>328</v>
      </c>
      <c r="AK33" s="152" t="s">
        <v>329</v>
      </c>
      <c r="AL33" s="152"/>
      <c r="AM33" s="156"/>
      <c r="AN33" s="156"/>
      <c r="AO33" s="156">
        <f t="shared" si="0"/>
        <v>14.336</v>
      </c>
      <c r="AP33" s="156">
        <f t="shared" si="1"/>
        <v>0</v>
      </c>
      <c r="AQ33" s="156">
        <f>IF(ISBLANK($A33),,ROUNDDOWN(I33*AS6*1.024,))</f>
        <v>92</v>
      </c>
      <c r="AR33" s="156">
        <f>IF(ISBLANK($A33),,ROUNDDOWN(L33*AS6*1.024,))</f>
        <v>0</v>
      </c>
      <c r="AS33" s="156">
        <f>IF(ISBLANK($A33),,ROUNDDOWN(N33*AS6*1.024,))</f>
        <v>0</v>
      </c>
      <c r="AT33" s="156">
        <f>IF(ISBLANK($A33),,ROUNDDOWN(P33*AS6*1.024,))</f>
        <v>0</v>
      </c>
      <c r="AU33" s="156">
        <f>IF(ISBLANK($A33),,ROUNDDOWN(R33*AS6*1.024,))</f>
        <v>0</v>
      </c>
      <c r="AV33" s="156">
        <f t="shared" si="2"/>
        <v>0</v>
      </c>
      <c r="AW33" s="156">
        <f>IF(ISBLANK($A33),,ROUNDDOWN(V33*AS6*1.024,))</f>
        <v>0</v>
      </c>
      <c r="AX33" s="156">
        <f>IF(ISBLANK($A33),,ROUNDDOWN(X33*AS6*1.024,))</f>
        <v>0</v>
      </c>
    </row>
    <row r="34" spans="1:50">
      <c r="A34" s="156" t="s">
        <v>365</v>
      </c>
      <c r="B34" s="152"/>
      <c r="C34" s="11" t="s">
        <v>333</v>
      </c>
      <c r="D34" s="156" t="s">
        <v>453</v>
      </c>
      <c r="E34" s="156" t="s">
        <v>81</v>
      </c>
      <c r="F34" s="152">
        <v>9</v>
      </c>
      <c r="G34" s="152">
        <v>12</v>
      </c>
      <c r="H34" s="152">
        <v>0</v>
      </c>
      <c r="I34" s="152">
        <v>56</v>
      </c>
      <c r="J34" s="154">
        <f t="shared" si="3"/>
        <v>12</v>
      </c>
      <c r="K34" s="152" t="s">
        <v>343</v>
      </c>
      <c r="L34" s="152"/>
      <c r="M34" s="152"/>
      <c r="N34" s="152"/>
      <c r="O34" s="152"/>
      <c r="P34" s="152"/>
      <c r="Q34" s="152"/>
      <c r="R34" s="152"/>
      <c r="S34" s="152"/>
      <c r="T34" s="152"/>
      <c r="U34" s="152"/>
      <c r="V34" s="152"/>
      <c r="W34" s="152"/>
      <c r="X34" s="152"/>
      <c r="Y34" s="152"/>
      <c r="Z34" s="152">
        <v>50</v>
      </c>
      <c r="AA34" s="152" t="s">
        <v>366</v>
      </c>
      <c r="AB34" s="152"/>
      <c r="AC34" s="152"/>
      <c r="AD34" s="152"/>
      <c r="AE34" s="152"/>
      <c r="AF34" s="179"/>
      <c r="AG34" s="179"/>
      <c r="AH34" s="152"/>
      <c r="AI34" s="152"/>
      <c r="AJ34" s="152" t="s">
        <v>328</v>
      </c>
      <c r="AK34" s="152" t="s">
        <v>329</v>
      </c>
      <c r="AL34" s="152"/>
      <c r="AM34" s="156"/>
      <c r="AN34" s="156"/>
      <c r="AO34" s="156">
        <f t="shared" si="0"/>
        <v>12.288</v>
      </c>
      <c r="AP34" s="156">
        <f t="shared" si="1"/>
        <v>0</v>
      </c>
      <c r="AQ34" s="156">
        <f>IF(ISBLANK($A34),,ROUNDDOWN(I34*AS6*1.024,))</f>
        <v>51</v>
      </c>
      <c r="AR34" s="156">
        <f>IF(ISBLANK($A34),,ROUNDDOWN(L34*AS6*1.024,))</f>
        <v>0</v>
      </c>
      <c r="AS34" s="156">
        <f>IF(ISBLANK($A34),,ROUNDDOWN(N34*AS6*1.024,))</f>
        <v>0</v>
      </c>
      <c r="AT34" s="156">
        <f>IF(ISBLANK($A34),,ROUNDDOWN(P34*AS6*1.024,))</f>
        <v>0</v>
      </c>
      <c r="AU34" s="156">
        <f>IF(ISBLANK($A34),,ROUNDDOWN(R34*AS6*1.024,))</f>
        <v>0</v>
      </c>
      <c r="AV34" s="156">
        <f t="shared" si="2"/>
        <v>0</v>
      </c>
      <c r="AW34" s="156">
        <f>IF(ISBLANK($A34),,ROUNDDOWN(V34*AS6*1.024,))</f>
        <v>0</v>
      </c>
      <c r="AX34" s="156">
        <f>IF(ISBLANK($A34),,ROUNDDOWN(X34*AS6*1.024,))</f>
        <v>0</v>
      </c>
    </row>
    <row r="35" spans="1:50">
      <c r="A35" s="156" t="s">
        <v>367</v>
      </c>
      <c r="B35" s="152"/>
      <c r="C35" s="11" t="s">
        <v>333</v>
      </c>
      <c r="D35" s="156" t="s">
        <v>453</v>
      </c>
      <c r="E35" s="156" t="s">
        <v>81</v>
      </c>
      <c r="F35" s="152">
        <v>9</v>
      </c>
      <c r="G35" s="152">
        <v>12</v>
      </c>
      <c r="H35" s="152">
        <v>0</v>
      </c>
      <c r="I35" s="152">
        <v>56</v>
      </c>
      <c r="J35" s="154">
        <f t="shared" si="3"/>
        <v>12</v>
      </c>
      <c r="K35" s="152" t="s">
        <v>335</v>
      </c>
      <c r="L35" s="152"/>
      <c r="M35" s="152"/>
      <c r="N35" s="152"/>
      <c r="O35" s="152"/>
      <c r="P35" s="152"/>
      <c r="Q35" s="152"/>
      <c r="R35" s="152"/>
      <c r="S35" s="152"/>
      <c r="T35" s="152"/>
      <c r="U35" s="152"/>
      <c r="V35" s="152"/>
      <c r="W35" s="152"/>
      <c r="X35" s="152"/>
      <c r="Y35" s="152"/>
      <c r="Z35" s="152">
        <v>50</v>
      </c>
      <c r="AA35" s="152" t="s">
        <v>366</v>
      </c>
      <c r="AB35" s="152"/>
      <c r="AC35" s="152"/>
      <c r="AD35" s="152"/>
      <c r="AE35" s="152"/>
      <c r="AF35" s="179"/>
      <c r="AG35" s="179"/>
      <c r="AH35" s="152"/>
      <c r="AI35" s="152"/>
      <c r="AJ35" s="152" t="s">
        <v>328</v>
      </c>
      <c r="AK35" s="152" t="s">
        <v>329</v>
      </c>
      <c r="AL35" s="152"/>
      <c r="AM35" s="156"/>
      <c r="AN35" s="156"/>
      <c r="AO35" s="156">
        <f t="shared" si="0"/>
        <v>12.288</v>
      </c>
      <c r="AP35" s="156">
        <f t="shared" si="1"/>
        <v>0</v>
      </c>
      <c r="AQ35" s="156">
        <f>IF(ISBLANK($A35),,ROUNDDOWN(I35*AS6*1.024,))</f>
        <v>51</v>
      </c>
      <c r="AR35" s="156">
        <f>IF(ISBLANK($A35),,ROUNDDOWN(L35*AS6*1.024,))</f>
        <v>0</v>
      </c>
      <c r="AS35" s="156">
        <f>IF(ISBLANK($A35),,ROUNDDOWN(N35*AS6*1.024,))</f>
        <v>0</v>
      </c>
      <c r="AT35" s="156">
        <f>IF(ISBLANK($A35),,ROUNDDOWN(P35*AS6*1.024,))</f>
        <v>0</v>
      </c>
      <c r="AU35" s="156">
        <f>IF(ISBLANK($A35),,ROUNDDOWN(R35*AS6*1.024,))</f>
        <v>0</v>
      </c>
      <c r="AV35" s="156">
        <f t="shared" si="2"/>
        <v>0</v>
      </c>
      <c r="AW35" s="156">
        <f>IF(ISBLANK($A35),,ROUNDDOWN(V35*AS6*1.024,))</f>
        <v>0</v>
      </c>
      <c r="AX35" s="156">
        <f>IF(ISBLANK($A35),,ROUNDDOWN(X35*AS6*1.024,))</f>
        <v>0</v>
      </c>
    </row>
    <row r="36" spans="1:50">
      <c r="A36" s="156" t="s">
        <v>368</v>
      </c>
      <c r="B36" s="152"/>
      <c r="C36" s="11" t="s">
        <v>333</v>
      </c>
      <c r="D36" s="156" t="s">
        <v>453</v>
      </c>
      <c r="E36" s="156" t="s">
        <v>369</v>
      </c>
      <c r="F36" s="152">
        <v>4</v>
      </c>
      <c r="G36" s="152">
        <v>4</v>
      </c>
      <c r="H36" s="152">
        <v>0</v>
      </c>
      <c r="I36" s="152">
        <v>41</v>
      </c>
      <c r="J36" s="154">
        <f>G36-H36</f>
        <v>4</v>
      </c>
      <c r="K36" s="152" t="s">
        <v>343</v>
      </c>
      <c r="L36" s="152"/>
      <c r="M36" s="152"/>
      <c r="N36" s="152"/>
      <c r="O36" s="152"/>
      <c r="P36" s="152"/>
      <c r="Q36" s="152"/>
      <c r="R36" s="152"/>
      <c r="S36" s="152"/>
      <c r="T36" s="152"/>
      <c r="U36" s="152"/>
      <c r="V36" s="152"/>
      <c r="W36" s="152"/>
      <c r="X36" s="152"/>
      <c r="Y36" s="152"/>
      <c r="Z36" s="152"/>
      <c r="AA36" s="152"/>
      <c r="AB36" s="152"/>
      <c r="AC36" s="152"/>
      <c r="AD36" s="152"/>
      <c r="AE36" s="152"/>
      <c r="AF36" s="179"/>
      <c r="AG36" s="179"/>
      <c r="AH36" s="152"/>
      <c r="AI36" s="152"/>
      <c r="AJ36" s="152" t="s">
        <v>328</v>
      </c>
      <c r="AK36" s="152" t="s">
        <v>329</v>
      </c>
      <c r="AL36" s="152"/>
      <c r="AM36" s="156"/>
      <c r="AN36" s="156"/>
      <c r="AO36" s="156">
        <f t="shared" si="0"/>
        <v>4.0960000000000001</v>
      </c>
      <c r="AP36" s="156">
        <f t="shared" si="1"/>
        <v>0</v>
      </c>
      <c r="AQ36" s="156">
        <f>IF(ISBLANK($A36),,ROUNDDOWN(I36*AS6*1.024,))</f>
        <v>37</v>
      </c>
      <c r="AR36" s="156">
        <f>IF(ISBLANK($A36),,ROUNDDOWN(L36*AS6*1.024,))</f>
        <v>0</v>
      </c>
      <c r="AS36" s="156">
        <f>IF(ISBLANK($A36),,ROUNDDOWN(N36*AS6*1.024,))</f>
        <v>0</v>
      </c>
      <c r="AT36" s="156">
        <f>IF(ISBLANK($A36),,ROUNDDOWN(P36*AS6*1.024,))</f>
        <v>0</v>
      </c>
      <c r="AU36" s="156">
        <f>IF(ISBLANK($A36),,ROUNDDOWN(R36*AS6*1.024,))</f>
        <v>0</v>
      </c>
      <c r="AV36" s="156">
        <f t="shared" si="2"/>
        <v>0</v>
      </c>
      <c r="AW36" s="156">
        <f>IF(ISBLANK($A36),,ROUNDDOWN(V36*AS6*1.024,))</f>
        <v>0</v>
      </c>
      <c r="AX36" s="156">
        <f>IF(ISBLANK($A36),,ROUNDDOWN(X36*AS6*1.024,))</f>
        <v>0</v>
      </c>
    </row>
    <row r="37" spans="1:50">
      <c r="A37" s="156" t="s">
        <v>370</v>
      </c>
      <c r="B37" s="152"/>
      <c r="C37" s="11" t="s">
        <v>333</v>
      </c>
      <c r="D37" s="156" t="s">
        <v>453</v>
      </c>
      <c r="E37" s="156" t="s">
        <v>371</v>
      </c>
      <c r="F37" s="152">
        <v>4</v>
      </c>
      <c r="G37" s="152">
        <v>4</v>
      </c>
      <c r="H37" s="152">
        <v>0</v>
      </c>
      <c r="I37" s="152">
        <v>41</v>
      </c>
      <c r="J37" s="154">
        <f>G37-H37</f>
        <v>4</v>
      </c>
      <c r="K37" s="152" t="s">
        <v>343</v>
      </c>
      <c r="L37" s="152"/>
      <c r="M37" s="152"/>
      <c r="N37" s="152"/>
      <c r="O37" s="152"/>
      <c r="P37" s="152"/>
      <c r="Q37" s="152"/>
      <c r="R37" s="152"/>
      <c r="S37" s="152"/>
      <c r="T37" s="152"/>
      <c r="U37" s="152"/>
      <c r="V37" s="152"/>
      <c r="W37" s="152"/>
      <c r="X37" s="152"/>
      <c r="Y37" s="8"/>
      <c r="Z37" s="8"/>
      <c r="AA37" s="8"/>
      <c r="AB37" s="8"/>
      <c r="AC37" s="8"/>
      <c r="AD37" s="8"/>
      <c r="AE37" s="8"/>
      <c r="AF37" s="8"/>
      <c r="AG37" s="8"/>
      <c r="AH37" s="8"/>
      <c r="AI37" s="8"/>
      <c r="AJ37" s="8" t="s">
        <v>328</v>
      </c>
      <c r="AK37" s="8" t="s">
        <v>329</v>
      </c>
      <c r="AL37" s="8"/>
      <c r="AM37" s="13"/>
      <c r="AN37" s="13"/>
      <c r="AO37" s="13">
        <f t="shared" si="0"/>
        <v>4.0960000000000001</v>
      </c>
      <c r="AP37" s="13">
        <f t="shared" si="1"/>
        <v>0</v>
      </c>
      <c r="AQ37" s="13">
        <f>IF(ISBLANK($A37),,ROUNDDOWN(I37*AS8*1.024,))</f>
        <v>0</v>
      </c>
      <c r="AR37" s="13">
        <f>IF(ISBLANK($A37),,ROUNDDOWN(L37*AS8*1.024,))</f>
        <v>0</v>
      </c>
      <c r="AS37" s="13">
        <f>IF(ISBLANK($A37),,ROUNDDOWN(N37*AS8*1.024,))</f>
        <v>0</v>
      </c>
      <c r="AT37" s="13">
        <f>IF(ISBLANK($A37),,ROUNDDOWN(P37*AS8*1.024,))</f>
        <v>0</v>
      </c>
      <c r="AU37" s="13">
        <f>IF(ISBLANK($A37),,ROUNDDOWN(R37*AS8*1.024,))</f>
        <v>0</v>
      </c>
      <c r="AV37" s="13">
        <f t="shared" si="2"/>
        <v>0</v>
      </c>
      <c r="AW37" s="13">
        <f>IF(ISBLANK($A37),,ROUNDDOWN(V37*AS8*1.024,))</f>
        <v>0</v>
      </c>
      <c r="AX37" s="13">
        <f>IF(ISBLANK($A37),,ROUNDDOWN(X37*AS8*1.024,))</f>
        <v>0</v>
      </c>
    </row>
    <row r="38" spans="1:50">
      <c r="A38" s="10"/>
      <c r="B38" s="10"/>
      <c r="C38" s="10"/>
      <c r="D38" s="10"/>
      <c r="E38" s="10"/>
      <c r="F38" s="9">
        <f>SUM(F8:F37)</f>
        <v>161</v>
      </c>
      <c r="G38" s="9">
        <f>SUM(G8:G37)</f>
        <v>393</v>
      </c>
      <c r="H38" s="9">
        <f>SUM(H8:H37)</f>
        <v>202.75</v>
      </c>
      <c r="I38" s="9">
        <f>SUM(I8:I37)</f>
        <v>2795</v>
      </c>
      <c r="J38" s="9"/>
      <c r="K38" s="9"/>
      <c r="L38" s="9">
        <f>SUM(L8:L37)</f>
        <v>66</v>
      </c>
      <c r="M38" s="9"/>
      <c r="N38" s="9">
        <f>SUM(N8:N37)</f>
        <v>1500</v>
      </c>
      <c r="O38" s="9"/>
      <c r="P38" s="9">
        <f>SUM(P8:P37)</f>
        <v>2250</v>
      </c>
      <c r="Q38" s="9"/>
      <c r="R38" s="9">
        <f>SUM(R8:R37)</f>
        <v>360</v>
      </c>
      <c r="S38" s="9"/>
      <c r="T38" s="9">
        <f>SUM(T8:T37)</f>
        <v>300</v>
      </c>
      <c r="U38" s="9"/>
      <c r="V38" s="9">
        <f>SUM(V8:V37)</f>
        <v>0</v>
      </c>
      <c r="W38" s="9"/>
      <c r="X38" s="9">
        <f>SUM(X8:X37)</f>
        <v>6855</v>
      </c>
      <c r="Y38" s="156"/>
      <c r="Z38" s="9">
        <f>SUM(Z8:Z37)</f>
        <v>100</v>
      </c>
      <c r="AA38" s="156"/>
      <c r="AB38" s="9">
        <f>SUM(AB8:AB37)</f>
        <v>50</v>
      </c>
      <c r="AC38" s="156"/>
      <c r="AD38" s="9">
        <f>SUM(AD8:AD37)</f>
        <v>170</v>
      </c>
      <c r="AE38" s="156"/>
      <c r="AF38" s="9">
        <f>SUM(AF8:AF37)</f>
        <v>0</v>
      </c>
      <c r="AH38" s="9">
        <f>SUM(AH8:AH37)</f>
        <v>2500</v>
      </c>
      <c r="AI38" s="156"/>
      <c r="AJ38" s="156"/>
      <c r="AK38" s="152" t="s">
        <v>490</v>
      </c>
      <c r="AL38" s="152">
        <v>2</v>
      </c>
      <c r="AM38" s="156"/>
      <c r="AN38" s="156"/>
      <c r="AO38" s="156"/>
      <c r="AP38" s="156"/>
      <c r="AQ38" s="156"/>
      <c r="AR38" s="156"/>
      <c r="AS38" s="156"/>
      <c r="AT38" s="156"/>
      <c r="AU38" s="156"/>
      <c r="AV38" s="156"/>
      <c r="AW38" s="156"/>
      <c r="AX38" s="156"/>
    </row>
    <row r="40" spans="1:50">
      <c r="A40" s="156"/>
      <c r="B40" s="156"/>
      <c r="C40" s="156"/>
      <c r="D40" s="156"/>
      <c r="E40" s="156"/>
      <c r="F40" s="152"/>
      <c r="G40" s="152"/>
      <c r="H40" s="152"/>
      <c r="I40" s="152"/>
      <c r="J40" s="152"/>
      <c r="K40" s="152"/>
      <c r="L40" s="152"/>
      <c r="M40" s="152"/>
      <c r="N40" s="152"/>
      <c r="O40" s="152"/>
      <c r="P40" s="152"/>
      <c r="Q40" s="152"/>
      <c r="R40" s="152"/>
      <c r="S40" s="152"/>
      <c r="T40" s="152"/>
      <c r="U40" s="152"/>
      <c r="V40" s="152"/>
      <c r="W40" s="152"/>
      <c r="X40" s="152"/>
      <c r="Y40" s="156"/>
      <c r="Z40" s="156"/>
      <c r="AA40" s="156"/>
      <c r="AB40" s="156"/>
      <c r="AC40" s="156"/>
      <c r="AD40" s="156"/>
      <c r="AE40" s="156"/>
      <c r="AH40" s="156"/>
      <c r="AI40" s="156"/>
      <c r="AJ40" s="156"/>
      <c r="AK40" s="156"/>
      <c r="AL40" s="156"/>
      <c r="AM40" s="156"/>
      <c r="AN40" s="156"/>
      <c r="AO40" s="156"/>
      <c r="AP40" s="156"/>
      <c r="AQ40" s="156"/>
      <c r="AR40" s="156"/>
      <c r="AS40" s="156"/>
      <c r="AT40" s="156"/>
      <c r="AU40" s="156"/>
      <c r="AV40" s="156"/>
      <c r="AW40" s="156"/>
      <c r="AX40" s="156"/>
    </row>
    <row r="41" spans="1:50">
      <c r="A41" s="224" t="s">
        <v>373</v>
      </c>
      <c r="B41" s="224"/>
      <c r="C41" s="224"/>
      <c r="D41" s="224"/>
      <c r="E41" s="15" t="s">
        <v>491</v>
      </c>
      <c r="F41" s="151">
        <f>72-1</f>
        <v>71</v>
      </c>
      <c r="G41" s="151">
        <f>6*(96-8)</f>
        <v>528</v>
      </c>
      <c r="H41" s="222" t="s">
        <v>652</v>
      </c>
      <c r="I41" s="222"/>
      <c r="J41" s="222"/>
      <c r="K41" s="222"/>
      <c r="L41" s="222"/>
      <c r="M41" s="222"/>
      <c r="N41" s="222"/>
      <c r="O41" s="222"/>
      <c r="P41" s="223"/>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row>
    <row r="42" spans="1:50">
      <c r="A42" s="224"/>
      <c r="B42" s="224"/>
      <c r="C42" s="224"/>
      <c r="D42" s="224"/>
      <c r="E42" s="15" t="s">
        <v>492</v>
      </c>
      <c r="F42" s="151">
        <f>96-1</f>
        <v>95</v>
      </c>
      <c r="G42" s="151">
        <f>6*(128-8)</f>
        <v>720</v>
      </c>
      <c r="H42" s="222"/>
      <c r="I42" s="222"/>
      <c r="J42" s="222"/>
      <c r="K42" s="222"/>
      <c r="L42" s="222"/>
      <c r="M42" s="222"/>
      <c r="N42" s="222"/>
      <c r="O42" s="222"/>
      <c r="P42" s="223"/>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row>
    <row r="43" spans="1:50" ht="32.1" customHeight="1">
      <c r="A43" s="151"/>
      <c r="B43" s="151"/>
      <c r="C43" s="151"/>
      <c r="D43" s="151"/>
      <c r="E43" s="15" t="s">
        <v>493</v>
      </c>
      <c r="F43" s="151">
        <f>128-1</f>
        <v>127</v>
      </c>
      <c r="G43" s="151">
        <f>4*(384-8)</f>
        <v>1504</v>
      </c>
      <c r="H43" s="223"/>
      <c r="I43" s="223"/>
      <c r="J43" s="223"/>
      <c r="K43" s="223"/>
      <c r="L43" s="223"/>
      <c r="M43" s="223"/>
      <c r="N43" s="223"/>
      <c r="O43" s="223"/>
      <c r="P43" s="223"/>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row>
    <row r="44" spans="1:50">
      <c r="A44" s="156"/>
      <c r="B44" s="156"/>
      <c r="C44" s="156"/>
      <c r="D44" s="156"/>
      <c r="E44" s="156"/>
      <c r="F44" s="152"/>
      <c r="G44" s="152"/>
      <c r="H44" s="152"/>
      <c r="I44" s="152"/>
      <c r="J44" s="152"/>
      <c r="K44" s="152"/>
      <c r="L44" s="152"/>
      <c r="M44" s="152"/>
      <c r="N44" s="152"/>
      <c r="O44" s="152"/>
      <c r="P44" s="152"/>
      <c r="Q44" s="152"/>
      <c r="R44" s="152"/>
      <c r="S44" s="152"/>
      <c r="T44" s="152"/>
      <c r="U44" s="152"/>
      <c r="V44" s="152"/>
      <c r="W44" s="152"/>
      <c r="X44" s="152"/>
      <c r="Y44" s="156"/>
      <c r="Z44" s="156"/>
      <c r="AA44" s="156"/>
      <c r="AB44" s="156"/>
      <c r="AC44" s="156"/>
      <c r="AD44" s="156"/>
      <c r="AE44" s="156"/>
      <c r="AH44" s="156"/>
      <c r="AI44" s="156"/>
      <c r="AJ44" s="156"/>
      <c r="AK44" s="156"/>
      <c r="AL44" s="156"/>
      <c r="AM44" s="156"/>
      <c r="AN44" s="156"/>
      <c r="AO44" s="156"/>
      <c r="AP44" s="156"/>
      <c r="AQ44" s="156"/>
      <c r="AR44" s="156"/>
      <c r="AS44" s="156"/>
      <c r="AT44" s="156"/>
      <c r="AU44" s="156"/>
      <c r="AV44" s="156"/>
      <c r="AW44" s="156"/>
      <c r="AX44" s="156"/>
    </row>
    <row r="45" spans="1:50" s="156" customFormat="1" ht="15">
      <c r="A45" s="227" t="s">
        <v>717</v>
      </c>
      <c r="B45" s="228"/>
      <c r="C45" s="228"/>
      <c r="D45" s="228"/>
      <c r="E45" s="199">
        <v>1</v>
      </c>
      <c r="F45" s="184"/>
      <c r="G45" s="184"/>
      <c r="H45" s="184"/>
      <c r="I45" s="184"/>
      <c r="J45" s="184"/>
      <c r="K45" s="184"/>
      <c r="L45" s="184"/>
      <c r="M45" s="184"/>
      <c r="N45" s="184"/>
      <c r="O45" s="184"/>
      <c r="P45" s="184"/>
      <c r="Q45" s="184"/>
      <c r="R45" s="184"/>
      <c r="S45" s="184"/>
      <c r="T45" s="184"/>
      <c r="U45" s="184"/>
      <c r="V45" s="184"/>
      <c r="W45" s="184"/>
      <c r="X45" s="184"/>
    </row>
    <row r="46" spans="1:50" s="156" customFormat="1">
      <c r="F46" s="184"/>
      <c r="G46" s="184"/>
      <c r="H46" s="184"/>
      <c r="I46" s="184"/>
      <c r="J46" s="184"/>
      <c r="K46" s="184"/>
      <c r="L46" s="184"/>
      <c r="M46" s="184"/>
      <c r="N46" s="184"/>
      <c r="O46" s="184"/>
      <c r="P46" s="184"/>
      <c r="Q46" s="184"/>
      <c r="R46" s="184"/>
      <c r="S46" s="184"/>
      <c r="T46" s="184"/>
      <c r="U46" s="184"/>
      <c r="V46" s="184"/>
      <c r="W46" s="184"/>
      <c r="X46" s="184"/>
    </row>
    <row r="47" spans="1:50">
      <c r="A47" s="7" t="s">
        <v>380</v>
      </c>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c r="AD47" s="156"/>
      <c r="AE47" s="156"/>
      <c r="AH47" s="156"/>
      <c r="AI47" s="156"/>
      <c r="AJ47" s="156"/>
      <c r="AK47" s="156"/>
      <c r="AL47" s="156"/>
      <c r="AM47" s="156"/>
      <c r="AN47" s="156"/>
      <c r="AO47" s="156"/>
      <c r="AP47" s="156"/>
      <c r="AQ47" s="156"/>
      <c r="AR47" s="156"/>
      <c r="AS47" s="156"/>
      <c r="AT47" s="156"/>
      <c r="AU47" s="156"/>
      <c r="AV47" s="156"/>
      <c r="AW47" s="156"/>
      <c r="AX47" s="156"/>
    </row>
    <row r="48" spans="1:50">
      <c r="A48" s="156" t="s">
        <v>381</v>
      </c>
      <c r="B48" s="156"/>
      <c r="C48" s="156" t="s">
        <v>333</v>
      </c>
      <c r="D48" s="156" t="s">
        <v>453</v>
      </c>
      <c r="E48" s="156" t="s">
        <v>10</v>
      </c>
      <c r="F48" s="152">
        <v>8</v>
      </c>
      <c r="G48" s="152">
        <v>32</v>
      </c>
      <c r="H48" s="152">
        <v>0</v>
      </c>
      <c r="I48" s="152">
        <v>71</v>
      </c>
      <c r="J48" s="154">
        <f t="shared" ref="J48:J69" si="4">G48-H48</f>
        <v>32</v>
      </c>
      <c r="K48" s="152"/>
      <c r="L48" s="152"/>
      <c r="M48" s="152"/>
      <c r="N48" s="152"/>
      <c r="O48" s="152"/>
      <c r="P48" s="152"/>
      <c r="Q48" s="152"/>
      <c r="R48" s="152"/>
      <c r="S48" s="152"/>
      <c r="T48" s="152"/>
      <c r="U48" s="152"/>
      <c r="V48" s="152"/>
      <c r="W48" s="152"/>
      <c r="X48" s="152"/>
      <c r="Y48" s="156"/>
      <c r="Z48" s="156"/>
      <c r="AA48" s="156"/>
      <c r="AB48" s="156"/>
      <c r="AC48" s="156"/>
      <c r="AD48" s="156"/>
      <c r="AE48" s="156"/>
      <c r="AH48" s="156"/>
      <c r="AI48" s="156"/>
      <c r="AJ48" s="152" t="s">
        <v>328</v>
      </c>
      <c r="AK48" s="152" t="s">
        <v>329</v>
      </c>
      <c r="AL48" s="152"/>
      <c r="AM48" s="156"/>
      <c r="AN48" s="156"/>
      <c r="AO48" s="156">
        <f t="shared" ref="AO48:AO66" si="5">IF(ISBLANK($A48),,G48*1.024)</f>
        <v>32.768000000000001</v>
      </c>
      <c r="AP48" s="156">
        <f t="shared" ref="AP48:AP66" si="6">IF(ISBLANK($A48),,H48*1.024)</f>
        <v>0</v>
      </c>
      <c r="AQ48" s="156">
        <f>IF(ISBLANK($A48),,ROUNDDOWN(I48*AS6*1.024,))</f>
        <v>65</v>
      </c>
      <c r="AR48" s="156">
        <f>IF(ISBLANK($A48),,ROUNDDOWN(L48*AS6*1.024,))</f>
        <v>0</v>
      </c>
      <c r="AS48" s="156">
        <f>IF(ISBLANK($A48),,ROUNDDOWN(N48*AS6*1.024,))</f>
        <v>0</v>
      </c>
      <c r="AT48" s="156">
        <f>IF(ISBLANK($A48),,ROUNDDOWN(P48*AS6*1.024,))</f>
        <v>0</v>
      </c>
      <c r="AU48" s="156">
        <f>IF(ISBLANK($A48),,ROUNDDOWN(R48*AS6*1.024,))</f>
        <v>0</v>
      </c>
      <c r="AV48" s="156">
        <f t="shared" ref="AV48:AV68" si="7">IF(ISBLANK($A48),,ROUNDDOWN(T48*AS$6*1.024,))</f>
        <v>0</v>
      </c>
      <c r="AW48" s="156">
        <f>IF(ISBLANK($A48),,ROUNDDOWN(V48*AS6*1.024,))</f>
        <v>0</v>
      </c>
      <c r="AX48" s="156">
        <f>IF(ISBLANK($A48),,ROUNDDOWN(X48*AS6*1.024,))</f>
        <v>0</v>
      </c>
    </row>
    <row r="49" spans="1:50">
      <c r="A49" s="156" t="s">
        <v>382</v>
      </c>
      <c r="B49" s="156"/>
      <c r="C49" s="156" t="s">
        <v>333</v>
      </c>
      <c r="D49" s="11" t="s">
        <v>362</v>
      </c>
      <c r="E49" s="156" t="s">
        <v>75</v>
      </c>
      <c r="F49" s="152">
        <v>4</v>
      </c>
      <c r="G49" s="152">
        <v>4</v>
      </c>
      <c r="H49" s="152">
        <v>0</v>
      </c>
      <c r="I49" s="152">
        <v>100</v>
      </c>
      <c r="J49" s="154">
        <f t="shared" si="4"/>
        <v>4</v>
      </c>
      <c r="K49" s="152"/>
      <c r="L49" s="152"/>
      <c r="M49" s="152"/>
      <c r="N49" s="152"/>
      <c r="O49" s="152"/>
      <c r="P49" s="152"/>
      <c r="Q49" s="152"/>
      <c r="R49" s="152"/>
      <c r="S49" s="152"/>
      <c r="T49" s="152"/>
      <c r="U49" s="152"/>
      <c r="V49" s="152"/>
      <c r="W49" s="152"/>
      <c r="X49" s="152"/>
      <c r="Y49" s="156"/>
      <c r="Z49" s="156"/>
      <c r="AA49" s="156"/>
      <c r="AB49" s="156"/>
      <c r="AC49" s="156"/>
      <c r="AD49" s="156"/>
      <c r="AE49" s="156"/>
      <c r="AH49" s="156"/>
      <c r="AI49" s="156"/>
      <c r="AJ49" s="152" t="s">
        <v>328</v>
      </c>
      <c r="AK49" s="152" t="s">
        <v>329</v>
      </c>
      <c r="AL49" s="152"/>
      <c r="AM49" s="156"/>
      <c r="AN49" s="156"/>
      <c r="AO49" s="156">
        <f t="shared" si="5"/>
        <v>4.0960000000000001</v>
      </c>
      <c r="AP49" s="156">
        <f t="shared" si="6"/>
        <v>0</v>
      </c>
      <c r="AQ49" s="156">
        <f>IF(ISBLANK($A49),,ROUNDDOWN(I49*AS6*1.024,))</f>
        <v>92</v>
      </c>
      <c r="AR49" s="156">
        <f>IF(ISBLANK($A49),,ROUNDDOWN(L49*AS6*1.024,))</f>
        <v>0</v>
      </c>
      <c r="AS49" s="156">
        <f>IF(ISBLANK($A49),,ROUNDDOWN(N49*AS6*1.024,))</f>
        <v>0</v>
      </c>
      <c r="AT49" s="156">
        <f>IF(ISBLANK($A49),,ROUNDDOWN(P49*AS6*1.024,))</f>
        <v>0</v>
      </c>
      <c r="AU49" s="156">
        <f>IF(ISBLANK($A49),,ROUNDDOWN(R49*AS6*1.024,))</f>
        <v>0</v>
      </c>
      <c r="AV49" s="156">
        <f t="shared" si="7"/>
        <v>0</v>
      </c>
      <c r="AW49" s="156">
        <f>IF(ISBLANK($A49),,ROUNDDOWN(V49*AS6*1.024,))</f>
        <v>0</v>
      </c>
      <c r="AX49" s="156">
        <f>IF(ISBLANK($A49),,ROUNDDOWN(X49*AS6*1.024,))</f>
        <v>0</v>
      </c>
    </row>
    <row r="50" spans="1:50">
      <c r="A50" s="156" t="s">
        <v>383</v>
      </c>
      <c r="B50" s="156"/>
      <c r="C50" s="156" t="s">
        <v>333</v>
      </c>
      <c r="D50" s="11" t="s">
        <v>362</v>
      </c>
      <c r="E50" s="156" t="s">
        <v>79</v>
      </c>
      <c r="F50" s="152">
        <v>4</v>
      </c>
      <c r="G50" s="152">
        <v>16</v>
      </c>
      <c r="H50" s="152">
        <v>0</v>
      </c>
      <c r="I50" s="152">
        <v>100</v>
      </c>
      <c r="J50" s="154">
        <f t="shared" si="4"/>
        <v>16</v>
      </c>
      <c r="K50" s="152"/>
      <c r="L50" s="152"/>
      <c r="M50" s="152"/>
      <c r="N50" s="152"/>
      <c r="O50" s="152"/>
      <c r="P50" s="152"/>
      <c r="Q50" s="152"/>
      <c r="R50" s="152"/>
      <c r="S50" s="152"/>
      <c r="T50" s="152"/>
      <c r="U50" s="152"/>
      <c r="V50" s="152"/>
      <c r="W50" s="152"/>
      <c r="X50" s="152"/>
      <c r="Y50" s="156"/>
      <c r="Z50" s="156"/>
      <c r="AA50" s="156"/>
      <c r="AB50" s="156"/>
      <c r="AC50" s="156"/>
      <c r="AD50" s="156"/>
      <c r="AE50" s="156"/>
      <c r="AH50" s="156"/>
      <c r="AI50" s="156"/>
      <c r="AJ50" s="152" t="s">
        <v>328</v>
      </c>
      <c r="AK50" s="152" t="s">
        <v>329</v>
      </c>
      <c r="AL50" s="152"/>
      <c r="AM50" s="156"/>
      <c r="AN50" s="156"/>
      <c r="AO50" s="156">
        <f t="shared" si="5"/>
        <v>16.384</v>
      </c>
      <c r="AP50" s="156">
        <f t="shared" si="6"/>
        <v>0</v>
      </c>
      <c r="AQ50" s="156">
        <f>IF(ISBLANK($A50),,ROUNDDOWN(I50*AS6*1.024,))</f>
        <v>92</v>
      </c>
      <c r="AR50" s="156">
        <f>IF(ISBLANK($A50),,ROUNDDOWN(L50*AS6*1.024,))</f>
        <v>0</v>
      </c>
      <c r="AS50" s="156">
        <f>IF(ISBLANK($A50),,ROUNDDOWN(N50*AS6*1.024,))</f>
        <v>0</v>
      </c>
      <c r="AT50" s="156">
        <f>IF(ISBLANK($A50),,ROUNDDOWN(P50*AS6*1.024,))</f>
        <v>0</v>
      </c>
      <c r="AU50" s="156">
        <f>IF(ISBLANK($A50),,ROUNDDOWN(R50*AS6*1.024,))</f>
        <v>0</v>
      </c>
      <c r="AV50" s="156">
        <f t="shared" si="7"/>
        <v>0</v>
      </c>
      <c r="AW50" s="156">
        <f>IF(ISBLANK($A50),,ROUNDDOWN(V50*AS6*1.024,))</f>
        <v>0</v>
      </c>
      <c r="AX50" s="156">
        <f>IF(ISBLANK($A50),,ROUNDDOWN(X50*AS6*1.024,))</f>
        <v>0</v>
      </c>
    </row>
    <row r="51" spans="1:50">
      <c r="A51" s="156" t="s">
        <v>384</v>
      </c>
      <c r="B51" s="156"/>
      <c r="C51" s="156" t="s">
        <v>333</v>
      </c>
      <c r="D51" s="11" t="s">
        <v>362</v>
      </c>
      <c r="E51" s="156" t="s">
        <v>79</v>
      </c>
      <c r="F51" s="152">
        <v>4</v>
      </c>
      <c r="G51" s="152">
        <v>16</v>
      </c>
      <c r="H51" s="152">
        <v>0</v>
      </c>
      <c r="I51" s="152">
        <v>100</v>
      </c>
      <c r="J51" s="154">
        <f t="shared" si="4"/>
        <v>16</v>
      </c>
      <c r="K51" s="152"/>
      <c r="L51" s="152"/>
      <c r="M51" s="152"/>
      <c r="N51" s="152"/>
      <c r="O51" s="152"/>
      <c r="P51" s="152"/>
      <c r="Q51" s="152"/>
      <c r="R51" s="152"/>
      <c r="S51" s="152"/>
      <c r="T51" s="152"/>
      <c r="U51" s="152"/>
      <c r="V51" s="152"/>
      <c r="W51" s="152"/>
      <c r="X51" s="152"/>
      <c r="Y51" s="156"/>
      <c r="Z51" s="156"/>
      <c r="AA51" s="156"/>
      <c r="AB51" s="156"/>
      <c r="AC51" s="156"/>
      <c r="AD51" s="156"/>
      <c r="AE51" s="156"/>
      <c r="AH51" s="156"/>
      <c r="AI51" s="156"/>
      <c r="AJ51" s="152" t="s">
        <v>328</v>
      </c>
      <c r="AK51" s="152" t="s">
        <v>329</v>
      </c>
      <c r="AL51" s="152"/>
      <c r="AM51" s="156"/>
      <c r="AN51" s="156"/>
      <c r="AO51" s="156">
        <f t="shared" si="5"/>
        <v>16.384</v>
      </c>
      <c r="AP51" s="156">
        <f t="shared" si="6"/>
        <v>0</v>
      </c>
      <c r="AQ51" s="156">
        <f>IF(ISBLANK($A51),,ROUNDDOWN(I51*AS6*1.024,))</f>
        <v>92</v>
      </c>
      <c r="AR51" s="156">
        <f>IF(ISBLANK($A51),,ROUNDDOWN(L51*AS6*1.024,))</f>
        <v>0</v>
      </c>
      <c r="AS51" s="156">
        <f>IF(ISBLANK($A51),,ROUNDDOWN(N51*AS6*1.024,))</f>
        <v>0</v>
      </c>
      <c r="AT51" s="156">
        <f>IF(ISBLANK($A51),,ROUNDDOWN(P51*AS6*1.024,))</f>
        <v>0</v>
      </c>
      <c r="AU51" s="156">
        <f>IF(ISBLANK($A51),,ROUNDDOWN(R51*AS6*1.024,))</f>
        <v>0</v>
      </c>
      <c r="AV51" s="156">
        <f t="shared" si="7"/>
        <v>0</v>
      </c>
      <c r="AW51" s="156">
        <f>IF(ISBLANK($A51),,ROUNDDOWN(V51*AS6*1.024,))</f>
        <v>0</v>
      </c>
      <c r="AX51" s="156">
        <f>IF(ISBLANK($A51),,ROUNDDOWN(X51*AS6*1.024,))</f>
        <v>0</v>
      </c>
    </row>
    <row r="52" spans="1:50">
      <c r="A52" s="156" t="s">
        <v>494</v>
      </c>
      <c r="B52" s="156"/>
      <c r="C52" s="156" t="s">
        <v>333</v>
      </c>
      <c r="D52" s="11" t="s">
        <v>362</v>
      </c>
      <c r="E52" s="156" t="s">
        <v>79</v>
      </c>
      <c r="F52" s="152">
        <v>4</v>
      </c>
      <c r="G52" s="152">
        <v>16</v>
      </c>
      <c r="H52" s="152">
        <v>0</v>
      </c>
      <c r="I52" s="152">
        <v>100</v>
      </c>
      <c r="J52" s="154">
        <f t="shared" si="4"/>
        <v>16</v>
      </c>
      <c r="K52" s="152"/>
      <c r="L52" s="152"/>
      <c r="M52" s="152"/>
      <c r="N52" s="152"/>
      <c r="O52" s="152"/>
      <c r="P52" s="152"/>
      <c r="Q52" s="152"/>
      <c r="R52" s="152"/>
      <c r="S52" s="152"/>
      <c r="T52" s="152"/>
      <c r="U52" s="152"/>
      <c r="V52" s="152"/>
      <c r="W52" s="152"/>
      <c r="X52" s="152"/>
      <c r="Y52" s="156"/>
      <c r="Z52" s="156"/>
      <c r="AA52" s="156"/>
      <c r="AB52" s="156"/>
      <c r="AC52" s="156"/>
      <c r="AD52" s="156"/>
      <c r="AE52" s="156"/>
      <c r="AH52" s="156"/>
      <c r="AI52" s="156"/>
      <c r="AJ52" s="152" t="s">
        <v>328</v>
      </c>
      <c r="AK52" s="152" t="s">
        <v>329</v>
      </c>
      <c r="AL52" s="152"/>
      <c r="AM52" s="156"/>
      <c r="AN52" s="156"/>
      <c r="AO52" s="156">
        <f t="shared" si="5"/>
        <v>16.384</v>
      </c>
      <c r="AP52" s="156">
        <f t="shared" si="6"/>
        <v>0</v>
      </c>
      <c r="AQ52" s="156">
        <f>IF(ISBLANK($A52),,ROUNDDOWN(I52*AS6*1.024,))</f>
        <v>92</v>
      </c>
      <c r="AR52" s="156">
        <f>IF(ISBLANK($A52),,ROUNDDOWN(L52*AS6*1.024,))</f>
        <v>0</v>
      </c>
      <c r="AS52" s="156">
        <f>IF(ISBLANK($A52),,ROUNDDOWN(N52*AS6*1.024,))</f>
        <v>0</v>
      </c>
      <c r="AT52" s="156">
        <f>IF(ISBLANK($A52),,ROUNDDOWN(P52*AS6*1.024,))</f>
        <v>0</v>
      </c>
      <c r="AU52" s="156">
        <f>IF(ISBLANK($A52),,ROUNDDOWN(R52*AS6*1.024,))</f>
        <v>0</v>
      </c>
      <c r="AV52" s="156">
        <f t="shared" si="7"/>
        <v>0</v>
      </c>
      <c r="AW52" s="156">
        <f>IF(ISBLANK($A52),,ROUNDDOWN(V52*AS6*1.024,))</f>
        <v>0</v>
      </c>
      <c r="AX52" s="156">
        <f>IF(ISBLANK($A52),,ROUNDDOWN(X52*AS6*1.024,))</f>
        <v>0</v>
      </c>
    </row>
    <row r="53" spans="1:50">
      <c r="A53" s="156" t="s">
        <v>495</v>
      </c>
      <c r="B53" s="156"/>
      <c r="C53" s="156" t="s">
        <v>333</v>
      </c>
      <c r="D53" s="11" t="s">
        <v>362</v>
      </c>
      <c r="E53" s="156" t="s">
        <v>79</v>
      </c>
      <c r="F53" s="152">
        <v>4</v>
      </c>
      <c r="G53" s="152">
        <v>16</v>
      </c>
      <c r="H53" s="152">
        <v>0</v>
      </c>
      <c r="I53" s="152">
        <v>100</v>
      </c>
      <c r="J53" s="154">
        <f t="shared" si="4"/>
        <v>16</v>
      </c>
      <c r="K53" s="152"/>
      <c r="L53" s="152"/>
      <c r="M53" s="152"/>
      <c r="N53" s="152"/>
      <c r="O53" s="152"/>
      <c r="P53" s="152"/>
      <c r="Q53" s="152"/>
      <c r="R53" s="152"/>
      <c r="S53" s="152"/>
      <c r="T53" s="152"/>
      <c r="U53" s="152"/>
      <c r="V53" s="152"/>
      <c r="W53" s="152"/>
      <c r="X53" s="152"/>
      <c r="Y53" s="156"/>
      <c r="Z53" s="156"/>
      <c r="AA53" s="156"/>
      <c r="AB53" s="156"/>
      <c r="AC53" s="156"/>
      <c r="AD53" s="156"/>
      <c r="AE53" s="156"/>
      <c r="AH53" s="156"/>
      <c r="AI53" s="156"/>
      <c r="AJ53" s="152" t="s">
        <v>328</v>
      </c>
      <c r="AK53" s="152" t="s">
        <v>329</v>
      </c>
      <c r="AL53" s="152"/>
      <c r="AM53" s="156"/>
      <c r="AN53" s="156"/>
      <c r="AO53" s="156">
        <f t="shared" si="5"/>
        <v>16.384</v>
      </c>
      <c r="AP53" s="156">
        <f t="shared" si="6"/>
        <v>0</v>
      </c>
      <c r="AQ53" s="156">
        <f>IF(ISBLANK($A53),,ROUNDDOWN(I53*AS6*1.024,))</f>
        <v>92</v>
      </c>
      <c r="AR53" s="156">
        <f>IF(ISBLANK($A53),,ROUNDDOWN(L53*AS6*1.024,))</f>
        <v>0</v>
      </c>
      <c r="AS53" s="156">
        <f>IF(ISBLANK($A53),,ROUNDDOWN(N53*AS6*1.024,))</f>
        <v>0</v>
      </c>
      <c r="AT53" s="156">
        <f>IF(ISBLANK($A53),,ROUNDDOWN(P53*AS6*1.024,))</f>
        <v>0</v>
      </c>
      <c r="AU53" s="156">
        <f>IF(ISBLANK($A53),,ROUNDDOWN(R53*AS6*1.024,))</f>
        <v>0</v>
      </c>
      <c r="AV53" s="156">
        <f t="shared" si="7"/>
        <v>0</v>
      </c>
      <c r="AW53" s="156">
        <f>IF(ISBLANK($A53),,ROUNDDOWN(V53*AS6*1.024,))</f>
        <v>0</v>
      </c>
      <c r="AX53" s="156">
        <f>IF(ISBLANK($A53),,ROUNDDOWN(X53*AS6*1.024,))</f>
        <v>0</v>
      </c>
    </row>
    <row r="54" spans="1:50">
      <c r="A54" s="156" t="s">
        <v>385</v>
      </c>
      <c r="B54" s="156"/>
      <c r="C54" s="156" t="s">
        <v>333</v>
      </c>
      <c r="D54" s="11" t="s">
        <v>362</v>
      </c>
      <c r="E54" s="156" t="s">
        <v>77</v>
      </c>
      <c r="F54" s="152">
        <v>4</v>
      </c>
      <c r="G54" s="152">
        <v>14</v>
      </c>
      <c r="H54" s="152">
        <v>0</v>
      </c>
      <c r="I54" s="152">
        <v>100</v>
      </c>
      <c r="J54" s="154">
        <f t="shared" si="4"/>
        <v>14</v>
      </c>
      <c r="K54" s="152"/>
      <c r="L54" s="152"/>
      <c r="M54" s="152"/>
      <c r="N54" s="152"/>
      <c r="O54" s="152"/>
      <c r="P54" s="152"/>
      <c r="Q54" s="152"/>
      <c r="R54" s="152"/>
      <c r="S54" s="152"/>
      <c r="T54" s="152"/>
      <c r="U54" s="152"/>
      <c r="V54" s="152"/>
      <c r="W54" s="152"/>
      <c r="X54" s="152"/>
      <c r="Y54" s="156"/>
      <c r="Z54" s="156"/>
      <c r="AA54" s="156"/>
      <c r="AB54" s="156"/>
      <c r="AC54" s="156"/>
      <c r="AD54" s="156"/>
      <c r="AE54" s="156"/>
      <c r="AH54" s="156"/>
      <c r="AI54" s="156"/>
      <c r="AJ54" s="152" t="s">
        <v>328</v>
      </c>
      <c r="AK54" s="152" t="s">
        <v>329</v>
      </c>
      <c r="AL54" s="152"/>
      <c r="AM54" s="156"/>
      <c r="AN54" s="156"/>
      <c r="AO54" s="156">
        <f t="shared" si="5"/>
        <v>14.336</v>
      </c>
      <c r="AP54" s="156">
        <f t="shared" si="6"/>
        <v>0</v>
      </c>
      <c r="AQ54" s="156">
        <f>IF(ISBLANK($A54),,ROUNDDOWN(I54*AS6*1.024,))</f>
        <v>92</v>
      </c>
      <c r="AR54" s="156">
        <f>IF(ISBLANK($A54),,ROUNDDOWN(L54*AS6*1.024,))</f>
        <v>0</v>
      </c>
      <c r="AS54" s="156">
        <f>IF(ISBLANK($A54),,ROUNDDOWN(N54*AS6*1.024,))</f>
        <v>0</v>
      </c>
      <c r="AT54" s="156">
        <f>IF(ISBLANK($A54),,ROUNDDOWN(P54*AS6*1.024,))</f>
        <v>0</v>
      </c>
      <c r="AU54" s="156">
        <f>IF(ISBLANK($A54),,ROUNDDOWN(R54*AS6*1.024,))</f>
        <v>0</v>
      </c>
      <c r="AV54" s="156">
        <f t="shared" si="7"/>
        <v>0</v>
      </c>
      <c r="AW54" s="156">
        <f>IF(ISBLANK($A54),,ROUNDDOWN(V54*AS6*1.024,))</f>
        <v>0</v>
      </c>
      <c r="AX54" s="156">
        <f>IF(ISBLANK($A54),,ROUNDDOWN(X54*AS6*1.024,))</f>
        <v>0</v>
      </c>
    </row>
    <row r="55" spans="1:50">
      <c r="A55" s="156" t="s">
        <v>386</v>
      </c>
      <c r="B55" s="156"/>
      <c r="C55" s="156" t="s">
        <v>333</v>
      </c>
      <c r="D55" s="156" t="s">
        <v>453</v>
      </c>
      <c r="E55" s="156" t="s">
        <v>110</v>
      </c>
      <c r="F55" s="152">
        <v>3</v>
      </c>
      <c r="G55" s="152">
        <v>10</v>
      </c>
      <c r="H55" s="152">
        <v>0</v>
      </c>
      <c r="I55" s="152">
        <v>121</v>
      </c>
      <c r="J55" s="154">
        <f t="shared" si="4"/>
        <v>10</v>
      </c>
      <c r="K55" s="152"/>
      <c r="L55" s="152"/>
      <c r="M55" s="152"/>
      <c r="N55" s="152"/>
      <c r="O55" s="152"/>
      <c r="P55" s="152"/>
      <c r="Q55" s="152"/>
      <c r="R55" s="152"/>
      <c r="S55" s="152"/>
      <c r="T55" s="152"/>
      <c r="U55" s="152"/>
      <c r="V55" s="152"/>
      <c r="W55" s="152"/>
      <c r="X55" s="152"/>
      <c r="Y55" s="156"/>
      <c r="Z55" s="156"/>
      <c r="AA55" s="156"/>
      <c r="AB55" s="156"/>
      <c r="AC55" s="156"/>
      <c r="AD55" s="156"/>
      <c r="AE55" s="156"/>
      <c r="AH55" s="156"/>
      <c r="AI55" s="156"/>
      <c r="AJ55" s="152" t="s">
        <v>328</v>
      </c>
      <c r="AK55" s="152" t="s">
        <v>329</v>
      </c>
      <c r="AL55" s="152"/>
      <c r="AM55" s="156"/>
      <c r="AN55" s="156"/>
      <c r="AO55" s="156">
        <f t="shared" si="5"/>
        <v>10.24</v>
      </c>
      <c r="AP55" s="156">
        <f t="shared" si="6"/>
        <v>0</v>
      </c>
      <c r="AQ55" s="156">
        <f>IF(ISBLANK($A55),,ROUNDDOWN(I55*AS6*1.024,))</f>
        <v>111</v>
      </c>
      <c r="AR55" s="156">
        <f>IF(ISBLANK($A55),,ROUNDDOWN(L55*AS6*1.024,))</f>
        <v>0</v>
      </c>
      <c r="AS55" s="156">
        <f>IF(ISBLANK($A55),,ROUNDDOWN(N55*AS6*1.024,))</f>
        <v>0</v>
      </c>
      <c r="AT55" s="156">
        <f>IF(ISBLANK($A55),,ROUNDDOWN(P55*AS6*1.024,))</f>
        <v>0</v>
      </c>
      <c r="AU55" s="156">
        <f>IF(ISBLANK($A55),,ROUNDDOWN(R55*AS6*1.024,))</f>
        <v>0</v>
      </c>
      <c r="AV55" s="156">
        <f t="shared" si="7"/>
        <v>0</v>
      </c>
      <c r="AW55" s="156">
        <f>IF(ISBLANK($A55),,ROUNDDOWN(V55*AS6*1.024,))</f>
        <v>0</v>
      </c>
      <c r="AX55" s="156">
        <f>IF(ISBLANK($A55),,ROUNDDOWN(X55*AS6*1.024,))</f>
        <v>0</v>
      </c>
    </row>
    <row r="56" spans="1:50">
      <c r="A56" s="156" t="s">
        <v>387</v>
      </c>
      <c r="B56" s="156"/>
      <c r="C56" s="156" t="s">
        <v>333</v>
      </c>
      <c r="D56" s="156" t="s">
        <v>453</v>
      </c>
      <c r="E56" s="156" t="s">
        <v>110</v>
      </c>
      <c r="F56" s="152">
        <v>3</v>
      </c>
      <c r="G56" s="152">
        <v>10</v>
      </c>
      <c r="H56" s="152">
        <v>0</v>
      </c>
      <c r="I56" s="152">
        <v>121</v>
      </c>
      <c r="J56" s="154">
        <f t="shared" si="4"/>
        <v>10</v>
      </c>
      <c r="K56" s="152"/>
      <c r="L56" s="152"/>
      <c r="M56" s="152"/>
      <c r="N56" s="152"/>
      <c r="O56" s="152"/>
      <c r="P56" s="152"/>
      <c r="Q56" s="152"/>
      <c r="R56" s="152"/>
      <c r="S56" s="152"/>
      <c r="T56" s="152"/>
      <c r="U56" s="152"/>
      <c r="V56" s="152"/>
      <c r="W56" s="152"/>
      <c r="X56" s="152"/>
      <c r="Y56" s="156"/>
      <c r="Z56" s="156"/>
      <c r="AA56" s="156"/>
      <c r="AB56" s="156"/>
      <c r="AC56" s="156"/>
      <c r="AD56" s="156"/>
      <c r="AE56" s="156"/>
      <c r="AH56" s="156"/>
      <c r="AI56" s="156"/>
      <c r="AJ56" s="152" t="s">
        <v>328</v>
      </c>
      <c r="AK56" s="152" t="s">
        <v>329</v>
      </c>
      <c r="AL56" s="152"/>
      <c r="AM56" s="156"/>
      <c r="AN56" s="156"/>
      <c r="AO56" s="156">
        <f t="shared" si="5"/>
        <v>10.24</v>
      </c>
      <c r="AP56" s="156">
        <f t="shared" si="6"/>
        <v>0</v>
      </c>
      <c r="AQ56" s="156">
        <f>IF(ISBLANK($A56),,ROUNDDOWN(I56*AS6*1.024,))</f>
        <v>111</v>
      </c>
      <c r="AR56" s="156">
        <f>IF(ISBLANK($A56),,ROUNDDOWN(L56*AS6*1.024,))</f>
        <v>0</v>
      </c>
      <c r="AS56" s="156">
        <f>IF(ISBLANK($A56),,ROUNDDOWN(N56*AS6*1.024,))</f>
        <v>0</v>
      </c>
      <c r="AT56" s="156">
        <f>IF(ISBLANK($A56),,ROUNDDOWN(P56*AS6*1.024,))</f>
        <v>0</v>
      </c>
      <c r="AU56" s="156">
        <f>IF(ISBLANK($A56),,ROUNDDOWN(R56*AS6*1.024,))</f>
        <v>0</v>
      </c>
      <c r="AV56" s="156">
        <f t="shared" si="7"/>
        <v>0</v>
      </c>
      <c r="AW56" s="156">
        <f>IF(ISBLANK($A56),,ROUNDDOWN(V56*AS6*1.024,))</f>
        <v>0</v>
      </c>
      <c r="AX56" s="156">
        <f>IF(ISBLANK($A56),,ROUNDDOWN(X56*AS6*1.024,))</f>
        <v>0</v>
      </c>
    </row>
    <row r="57" spans="1:50">
      <c r="A57" s="156" t="s">
        <v>496</v>
      </c>
      <c r="B57" s="156"/>
      <c r="C57" s="156" t="s">
        <v>333</v>
      </c>
      <c r="D57" s="156" t="s">
        <v>453</v>
      </c>
      <c r="E57" s="156" t="s">
        <v>110</v>
      </c>
      <c r="F57" s="152">
        <v>3</v>
      </c>
      <c r="G57" s="152">
        <v>10</v>
      </c>
      <c r="H57" s="152">
        <v>0</v>
      </c>
      <c r="I57" s="152">
        <v>121</v>
      </c>
      <c r="J57" s="154">
        <f t="shared" si="4"/>
        <v>10</v>
      </c>
      <c r="K57" s="152"/>
      <c r="L57" s="152"/>
      <c r="M57" s="152"/>
      <c r="N57" s="152"/>
      <c r="O57" s="152"/>
      <c r="P57" s="152"/>
      <c r="Q57" s="152"/>
      <c r="R57" s="152"/>
      <c r="S57" s="152"/>
      <c r="T57" s="152"/>
      <c r="U57" s="152"/>
      <c r="V57" s="152"/>
      <c r="W57" s="152"/>
      <c r="X57" s="152"/>
      <c r="Y57" s="156"/>
      <c r="Z57" s="156"/>
      <c r="AA57" s="156"/>
      <c r="AB57" s="156"/>
      <c r="AC57" s="156"/>
      <c r="AD57" s="156"/>
      <c r="AE57" s="156"/>
      <c r="AH57" s="156"/>
      <c r="AI57" s="156"/>
      <c r="AJ57" s="152" t="s">
        <v>328</v>
      </c>
      <c r="AK57" s="152" t="s">
        <v>329</v>
      </c>
      <c r="AL57" s="152"/>
      <c r="AM57" s="156"/>
      <c r="AN57" s="156"/>
      <c r="AO57" s="156">
        <f t="shared" si="5"/>
        <v>10.24</v>
      </c>
      <c r="AP57" s="156">
        <f t="shared" si="6"/>
        <v>0</v>
      </c>
      <c r="AQ57" s="156">
        <f>IF(ISBLANK($A57),,ROUNDDOWN(I57*AS6*1.024,))</f>
        <v>111</v>
      </c>
      <c r="AR57" s="156">
        <f>IF(ISBLANK($A57),,ROUNDDOWN(L57*AS6*1.024,))</f>
        <v>0</v>
      </c>
      <c r="AS57" s="156">
        <f>IF(ISBLANK($A57),,ROUNDDOWN(N57*AS6*1.024,))</f>
        <v>0</v>
      </c>
      <c r="AT57" s="156">
        <f>IF(ISBLANK($A57),,ROUNDDOWN(P57*AS6*1.024,))</f>
        <v>0</v>
      </c>
      <c r="AU57" s="156">
        <f>IF(ISBLANK($A57),,ROUNDDOWN(R57*AS6*1.024,))</f>
        <v>0</v>
      </c>
      <c r="AV57" s="156">
        <f t="shared" si="7"/>
        <v>0</v>
      </c>
      <c r="AW57" s="156">
        <f>IF(ISBLANK($A57),,ROUNDDOWN(V57*AS6*1.024,))</f>
        <v>0</v>
      </c>
      <c r="AX57" s="156">
        <f>IF(ISBLANK($A57),,ROUNDDOWN(X57*AS6*1.024,))</f>
        <v>0</v>
      </c>
    </row>
    <row r="58" spans="1:50">
      <c r="A58" s="156" t="s">
        <v>497</v>
      </c>
      <c r="B58" s="156"/>
      <c r="C58" s="156" t="s">
        <v>333</v>
      </c>
      <c r="D58" s="156" t="s">
        <v>453</v>
      </c>
      <c r="E58" s="156" t="s">
        <v>110</v>
      </c>
      <c r="F58" s="152">
        <v>3</v>
      </c>
      <c r="G58" s="152">
        <v>10</v>
      </c>
      <c r="H58" s="152">
        <v>0</v>
      </c>
      <c r="I58" s="152">
        <v>121</v>
      </c>
      <c r="J58" s="154">
        <f t="shared" si="4"/>
        <v>10</v>
      </c>
      <c r="K58" s="152"/>
      <c r="L58" s="152"/>
      <c r="M58" s="152"/>
      <c r="N58" s="152"/>
      <c r="O58" s="152"/>
      <c r="P58" s="152"/>
      <c r="Q58" s="152"/>
      <c r="R58" s="152"/>
      <c r="S58" s="152"/>
      <c r="T58" s="152"/>
      <c r="U58" s="152"/>
      <c r="V58" s="152"/>
      <c r="W58" s="152"/>
      <c r="X58" s="152"/>
      <c r="Y58" s="156"/>
      <c r="Z58" s="156"/>
      <c r="AA58" s="156"/>
      <c r="AB58" s="156"/>
      <c r="AC58" s="156"/>
      <c r="AD58" s="156"/>
      <c r="AE58" s="156"/>
      <c r="AH58" s="156"/>
      <c r="AI58" s="156"/>
      <c r="AJ58" s="152" t="s">
        <v>328</v>
      </c>
      <c r="AK58" s="152" t="s">
        <v>329</v>
      </c>
      <c r="AL58" s="152"/>
      <c r="AM58" s="156"/>
      <c r="AN58" s="156"/>
      <c r="AO58" s="156">
        <f t="shared" si="5"/>
        <v>10.24</v>
      </c>
      <c r="AP58" s="156">
        <f t="shared" si="6"/>
        <v>0</v>
      </c>
      <c r="AQ58" s="156">
        <f>IF(ISBLANK($A58),,ROUNDDOWN(I58*AS6*1.024,))</f>
        <v>111</v>
      </c>
      <c r="AR58" s="156">
        <f>IF(ISBLANK($A58),,ROUNDDOWN(L58*AS6*1.024,))</f>
        <v>0</v>
      </c>
      <c r="AS58" s="156">
        <f>IF(ISBLANK($A58),,ROUNDDOWN(N58*AS6*1.024,))</f>
        <v>0</v>
      </c>
      <c r="AT58" s="156">
        <f>IF(ISBLANK($A58),,ROUNDDOWN(P58*AS6*1.024,))</f>
        <v>0</v>
      </c>
      <c r="AU58" s="156">
        <f>IF(ISBLANK($A58),,ROUNDDOWN(R58*AS6*1.024,))</f>
        <v>0</v>
      </c>
      <c r="AV58" s="156">
        <f t="shared" si="7"/>
        <v>0</v>
      </c>
      <c r="AW58" s="156">
        <f>IF(ISBLANK($A58),,ROUNDDOWN(V58*AS6*1.024,))</f>
        <v>0</v>
      </c>
      <c r="AX58" s="156">
        <f>IF(ISBLANK($A58),,ROUNDDOWN(X58*AS6*1.024,))</f>
        <v>0</v>
      </c>
    </row>
    <row r="59" spans="1:50">
      <c r="A59" s="156" t="s">
        <v>388</v>
      </c>
      <c r="B59" s="156"/>
      <c r="C59" s="156" t="s">
        <v>333</v>
      </c>
      <c r="D59" s="156" t="s">
        <v>453</v>
      </c>
      <c r="E59" s="156" t="s">
        <v>30</v>
      </c>
      <c r="F59" s="152">
        <v>2</v>
      </c>
      <c r="G59" s="152">
        <v>4</v>
      </c>
      <c r="H59" s="152">
        <v>0</v>
      </c>
      <c r="I59" s="152">
        <v>41</v>
      </c>
      <c r="J59" s="154">
        <f t="shared" si="4"/>
        <v>4</v>
      </c>
      <c r="K59" s="152"/>
      <c r="L59" s="152"/>
      <c r="M59" s="152"/>
      <c r="N59" s="152"/>
      <c r="O59" s="152"/>
      <c r="P59" s="152"/>
      <c r="Q59" s="152"/>
      <c r="R59" s="152"/>
      <c r="S59" s="152"/>
      <c r="T59" s="152"/>
      <c r="U59" s="152"/>
      <c r="V59" s="152"/>
      <c r="W59" s="152"/>
      <c r="X59" s="152"/>
      <c r="Y59" s="156"/>
      <c r="Z59" s="156"/>
      <c r="AA59" s="156"/>
      <c r="AB59" s="156"/>
      <c r="AC59" s="156"/>
      <c r="AD59" s="156"/>
      <c r="AE59" s="156"/>
      <c r="AH59" s="156"/>
      <c r="AI59" s="156"/>
      <c r="AJ59" s="152" t="s">
        <v>328</v>
      </c>
      <c r="AK59" s="152" t="s">
        <v>329</v>
      </c>
      <c r="AL59" s="152"/>
      <c r="AM59" s="156"/>
      <c r="AN59" s="156"/>
      <c r="AO59" s="156">
        <f t="shared" si="5"/>
        <v>4.0960000000000001</v>
      </c>
      <c r="AP59" s="156">
        <f t="shared" si="6"/>
        <v>0</v>
      </c>
      <c r="AQ59" s="156">
        <f>IF(ISBLANK($A59),,ROUNDDOWN(I59*AS6*1.024,))</f>
        <v>37</v>
      </c>
      <c r="AR59" s="156">
        <f>IF(ISBLANK($A59),,ROUNDDOWN(L59*AS6*1.024,))</f>
        <v>0</v>
      </c>
      <c r="AS59" s="156">
        <f>IF(ISBLANK($A59),,ROUNDDOWN(N59*AS6*1.024,))</f>
        <v>0</v>
      </c>
      <c r="AT59" s="156">
        <f>IF(ISBLANK($A59),,ROUNDDOWN(P59*AS6*1.024,))</f>
        <v>0</v>
      </c>
      <c r="AU59" s="156">
        <f>IF(ISBLANK($A59),,ROUNDDOWN(R59*AS6*1.024,))</f>
        <v>0</v>
      </c>
      <c r="AV59" s="156">
        <f t="shared" si="7"/>
        <v>0</v>
      </c>
      <c r="AW59" s="156">
        <f>IF(ISBLANK($A59),,ROUNDDOWN(V59*AS6*1.024,))</f>
        <v>0</v>
      </c>
      <c r="AX59" s="156">
        <f>IF(ISBLANK($A59),,ROUNDDOWN(X59*AS6*1.024,))</f>
        <v>0</v>
      </c>
    </row>
    <row r="60" spans="1:50">
      <c r="A60" s="156" t="s">
        <v>389</v>
      </c>
      <c r="B60" s="156"/>
      <c r="C60" s="156" t="s">
        <v>333</v>
      </c>
      <c r="D60" s="156" t="s">
        <v>453</v>
      </c>
      <c r="E60" s="156" t="s">
        <v>22</v>
      </c>
      <c r="F60" s="152">
        <v>2</v>
      </c>
      <c r="G60" s="152">
        <v>4</v>
      </c>
      <c r="H60" s="152">
        <v>0</v>
      </c>
      <c r="I60" s="152">
        <v>31</v>
      </c>
      <c r="J60" s="154">
        <f t="shared" si="4"/>
        <v>4</v>
      </c>
      <c r="K60" s="152"/>
      <c r="L60" s="152"/>
      <c r="M60" s="152"/>
      <c r="N60" s="152"/>
      <c r="O60" s="152"/>
      <c r="P60" s="152"/>
      <c r="Q60" s="152"/>
      <c r="R60" s="152"/>
      <c r="S60" s="152"/>
      <c r="T60" s="152"/>
      <c r="U60" s="152"/>
      <c r="V60" s="152"/>
      <c r="W60" s="152"/>
      <c r="X60" s="152"/>
      <c r="Y60" s="156"/>
      <c r="Z60" s="156"/>
      <c r="AA60" s="156"/>
      <c r="AB60" s="156"/>
      <c r="AC60" s="156"/>
      <c r="AD60" s="156"/>
      <c r="AE60" s="156"/>
      <c r="AH60" s="156"/>
      <c r="AI60" s="156"/>
      <c r="AJ60" s="152" t="s">
        <v>328</v>
      </c>
      <c r="AK60" s="152" t="s">
        <v>329</v>
      </c>
      <c r="AL60" s="152"/>
      <c r="AM60" s="156"/>
      <c r="AN60" s="156"/>
      <c r="AO60" s="156">
        <f t="shared" si="5"/>
        <v>4.0960000000000001</v>
      </c>
      <c r="AP60" s="156">
        <f t="shared" si="6"/>
        <v>0</v>
      </c>
      <c r="AQ60" s="156">
        <f>IF(ISBLANK($A60),,ROUNDDOWN(I60*AS6*1.024,))</f>
        <v>28</v>
      </c>
      <c r="AR60" s="156">
        <f>IF(ISBLANK($A60),,ROUNDDOWN(L60*AS6*1.024,))</f>
        <v>0</v>
      </c>
      <c r="AS60" s="156">
        <f>IF(ISBLANK($A60),,ROUNDDOWN(N60*AS6*1.024,))</f>
        <v>0</v>
      </c>
      <c r="AT60" s="156">
        <f>IF(ISBLANK($A60),,ROUNDDOWN(P60*AS6*1.024,))</f>
        <v>0</v>
      </c>
      <c r="AU60" s="156">
        <f>IF(ISBLANK($A60),,ROUNDDOWN(R60*AS6*1.024,))</f>
        <v>0</v>
      </c>
      <c r="AV60" s="156">
        <f t="shared" si="7"/>
        <v>0</v>
      </c>
      <c r="AW60" s="156">
        <f>IF(ISBLANK($A60),,ROUNDDOWN(V60*AS6*1.024,))</f>
        <v>0</v>
      </c>
      <c r="AX60" s="156">
        <f>IF(ISBLANK($A60),,ROUNDDOWN(X60*AS6*1.024,))</f>
        <v>0</v>
      </c>
    </row>
    <row r="61" spans="1:50">
      <c r="A61" s="156" t="s">
        <v>390</v>
      </c>
      <c r="B61" s="156"/>
      <c r="C61" s="156" t="s">
        <v>333</v>
      </c>
      <c r="D61" s="156" t="s">
        <v>453</v>
      </c>
      <c r="E61" s="156" t="s">
        <v>26</v>
      </c>
      <c r="F61" s="152">
        <v>4</v>
      </c>
      <c r="G61" s="152">
        <v>4</v>
      </c>
      <c r="H61" s="152">
        <v>0</v>
      </c>
      <c r="I61" s="152">
        <v>31</v>
      </c>
      <c r="J61" s="154">
        <f t="shared" si="4"/>
        <v>4</v>
      </c>
      <c r="K61" s="152"/>
      <c r="L61" s="152"/>
      <c r="M61" s="152"/>
      <c r="N61" s="152"/>
      <c r="O61" s="152"/>
      <c r="P61" s="152"/>
      <c r="Q61" s="152"/>
      <c r="R61" s="152"/>
      <c r="S61" s="152"/>
      <c r="T61" s="152"/>
      <c r="U61" s="152"/>
      <c r="V61" s="152"/>
      <c r="W61" s="152"/>
      <c r="X61" s="152"/>
      <c r="Y61" s="156"/>
      <c r="Z61" s="156"/>
      <c r="AA61" s="156"/>
      <c r="AB61" s="156"/>
      <c r="AC61" s="156"/>
      <c r="AD61" s="156"/>
      <c r="AE61" s="156"/>
      <c r="AH61" s="156"/>
      <c r="AI61" s="156"/>
      <c r="AJ61" s="152" t="s">
        <v>328</v>
      </c>
      <c r="AK61" s="152" t="s">
        <v>329</v>
      </c>
      <c r="AL61" s="152"/>
      <c r="AM61" s="156"/>
      <c r="AN61" s="156"/>
      <c r="AO61" s="156">
        <f t="shared" si="5"/>
        <v>4.0960000000000001</v>
      </c>
      <c r="AP61" s="156">
        <f t="shared" si="6"/>
        <v>0</v>
      </c>
      <c r="AQ61" s="156">
        <f>IF(ISBLANK($A61),,ROUNDDOWN(I61*AS6*1.024,))</f>
        <v>28</v>
      </c>
      <c r="AR61" s="156">
        <f>IF(ISBLANK($A61),,ROUNDDOWN(L61*AS6*1.024,))</f>
        <v>0</v>
      </c>
      <c r="AS61" s="156">
        <f>IF(ISBLANK($A61),,ROUNDDOWN(N61*AS6*1.024,))</f>
        <v>0</v>
      </c>
      <c r="AT61" s="156">
        <f>IF(ISBLANK($A61),,ROUNDDOWN(P61*AS6*1.024,))</f>
        <v>0</v>
      </c>
      <c r="AU61" s="156">
        <f>IF(ISBLANK($A61),,ROUNDDOWN(R61*AS6*1.024,))</f>
        <v>0</v>
      </c>
      <c r="AV61" s="156">
        <f t="shared" si="7"/>
        <v>0</v>
      </c>
      <c r="AW61" s="156">
        <f>IF(ISBLANK($A61),,ROUNDDOWN(V61*AS6*1.024,))</f>
        <v>0</v>
      </c>
      <c r="AX61" s="156">
        <f>IF(ISBLANK($A61),,ROUNDDOWN(X61*AS6*1.024,))</f>
        <v>0</v>
      </c>
    </row>
    <row r="62" spans="1:50">
      <c r="A62" s="156" t="s">
        <v>391</v>
      </c>
      <c r="B62" s="156"/>
      <c r="C62" s="156" t="s">
        <v>333</v>
      </c>
      <c r="D62" s="156" t="s">
        <v>453</v>
      </c>
      <c r="E62" s="156" t="s">
        <v>38</v>
      </c>
      <c r="F62" s="152">
        <v>4</v>
      </c>
      <c r="G62" s="152">
        <v>5</v>
      </c>
      <c r="H62" s="152">
        <v>0</v>
      </c>
      <c r="I62" s="152">
        <v>111</v>
      </c>
      <c r="J62" s="154">
        <f t="shared" si="4"/>
        <v>5</v>
      </c>
      <c r="K62" s="152"/>
      <c r="L62" s="152"/>
      <c r="M62" s="152"/>
      <c r="N62" s="152"/>
      <c r="O62" s="152"/>
      <c r="P62" s="152"/>
      <c r="Q62" s="152"/>
      <c r="R62" s="152"/>
      <c r="S62" s="152"/>
      <c r="T62" s="152"/>
      <c r="U62" s="152"/>
      <c r="V62" s="152"/>
      <c r="W62" s="152"/>
      <c r="X62" s="152"/>
      <c r="Y62" s="156"/>
      <c r="Z62" s="156"/>
      <c r="AA62" s="156"/>
      <c r="AB62" s="156"/>
      <c r="AC62" s="156"/>
      <c r="AD62" s="156"/>
      <c r="AE62" s="156"/>
      <c r="AH62" s="156"/>
      <c r="AI62" s="156"/>
      <c r="AJ62" s="152" t="s">
        <v>328</v>
      </c>
      <c r="AK62" s="152" t="s">
        <v>329</v>
      </c>
      <c r="AL62" s="152" t="s">
        <v>329</v>
      </c>
      <c r="AM62" s="156"/>
      <c r="AN62" s="156"/>
      <c r="AO62" s="156">
        <f t="shared" si="5"/>
        <v>5.12</v>
      </c>
      <c r="AP62" s="156">
        <f t="shared" si="6"/>
        <v>0</v>
      </c>
      <c r="AQ62" s="156">
        <f>IF(ISBLANK($A62),,ROUNDDOWN(I62*AS6*1.024,))</f>
        <v>102</v>
      </c>
      <c r="AR62" s="156">
        <f>IF(ISBLANK($A62),,ROUNDDOWN(L62*AS6*1.024,))</f>
        <v>0</v>
      </c>
      <c r="AS62" s="156">
        <f>IF(ISBLANK($A62),,ROUNDDOWN(N62*AS6*1.024,))</f>
        <v>0</v>
      </c>
      <c r="AT62" s="156">
        <f>IF(ISBLANK($A62),,ROUNDDOWN(P62*AS6*1.024,))</f>
        <v>0</v>
      </c>
      <c r="AU62" s="156">
        <f>IF(ISBLANK($A62),,ROUNDDOWN(R62*AS6*1.024,))</f>
        <v>0</v>
      </c>
      <c r="AV62" s="156">
        <f t="shared" si="7"/>
        <v>0</v>
      </c>
      <c r="AW62" s="156">
        <f>IF(ISBLANK($A62),,ROUNDDOWN(V62*AS6*1.024,))</f>
        <v>0</v>
      </c>
      <c r="AX62" s="156">
        <f>IF(ISBLANK($A62),,ROUNDDOWN(X62*AS6*1.024,))</f>
        <v>0</v>
      </c>
    </row>
    <row r="63" spans="1:50" ht="15">
      <c r="A63" s="156" t="s">
        <v>392</v>
      </c>
      <c r="B63" s="156"/>
      <c r="C63" s="156"/>
      <c r="D63" s="156" t="s">
        <v>453</v>
      </c>
      <c r="E63" s="156" t="s">
        <v>49</v>
      </c>
      <c r="F63" s="152">
        <v>2</v>
      </c>
      <c r="G63" s="152">
        <v>2</v>
      </c>
      <c r="H63" s="152">
        <v>0</v>
      </c>
      <c r="I63" s="152">
        <v>16</v>
      </c>
      <c r="J63" s="154">
        <f t="shared" si="4"/>
        <v>2</v>
      </c>
      <c r="K63" s="1"/>
      <c r="L63" s="152"/>
      <c r="M63" s="152"/>
      <c r="N63" s="1"/>
      <c r="O63"/>
      <c r="P63" s="152"/>
      <c r="Q63" s="152"/>
      <c r="R63" s="152"/>
      <c r="S63" s="152"/>
      <c r="T63" s="152"/>
      <c r="U63" s="152"/>
      <c r="V63" s="152"/>
      <c r="W63" s="156"/>
      <c r="X63" s="156"/>
      <c r="Y63" s="156"/>
      <c r="Z63" s="152"/>
      <c r="AA63" s="152"/>
      <c r="AB63" s="152"/>
      <c r="AC63" s="152"/>
      <c r="AD63" s="152"/>
      <c r="AE63" s="152"/>
      <c r="AF63" s="179"/>
      <c r="AG63" s="179"/>
      <c r="AH63" s="152"/>
      <c r="AI63" s="152"/>
      <c r="AJ63" s="152" t="s">
        <v>328</v>
      </c>
      <c r="AK63" s="152" t="s">
        <v>329</v>
      </c>
      <c r="AL63" s="152"/>
      <c r="AM63" s="156"/>
      <c r="AN63" s="156"/>
      <c r="AO63" s="156">
        <f t="shared" si="5"/>
        <v>2.048</v>
      </c>
      <c r="AP63" s="156">
        <f t="shared" si="6"/>
        <v>0</v>
      </c>
      <c r="AQ63" s="156">
        <f>IF(ISBLANK($A63),,ROUNDDOWN(I63*AS6*1.024,))</f>
        <v>14</v>
      </c>
      <c r="AR63" s="156">
        <f>IF(ISBLANK($A63),,ROUNDDOWN(L63*AS6*1.024,))</f>
        <v>0</v>
      </c>
      <c r="AS63" s="156">
        <f>IF(ISBLANK($A63),,ROUNDDOWN(N63*AS6*1.024,))</f>
        <v>0</v>
      </c>
      <c r="AT63" s="156">
        <f>IF(ISBLANK($A63),,ROUNDDOWN(P63*AS6*1.024,))</f>
        <v>0</v>
      </c>
      <c r="AU63" s="156">
        <f>IF(ISBLANK($A63),,ROUNDDOWN(R63*AS6*1.024,))</f>
        <v>0</v>
      </c>
      <c r="AV63" s="156">
        <f t="shared" si="7"/>
        <v>0</v>
      </c>
      <c r="AW63" s="156">
        <f>IF(ISBLANK($A63),,ROUNDDOWN(V63*AS6*1.024,))</f>
        <v>0</v>
      </c>
      <c r="AX63" s="156">
        <f>IF(ISBLANK($A63),,ROUNDDOWN(X63*AS6*1.024,))</f>
        <v>0</v>
      </c>
    </row>
    <row r="64" spans="1:50" ht="15">
      <c r="A64" s="156" t="s">
        <v>393</v>
      </c>
      <c r="B64" s="156"/>
      <c r="C64" s="156"/>
      <c r="D64" s="156" t="s">
        <v>453</v>
      </c>
      <c r="E64" s="156" t="s">
        <v>49</v>
      </c>
      <c r="F64" s="152">
        <v>2</v>
      </c>
      <c r="G64" s="152">
        <v>2</v>
      </c>
      <c r="H64" s="152">
        <v>0</v>
      </c>
      <c r="I64" s="152">
        <v>16</v>
      </c>
      <c r="J64" s="154">
        <f t="shared" si="4"/>
        <v>2</v>
      </c>
      <c r="K64" s="1"/>
      <c r="L64" s="152"/>
      <c r="M64" s="152"/>
      <c r="N64" s="1"/>
      <c r="O64"/>
      <c r="P64" s="152"/>
      <c r="Q64" s="152"/>
      <c r="R64" s="152"/>
      <c r="S64" s="152"/>
      <c r="T64" s="152"/>
      <c r="U64" s="152"/>
      <c r="V64" s="152"/>
      <c r="W64" s="156"/>
      <c r="X64" s="156"/>
      <c r="Y64" s="156"/>
      <c r="Z64" s="152"/>
      <c r="AA64" s="152"/>
      <c r="AB64" s="152"/>
      <c r="AC64" s="152"/>
      <c r="AD64" s="152"/>
      <c r="AE64" s="152"/>
      <c r="AF64" s="179"/>
      <c r="AG64" s="179"/>
      <c r="AH64" s="152"/>
      <c r="AI64" s="152"/>
      <c r="AJ64" s="152" t="s">
        <v>328</v>
      </c>
      <c r="AK64" s="152" t="s">
        <v>329</v>
      </c>
      <c r="AL64" s="152"/>
      <c r="AM64" s="156"/>
      <c r="AN64" s="156"/>
      <c r="AO64" s="156">
        <f t="shared" si="5"/>
        <v>2.048</v>
      </c>
      <c r="AP64" s="156">
        <f t="shared" si="6"/>
        <v>0</v>
      </c>
      <c r="AQ64" s="156">
        <f>IF(ISBLANK($A64),,ROUNDDOWN(I64*AS6*1.024,))</f>
        <v>14</v>
      </c>
      <c r="AR64" s="156">
        <f>IF(ISBLANK($A64),,ROUNDDOWN(L64*AS6*1.024,))</f>
        <v>0</v>
      </c>
      <c r="AS64" s="156">
        <f>IF(ISBLANK($A64),,ROUNDDOWN(N64*AS6*1.024,))</f>
        <v>0</v>
      </c>
      <c r="AT64" s="156">
        <f>IF(ISBLANK($A64),,ROUNDDOWN(P64*AS6*1.024,))</f>
        <v>0</v>
      </c>
      <c r="AU64" s="156">
        <f>IF(ISBLANK($A64),,ROUNDDOWN(R64*AS6*1.024,))</f>
        <v>0</v>
      </c>
      <c r="AV64" s="156">
        <f t="shared" si="7"/>
        <v>0</v>
      </c>
      <c r="AW64" s="156">
        <f>IF(ISBLANK($A64),,ROUNDDOWN(V64*AS6*1.024,))</f>
        <v>0</v>
      </c>
      <c r="AX64" s="156">
        <f>IF(ISBLANK($A64),,ROUNDDOWN(X64*AS6*1.024,))</f>
        <v>0</v>
      </c>
    </row>
    <row r="65" spans="1:50" ht="15">
      <c r="A65" s="156" t="s">
        <v>394</v>
      </c>
      <c r="B65" s="156"/>
      <c r="C65" s="156" t="s">
        <v>333</v>
      </c>
      <c r="D65" s="156" t="s">
        <v>453</v>
      </c>
      <c r="E65" s="156" t="s">
        <v>53</v>
      </c>
      <c r="F65" s="152">
        <v>6</v>
      </c>
      <c r="G65" s="152">
        <v>5</v>
      </c>
      <c r="H65" s="152">
        <v>0</v>
      </c>
      <c r="I65" s="152">
        <v>41</v>
      </c>
      <c r="J65" s="154">
        <f t="shared" si="4"/>
        <v>5</v>
      </c>
      <c r="K65" s="1"/>
      <c r="L65" s="152"/>
      <c r="M65" s="152"/>
      <c r="N65" s="1"/>
      <c r="O65"/>
      <c r="P65" s="152"/>
      <c r="Q65" s="152"/>
      <c r="R65" s="152"/>
      <c r="S65" s="152"/>
      <c r="T65" s="152"/>
      <c r="U65" s="152"/>
      <c r="V65" s="152"/>
      <c r="W65" s="156"/>
      <c r="X65" s="156"/>
      <c r="Y65" s="156"/>
      <c r="Z65" s="152"/>
      <c r="AA65" s="152"/>
      <c r="AB65" s="152"/>
      <c r="AC65" s="152"/>
      <c r="AD65" s="152"/>
      <c r="AE65" s="152"/>
      <c r="AF65" s="179"/>
      <c r="AG65" s="179"/>
      <c r="AH65" s="152"/>
      <c r="AI65" s="152"/>
      <c r="AJ65" s="152" t="s">
        <v>328</v>
      </c>
      <c r="AK65" s="152" t="s">
        <v>329</v>
      </c>
      <c r="AL65" s="152"/>
      <c r="AM65" s="156"/>
      <c r="AN65" s="156"/>
      <c r="AO65" s="156">
        <f t="shared" si="5"/>
        <v>5.12</v>
      </c>
      <c r="AP65" s="156">
        <f t="shared" si="6"/>
        <v>0</v>
      </c>
      <c r="AQ65" s="156">
        <f>IF(ISBLANK($A65),,ROUNDDOWN(I65*AS6*1.024,))</f>
        <v>37</v>
      </c>
      <c r="AR65" s="156">
        <f>IF(ISBLANK($A65),,ROUNDDOWN(L65*AS6*1.024,))</f>
        <v>0</v>
      </c>
      <c r="AS65" s="156">
        <f>IF(ISBLANK($A65),,ROUNDDOWN(N65*AS6*1.024,))</f>
        <v>0</v>
      </c>
      <c r="AT65" s="156">
        <f>IF(ISBLANK($A65),,ROUNDDOWN(P65*AS6*1.024,))</f>
        <v>0</v>
      </c>
      <c r="AU65" s="156">
        <f>IF(ISBLANK($A65),,ROUNDDOWN(R65*AS6*1.024,))</f>
        <v>0</v>
      </c>
      <c r="AV65" s="156">
        <f t="shared" si="7"/>
        <v>0</v>
      </c>
      <c r="AW65" s="156">
        <f>IF(ISBLANK($A65),,ROUNDDOWN(V65*AS6*1.024,))</f>
        <v>0</v>
      </c>
      <c r="AX65" s="156">
        <f>IF(ISBLANK($A65),,ROUNDDOWN(X65*AS6*1.024,))</f>
        <v>0</v>
      </c>
    </row>
    <row r="66" spans="1:50" ht="15">
      <c r="A66" s="156" t="s">
        <v>395</v>
      </c>
      <c r="B66" s="156"/>
      <c r="C66" s="156"/>
      <c r="D66" s="156" t="s">
        <v>453</v>
      </c>
      <c r="E66" s="156" t="s">
        <v>57</v>
      </c>
      <c r="F66" s="152">
        <v>2</v>
      </c>
      <c r="G66" s="152">
        <v>2</v>
      </c>
      <c r="H66" s="152">
        <v>0</v>
      </c>
      <c r="I66" s="152">
        <v>31</v>
      </c>
      <c r="J66" s="152">
        <f t="shared" si="4"/>
        <v>2</v>
      </c>
      <c r="K66" s="1"/>
      <c r="L66" s="152"/>
      <c r="M66" s="152"/>
      <c r="N66" s="1"/>
      <c r="O66"/>
      <c r="P66" s="152"/>
      <c r="Q66" s="152"/>
      <c r="R66" s="152"/>
      <c r="S66" s="152"/>
      <c r="T66" s="152"/>
      <c r="U66" s="152"/>
      <c r="V66" s="152"/>
      <c r="W66" s="156"/>
      <c r="X66" s="156"/>
      <c r="Y66" s="101"/>
      <c r="Z66" s="102"/>
      <c r="AA66" s="102"/>
      <c r="AB66" s="102"/>
      <c r="AC66" s="102"/>
      <c r="AD66" s="102"/>
      <c r="AE66" s="102"/>
      <c r="AF66" s="102"/>
      <c r="AG66" s="102"/>
      <c r="AH66" s="102"/>
      <c r="AI66" s="102"/>
      <c r="AJ66" s="102" t="s">
        <v>328</v>
      </c>
      <c r="AK66" s="102" t="s">
        <v>329</v>
      </c>
      <c r="AL66" s="102"/>
      <c r="AM66" s="101"/>
      <c r="AN66" s="101"/>
      <c r="AO66" s="101">
        <f t="shared" si="5"/>
        <v>2.048</v>
      </c>
      <c r="AP66" s="101">
        <f t="shared" si="6"/>
        <v>0</v>
      </c>
      <c r="AQ66" s="101">
        <f>IF(ISBLANK($A66),,ROUNDDOWN(I66*AS$6*1.024,))</f>
        <v>28</v>
      </c>
      <c r="AR66" s="101">
        <f>IF(ISBLANK($A66),,ROUNDDOWN(L66*AS$6*1.024,))</f>
        <v>0</v>
      </c>
      <c r="AS66" s="101">
        <f>IF(ISBLANK($A66),,ROUNDDOWN(N66*AS$6*1.024,))</f>
        <v>0</v>
      </c>
      <c r="AT66" s="101">
        <f>IF(ISBLANK($A66),,ROUNDDOWN(P66*AS$6*1.024,))</f>
        <v>0</v>
      </c>
      <c r="AU66" s="101">
        <f>IF(ISBLANK($A66),,ROUNDDOWN(R66*AS$6*1.024,))</f>
        <v>0</v>
      </c>
      <c r="AV66" s="156">
        <f t="shared" si="7"/>
        <v>0</v>
      </c>
      <c r="AW66" s="101">
        <f>IF(ISBLANK($A66),,ROUNDDOWN(V66*AS$6*1.024,))</f>
        <v>0</v>
      </c>
      <c r="AX66" s="101">
        <f>IF(ISBLANK($A66),,ROUNDDOWN(X66*AS$6*1.024,))</f>
        <v>0</v>
      </c>
    </row>
    <row r="67" spans="1:50" ht="13.5" customHeight="1">
      <c r="A67" s="156" t="s">
        <v>396</v>
      </c>
      <c r="B67" s="156"/>
      <c r="C67" s="156"/>
      <c r="D67" s="156" t="s">
        <v>397</v>
      </c>
      <c r="E67" s="156" t="s">
        <v>398</v>
      </c>
      <c r="F67" s="152">
        <v>2</v>
      </c>
      <c r="G67" s="152">
        <v>16</v>
      </c>
      <c r="H67" s="152">
        <v>0</v>
      </c>
      <c r="I67" s="152">
        <v>150</v>
      </c>
      <c r="J67" s="152">
        <f t="shared" si="4"/>
        <v>16</v>
      </c>
      <c r="K67" s="152" t="s">
        <v>126</v>
      </c>
      <c r="L67" s="152"/>
      <c r="M67" s="152"/>
      <c r="N67" s="1"/>
      <c r="O67"/>
      <c r="P67" s="152"/>
      <c r="Q67" s="152"/>
      <c r="R67" s="152"/>
      <c r="S67" s="152"/>
      <c r="T67" s="152"/>
      <c r="U67" s="152"/>
      <c r="V67" s="152">
        <v>3000</v>
      </c>
      <c r="W67" s="152" t="s">
        <v>126</v>
      </c>
      <c r="X67" s="152"/>
      <c r="Y67" s="101"/>
      <c r="Z67" s="101"/>
      <c r="AA67" s="101"/>
      <c r="AB67" s="101"/>
      <c r="AC67" s="101"/>
      <c r="AD67" s="101"/>
      <c r="AE67" s="101"/>
      <c r="AF67" s="101"/>
      <c r="AG67" s="101"/>
      <c r="AH67" s="101"/>
      <c r="AI67" s="101"/>
      <c r="AJ67" s="102"/>
      <c r="AK67" s="102"/>
      <c r="AL67" s="102"/>
      <c r="AM67" s="156"/>
      <c r="AN67" s="156"/>
      <c r="AO67" s="156">
        <f>IF(ISBLANK($A67),,G67*1.024)</f>
        <v>16.384</v>
      </c>
      <c r="AP67" s="101">
        <f t="shared" ref="AP67:AP68" si="8">IF(ISBLANK($A67),,H67*1.024)</f>
        <v>0</v>
      </c>
      <c r="AQ67" s="101">
        <f t="shared" ref="AQ67:AQ68" si="9">IF(ISBLANK($A67),,ROUNDDOWN(I67*AS$6*1.024,))</f>
        <v>138</v>
      </c>
      <c r="AR67" s="101">
        <f t="shared" ref="AR67:AR68" si="10">IF(ISBLANK($A67),,ROUNDDOWN(L67*AS$6*1.024,))</f>
        <v>0</v>
      </c>
      <c r="AS67" s="101">
        <f t="shared" ref="AS67:AS68" si="11">IF(ISBLANK($A67),,ROUNDDOWN(N67*AS$6*1.024,))</f>
        <v>0</v>
      </c>
      <c r="AT67" s="101">
        <f t="shared" ref="AT67:AT68" si="12">IF(ISBLANK($A67),,ROUNDDOWN(P67*AS$6*1.024,))</f>
        <v>0</v>
      </c>
      <c r="AU67" s="101">
        <f t="shared" ref="AU67:AU68" si="13">IF(ISBLANK($A67),,ROUNDDOWN(R67*AS$6*1.024,))</f>
        <v>0</v>
      </c>
      <c r="AV67" s="156">
        <f t="shared" si="7"/>
        <v>0</v>
      </c>
      <c r="AW67" s="101">
        <f t="shared" ref="AW67:AW68" si="14">IF(ISBLANK($A67),,ROUNDDOWN(V67*AS$6*1.024,))</f>
        <v>2764</v>
      </c>
      <c r="AX67" s="101">
        <f t="shared" ref="AX67:AX68" si="15">IF(ISBLANK($A67),,ROUNDDOWN(X67*AS$6*1.024,))</f>
        <v>0</v>
      </c>
    </row>
    <row r="68" spans="1:50" ht="13.5" customHeight="1">
      <c r="A68" s="156" t="s">
        <v>399</v>
      </c>
      <c r="B68" s="156"/>
      <c r="C68" s="156"/>
      <c r="D68" s="156" t="s">
        <v>397</v>
      </c>
      <c r="E68" s="156" t="s">
        <v>400</v>
      </c>
      <c r="F68" s="152">
        <v>4</v>
      </c>
      <c r="G68" s="152">
        <v>4</v>
      </c>
      <c r="H68" s="152">
        <v>0</v>
      </c>
      <c r="I68" s="152">
        <v>21</v>
      </c>
      <c r="J68" s="152">
        <f t="shared" si="4"/>
        <v>4</v>
      </c>
      <c r="K68" s="152" t="s">
        <v>126</v>
      </c>
      <c r="L68" s="152"/>
      <c r="M68" s="152"/>
      <c r="N68" s="1"/>
      <c r="O68"/>
      <c r="P68" s="152"/>
      <c r="Q68" s="152"/>
      <c r="R68" s="152"/>
      <c r="S68" s="152"/>
      <c r="T68" s="152"/>
      <c r="U68" s="152"/>
      <c r="V68" s="152">
        <v>0</v>
      </c>
      <c r="W68" s="152" t="s">
        <v>126</v>
      </c>
      <c r="X68" s="152"/>
      <c r="Y68" s="101"/>
      <c r="Z68" s="101"/>
      <c r="AA68" s="101"/>
      <c r="AB68" s="101"/>
      <c r="AC68" s="101"/>
      <c r="AD68" s="101"/>
      <c r="AE68" s="101"/>
      <c r="AF68" s="101"/>
      <c r="AG68" s="101"/>
      <c r="AH68" s="101"/>
      <c r="AI68" s="101"/>
      <c r="AJ68" s="102"/>
      <c r="AK68" s="102"/>
      <c r="AL68" s="102"/>
      <c r="AM68" s="101"/>
      <c r="AN68" s="101"/>
      <c r="AO68" s="101">
        <f>IF(ISBLANK($A68),,G68*1.024)</f>
        <v>4.0960000000000001</v>
      </c>
      <c r="AP68" s="101">
        <f t="shared" si="8"/>
        <v>0</v>
      </c>
      <c r="AQ68" s="101">
        <f t="shared" si="9"/>
        <v>19</v>
      </c>
      <c r="AR68" s="101">
        <f t="shared" si="10"/>
        <v>0</v>
      </c>
      <c r="AS68" s="101">
        <f t="shared" si="11"/>
        <v>0</v>
      </c>
      <c r="AT68" s="101">
        <f t="shared" si="12"/>
        <v>0</v>
      </c>
      <c r="AU68" s="101">
        <f t="shared" si="13"/>
        <v>0</v>
      </c>
      <c r="AV68" s="101">
        <f t="shared" si="7"/>
        <v>0</v>
      </c>
      <c r="AW68" s="101">
        <f t="shared" si="14"/>
        <v>0</v>
      </c>
      <c r="AX68" s="101">
        <f t="shared" si="15"/>
        <v>0</v>
      </c>
    </row>
    <row r="69" spans="1:50" s="13" customFormat="1" ht="13.5" customHeight="1">
      <c r="A69" s="13" t="s">
        <v>693</v>
      </c>
      <c r="C69" s="13" t="s">
        <v>333</v>
      </c>
      <c r="D69" s="13" t="s">
        <v>453</v>
      </c>
      <c r="E69" s="182" t="s">
        <v>694</v>
      </c>
      <c r="F69" s="186">
        <f>IF(OR(E45=1,E45=2,E45=3,E45=4),VLOOKUP(E45,A137:F142,2,FALSE),VLOOKUP(1,A137:F142,2,FALSE))</f>
        <v>6</v>
      </c>
      <c r="G69" s="186">
        <f>IF(OR(E45=1,E45=2,E45=3,E45=4),VLOOKUP(E45,A137:F142,3,FALSE),VLOOKUP(1,A137:F142,3,FALSE))</f>
        <v>12</v>
      </c>
      <c r="H69" s="8">
        <v>0</v>
      </c>
      <c r="I69" s="8">
        <v>71</v>
      </c>
      <c r="J69" s="8">
        <f t="shared" si="4"/>
        <v>12</v>
      </c>
      <c r="K69" s="36"/>
      <c r="L69" s="8"/>
      <c r="M69" s="8"/>
      <c r="N69" s="134"/>
      <c r="O69" s="133"/>
      <c r="P69" s="8"/>
      <c r="Q69" s="8"/>
      <c r="R69" s="8"/>
      <c r="S69" s="8"/>
      <c r="T69" s="8"/>
      <c r="U69" s="8"/>
      <c r="V69" s="8"/>
      <c r="W69" s="8"/>
      <c r="X69" s="8"/>
      <c r="AF69" s="186">
        <f>IF(OR(E45=1,E45=2,E45=3,E45=4),VLOOKUP(E45,A137:F142,4,FALSE),VLOOKUP(1,A137:F142,4,FALSE))</f>
        <v>150</v>
      </c>
      <c r="AG69" s="13" t="s">
        <v>695</v>
      </c>
      <c r="AJ69" s="8" t="s">
        <v>328</v>
      </c>
      <c r="AK69" s="8" t="s">
        <v>329</v>
      </c>
      <c r="AL69" s="8"/>
      <c r="AO69" s="13">
        <f t="shared" ref="AO69" si="16">IF(ISBLANK($A69),,G69*1.024)</f>
        <v>12.288</v>
      </c>
      <c r="AP69" s="13">
        <f t="shared" ref="AP69" si="17">IF(ISBLANK($A69),,H69*1.024)</f>
        <v>0</v>
      </c>
      <c r="AQ69" s="13">
        <f t="shared" ref="AQ69" si="18">IF(ISBLANK($A69),,ROUNDDOWN(I69*AS$6*1.024,))</f>
        <v>65</v>
      </c>
      <c r="AR69" s="13">
        <f t="shared" ref="AR69" si="19">IF(ISBLANK($A69),,ROUNDDOWN(L69*AS$6*1.024,))</f>
        <v>0</v>
      </c>
      <c r="AS69" s="13">
        <f t="shared" ref="AS69" si="20">IF(ISBLANK($A69),,ROUNDDOWN(N69*AS$6*1.024,))</f>
        <v>0</v>
      </c>
      <c r="AT69" s="13">
        <f t="shared" ref="AT69" si="21">IF(ISBLANK($A69),,ROUNDDOWN(P69*AS$6*1.024,))</f>
        <v>0</v>
      </c>
      <c r="AU69" s="13">
        <f t="shared" ref="AU69" si="22">IF(ISBLANK($A69),,ROUNDDOWN(R69*AS$6*1.024,))</f>
        <v>0</v>
      </c>
      <c r="AV69" s="13">
        <f t="shared" ref="AV69" si="23">IF(ISBLANK($A69),,ROUNDDOWN(T69*AS$6*1.024,))</f>
        <v>0</v>
      </c>
      <c r="AW69" s="13">
        <f t="shared" ref="AW69" si="24">IF(ISBLANK($A69),,ROUNDDOWN(V69*AS$6*1.024,))</f>
        <v>0</v>
      </c>
      <c r="AX69" s="13">
        <f t="shared" ref="AX69" si="25">IF(ISBLANK($A69),,ROUNDDOWN(X69*AS$6*1.024,))</f>
        <v>0</v>
      </c>
    </row>
    <row r="70" spans="1:50">
      <c r="A70" s="101"/>
      <c r="B70" s="101"/>
      <c r="C70" s="101"/>
      <c r="D70" s="101"/>
      <c r="E70" s="101"/>
      <c r="F70" s="102">
        <f>SUM(F48:F69)+F38</f>
        <v>241</v>
      </c>
      <c r="G70" s="102">
        <f>SUM(G48:G69)+G38</f>
        <v>607</v>
      </c>
      <c r="H70" s="102">
        <f>SUM(H48:H69)+H38</f>
        <v>202.75</v>
      </c>
      <c r="I70" s="102">
        <f>SUM(I48:I69)+I38</f>
        <v>4510</v>
      </c>
      <c r="J70" s="102"/>
      <c r="K70" s="102"/>
      <c r="L70" s="102">
        <f>SUM(L48:L69)+L38</f>
        <v>66</v>
      </c>
      <c r="M70" s="102"/>
      <c r="N70" s="102">
        <f>SUM(N48:N69)+N38</f>
        <v>1500</v>
      </c>
      <c r="O70" s="102"/>
      <c r="P70" s="102">
        <f>SUM(P48:P69)+P38</f>
        <v>2250</v>
      </c>
      <c r="Q70" s="102"/>
      <c r="R70" s="102">
        <f>SUM(R48:R69)+R38</f>
        <v>360</v>
      </c>
      <c r="S70" s="102"/>
      <c r="T70" s="102">
        <f>SUM(T48:T69)+T38</f>
        <v>300</v>
      </c>
      <c r="U70" s="102"/>
      <c r="V70" s="102">
        <f>SUM(V48:V69)+V38</f>
        <v>3000</v>
      </c>
      <c r="W70" s="102"/>
      <c r="X70" s="102">
        <f>SUM(X48:X69)+X38</f>
        <v>6855</v>
      </c>
      <c r="Y70" s="156"/>
      <c r="Z70" s="102">
        <f>SUM(Z48:Z69)+Z38</f>
        <v>100</v>
      </c>
      <c r="AA70" s="156"/>
      <c r="AB70" s="102">
        <f>SUM(AB48:AB69)+AB38</f>
        <v>50</v>
      </c>
      <c r="AC70" s="156"/>
      <c r="AD70" s="102">
        <f>SUM(AD48:AD69)+AD38</f>
        <v>170</v>
      </c>
      <c r="AE70" s="156"/>
      <c r="AF70" s="102">
        <f>SUM(AF48:AF69)+AF38</f>
        <v>150</v>
      </c>
      <c r="AH70" s="102">
        <f>SUM(AH48:AH68)+AH38</f>
        <v>2500</v>
      </c>
      <c r="AI70" s="156"/>
      <c r="AJ70" s="156"/>
      <c r="AK70" s="152" t="s">
        <v>699</v>
      </c>
      <c r="AL70" s="152">
        <f>3</f>
        <v>3</v>
      </c>
      <c r="AM70" s="156"/>
      <c r="AN70" s="156"/>
      <c r="AO70" s="156"/>
      <c r="AP70" s="156"/>
      <c r="AQ70" s="156"/>
      <c r="AR70" s="156"/>
      <c r="AS70" s="156"/>
      <c r="AT70" s="156"/>
      <c r="AU70" s="156"/>
      <c r="AV70" s="156"/>
      <c r="AW70" s="156"/>
      <c r="AX70" s="156"/>
    </row>
    <row r="72" spans="1:50">
      <c r="A72" s="7" t="s">
        <v>401</v>
      </c>
      <c r="B72" s="156"/>
      <c r="C72" s="156"/>
      <c r="D72" s="156"/>
      <c r="E72" s="156"/>
      <c r="F72" s="152"/>
      <c r="G72" s="152"/>
      <c r="H72" s="152"/>
      <c r="I72" s="152"/>
      <c r="J72" s="152"/>
      <c r="K72" s="152"/>
      <c r="L72" s="152"/>
      <c r="M72" s="152"/>
      <c r="N72" s="152"/>
      <c r="O72" s="152"/>
      <c r="P72" s="152"/>
      <c r="Q72" s="152"/>
      <c r="R72" s="152"/>
      <c r="S72" s="152"/>
      <c r="T72" s="152"/>
      <c r="U72" s="152"/>
      <c r="V72" s="152"/>
      <c r="W72" s="152"/>
      <c r="X72" s="152"/>
      <c r="Y72" s="156"/>
      <c r="Z72" s="152"/>
      <c r="AA72" s="156"/>
      <c r="AB72" s="152"/>
      <c r="AC72" s="156"/>
      <c r="AD72" s="152"/>
      <c r="AE72" s="156"/>
      <c r="AH72" s="152"/>
      <c r="AI72" s="156"/>
      <c r="AJ72" s="156"/>
      <c r="AK72" s="152"/>
      <c r="AL72" s="152"/>
      <c r="AM72" s="156"/>
      <c r="AN72" s="156"/>
      <c r="AO72" s="156"/>
      <c r="AP72" s="156"/>
      <c r="AQ72" s="156"/>
      <c r="AR72" s="156"/>
      <c r="AS72" s="156"/>
      <c r="AT72" s="156"/>
      <c r="AU72" s="156"/>
      <c r="AV72" s="156"/>
      <c r="AW72" s="156"/>
      <c r="AX72" s="156"/>
    </row>
    <row r="73" spans="1:50" ht="13.5" customHeight="1">
      <c r="A73" s="156" t="s">
        <v>402</v>
      </c>
      <c r="B73" s="156"/>
      <c r="C73" s="156" t="s">
        <v>69</v>
      </c>
      <c r="D73" s="156" t="s">
        <v>403</v>
      </c>
      <c r="E73" s="156" t="s">
        <v>404</v>
      </c>
      <c r="F73" s="152">
        <v>2</v>
      </c>
      <c r="G73" s="152">
        <v>8</v>
      </c>
      <c r="H73" s="152">
        <v>0</v>
      </c>
      <c r="I73" s="152">
        <v>200</v>
      </c>
      <c r="J73" s="154">
        <v>0</v>
      </c>
      <c r="K73" s="1" t="s">
        <v>405</v>
      </c>
      <c r="L73" s="152"/>
      <c r="M73" s="152"/>
      <c r="N73" s="1"/>
      <c r="O73"/>
      <c r="P73" s="152"/>
      <c r="Q73" s="152"/>
      <c r="R73" s="152"/>
      <c r="S73" s="152"/>
      <c r="T73" s="152"/>
      <c r="U73" s="152"/>
      <c r="V73" s="152"/>
      <c r="W73" s="152"/>
      <c r="X73" s="152"/>
      <c r="Y73" s="156"/>
      <c r="Z73" s="156"/>
      <c r="AA73" s="156"/>
      <c r="AB73" s="156"/>
      <c r="AC73" s="156"/>
      <c r="AD73" s="156"/>
      <c r="AE73" s="156"/>
      <c r="AH73" s="156"/>
      <c r="AI73" s="156"/>
      <c r="AJ73" s="152" t="s">
        <v>406</v>
      </c>
      <c r="AK73" s="152" t="s">
        <v>329</v>
      </c>
      <c r="AL73" s="152"/>
      <c r="AM73" s="156"/>
      <c r="AN73" s="156"/>
      <c r="AO73" s="156">
        <f t="shared" ref="AO73:AO81" si="26">IF(ISBLANK($A73),,G73*1.024)</f>
        <v>8.1920000000000002</v>
      </c>
      <c r="AP73" s="156">
        <f t="shared" ref="AP73:AP81" si="27">IF(ISBLANK($A73),,H73*1.024)</f>
        <v>0</v>
      </c>
      <c r="AQ73" s="156">
        <f t="shared" ref="AQ73:AQ81" si="28">IF(ISBLANK($A73),,ROUNDDOWN(I73*$AS$6*1.024,))</f>
        <v>184</v>
      </c>
      <c r="AR73" s="156">
        <f t="shared" ref="AR73:AR81" si="29">IF(ISBLANK($A73),,ROUNDDOWN(L73*$AS$6*1.024,))</f>
        <v>0</v>
      </c>
      <c r="AS73" s="156">
        <f t="shared" ref="AS73:AS81" si="30">IF(ISBLANK($A73),,ROUNDDOWN(N73*$AS$6*1.024,))</f>
        <v>0</v>
      </c>
      <c r="AT73" s="156">
        <f t="shared" ref="AT73:AT81" si="31">IF(ISBLANK($A73),,ROUNDDOWN(P73*$AS$6*1.024,))</f>
        <v>0</v>
      </c>
      <c r="AU73" s="156">
        <f t="shared" ref="AU73:AU81" si="32">IF(ISBLANK($A73),,ROUNDDOWN(R73*$AS$6*1.024,))</f>
        <v>0</v>
      </c>
      <c r="AV73" s="156">
        <f>IF(ISBLANK($A73),,ROUNDDOWN(V73*$AS$6*1.024,))</f>
        <v>0</v>
      </c>
      <c r="AW73" s="156">
        <f>IF(ISBLANK($A73),,ROUNDDOWN(X73*$AS$6*1.024,))</f>
        <v>0</v>
      </c>
      <c r="AX73" s="101">
        <f t="shared" ref="AX73:AX81" si="33">IF(ISBLANK($A73),,ROUNDDOWN(X73*AS$6*1.024,))</f>
        <v>0</v>
      </c>
    </row>
    <row r="74" spans="1:50" ht="13.5" customHeight="1">
      <c r="A74" s="156" t="s">
        <v>407</v>
      </c>
      <c r="B74" s="156"/>
      <c r="C74" s="156" t="s">
        <v>69</v>
      </c>
      <c r="D74" s="156" t="s">
        <v>403</v>
      </c>
      <c r="E74" s="156" t="s">
        <v>408</v>
      </c>
      <c r="F74" s="152">
        <v>4</v>
      </c>
      <c r="G74" s="152">
        <v>8</v>
      </c>
      <c r="H74" s="152">
        <v>0</v>
      </c>
      <c r="I74" s="152">
        <v>220</v>
      </c>
      <c r="J74" s="152">
        <v>0</v>
      </c>
      <c r="K74" s="1" t="s">
        <v>405</v>
      </c>
      <c r="L74" s="152"/>
      <c r="M74" s="152"/>
      <c r="N74" s="1"/>
      <c r="O74"/>
      <c r="P74" s="152"/>
      <c r="Q74" s="152"/>
      <c r="R74" s="152"/>
      <c r="S74" s="152"/>
      <c r="T74" s="152"/>
      <c r="U74" s="152"/>
      <c r="V74" s="152"/>
      <c r="W74" s="152"/>
      <c r="X74" s="152"/>
      <c r="Y74" s="156"/>
      <c r="Z74" s="156"/>
      <c r="AA74" s="156"/>
      <c r="AB74" s="156"/>
      <c r="AC74" s="156"/>
      <c r="AD74" s="156"/>
      <c r="AE74" s="156"/>
      <c r="AH74" s="156"/>
      <c r="AI74" s="156"/>
      <c r="AJ74" s="152" t="s">
        <v>406</v>
      </c>
      <c r="AK74" s="152" t="s">
        <v>329</v>
      </c>
      <c r="AL74" s="152"/>
      <c r="AM74" s="156"/>
      <c r="AN74" s="156"/>
      <c r="AO74" s="156">
        <f t="shared" si="26"/>
        <v>8.1920000000000002</v>
      </c>
      <c r="AP74" s="156">
        <f t="shared" si="27"/>
        <v>0</v>
      </c>
      <c r="AQ74" s="156">
        <f t="shared" si="28"/>
        <v>202</v>
      </c>
      <c r="AR74" s="156">
        <f t="shared" si="29"/>
        <v>0</v>
      </c>
      <c r="AS74" s="156">
        <f t="shared" si="30"/>
        <v>0</v>
      </c>
      <c r="AT74" s="156">
        <f t="shared" si="31"/>
        <v>0</v>
      </c>
      <c r="AU74" s="156">
        <f t="shared" si="32"/>
        <v>0</v>
      </c>
      <c r="AV74" s="156">
        <f t="shared" ref="AV74:AV81" si="34">IF(ISBLANK($A74),,ROUNDDOWN(V74*$AS$6*1.024,))</f>
        <v>0</v>
      </c>
      <c r="AW74" s="156">
        <f t="shared" ref="AW74:AW81" si="35">IF(ISBLANK($A74),,ROUNDDOWN(X74*$AS$6*1.024,))</f>
        <v>0</v>
      </c>
      <c r="AX74" s="101">
        <f t="shared" si="33"/>
        <v>0</v>
      </c>
    </row>
    <row r="75" spans="1:50" ht="13.5" customHeight="1">
      <c r="A75" s="156" t="s">
        <v>409</v>
      </c>
      <c r="B75" s="156"/>
      <c r="C75" s="156" t="s">
        <v>69</v>
      </c>
      <c r="D75" s="156" t="s">
        <v>403</v>
      </c>
      <c r="E75" s="156" t="s">
        <v>410</v>
      </c>
      <c r="F75" s="152">
        <v>4</v>
      </c>
      <c r="G75" s="152">
        <v>8</v>
      </c>
      <c r="H75" s="152">
        <v>0</v>
      </c>
      <c r="I75" s="152">
        <v>220</v>
      </c>
      <c r="J75" s="152">
        <v>0</v>
      </c>
      <c r="K75" s="1" t="s">
        <v>405</v>
      </c>
      <c r="L75" s="152"/>
      <c r="M75" s="152"/>
      <c r="N75" s="1"/>
      <c r="O75"/>
      <c r="P75" s="152"/>
      <c r="Q75" s="152"/>
      <c r="R75" s="152"/>
      <c r="S75" s="152"/>
      <c r="T75" s="152"/>
      <c r="U75" s="152"/>
      <c r="V75" s="152"/>
      <c r="W75" s="152"/>
      <c r="X75" s="152"/>
      <c r="Y75" s="156"/>
      <c r="Z75" s="156"/>
      <c r="AA75" s="156"/>
      <c r="AB75" s="156"/>
      <c r="AC75" s="156"/>
      <c r="AD75" s="156"/>
      <c r="AE75" s="156"/>
      <c r="AH75" s="156"/>
      <c r="AI75" s="156"/>
      <c r="AJ75" s="152" t="s">
        <v>406</v>
      </c>
      <c r="AK75" s="152" t="s">
        <v>329</v>
      </c>
      <c r="AL75" s="152"/>
      <c r="AM75" s="156"/>
      <c r="AN75" s="156"/>
      <c r="AO75" s="156">
        <f t="shared" si="26"/>
        <v>8.1920000000000002</v>
      </c>
      <c r="AP75" s="156">
        <f t="shared" si="27"/>
        <v>0</v>
      </c>
      <c r="AQ75" s="156">
        <f t="shared" si="28"/>
        <v>202</v>
      </c>
      <c r="AR75" s="156">
        <f t="shared" si="29"/>
        <v>0</v>
      </c>
      <c r="AS75" s="156">
        <f t="shared" si="30"/>
        <v>0</v>
      </c>
      <c r="AT75" s="156">
        <f t="shared" si="31"/>
        <v>0</v>
      </c>
      <c r="AU75" s="156">
        <f t="shared" si="32"/>
        <v>0</v>
      </c>
      <c r="AV75" s="156">
        <f t="shared" si="34"/>
        <v>0</v>
      </c>
      <c r="AW75" s="156">
        <f t="shared" si="35"/>
        <v>0</v>
      </c>
      <c r="AX75" s="101">
        <f t="shared" si="33"/>
        <v>0</v>
      </c>
    </row>
    <row r="76" spans="1:50" ht="13.5" customHeight="1">
      <c r="A76" s="156" t="s">
        <v>411</v>
      </c>
      <c r="B76" s="156"/>
      <c r="C76" s="156" t="s">
        <v>69</v>
      </c>
      <c r="D76" s="156" t="s">
        <v>403</v>
      </c>
      <c r="E76" s="156" t="s">
        <v>412</v>
      </c>
      <c r="F76" s="152">
        <v>4</v>
      </c>
      <c r="G76" s="152">
        <v>8</v>
      </c>
      <c r="H76" s="152">
        <v>0</v>
      </c>
      <c r="I76" s="152">
        <v>220</v>
      </c>
      <c r="J76" s="152">
        <v>0</v>
      </c>
      <c r="K76" s="1" t="s">
        <v>405</v>
      </c>
      <c r="L76" s="152"/>
      <c r="M76" s="152"/>
      <c r="N76" s="1"/>
      <c r="O76"/>
      <c r="P76" s="152"/>
      <c r="Q76" s="152"/>
      <c r="R76" s="152"/>
      <c r="S76" s="152"/>
      <c r="T76" s="152"/>
      <c r="U76" s="152"/>
      <c r="V76" s="152"/>
      <c r="W76" s="152"/>
      <c r="X76" s="152"/>
      <c r="Y76" s="156"/>
      <c r="Z76" s="156"/>
      <c r="AA76" s="156"/>
      <c r="AB76" s="156"/>
      <c r="AC76" s="156"/>
      <c r="AD76" s="156"/>
      <c r="AE76" s="156"/>
      <c r="AH76" s="156"/>
      <c r="AI76" s="156"/>
      <c r="AJ76" s="152" t="s">
        <v>406</v>
      </c>
      <c r="AK76" s="152" t="s">
        <v>329</v>
      </c>
      <c r="AL76" s="152"/>
      <c r="AM76" s="156"/>
      <c r="AN76" s="156"/>
      <c r="AO76" s="156">
        <f t="shared" si="26"/>
        <v>8.1920000000000002</v>
      </c>
      <c r="AP76" s="156">
        <f t="shared" si="27"/>
        <v>0</v>
      </c>
      <c r="AQ76" s="156">
        <f t="shared" si="28"/>
        <v>202</v>
      </c>
      <c r="AR76" s="156">
        <f t="shared" si="29"/>
        <v>0</v>
      </c>
      <c r="AS76" s="156">
        <f t="shared" si="30"/>
        <v>0</v>
      </c>
      <c r="AT76" s="156">
        <f t="shared" si="31"/>
        <v>0</v>
      </c>
      <c r="AU76" s="156">
        <f t="shared" si="32"/>
        <v>0</v>
      </c>
      <c r="AV76" s="156">
        <f t="shared" si="34"/>
        <v>0</v>
      </c>
      <c r="AW76" s="156">
        <f t="shared" si="35"/>
        <v>0</v>
      </c>
      <c r="AX76" s="101">
        <f t="shared" si="33"/>
        <v>0</v>
      </c>
    </row>
    <row r="77" spans="1:50" ht="13.5" customHeight="1">
      <c r="A77" s="156" t="s">
        <v>413</v>
      </c>
      <c r="B77" s="156"/>
      <c r="C77" s="156" t="s">
        <v>69</v>
      </c>
      <c r="D77" s="156" t="s">
        <v>403</v>
      </c>
      <c r="E77" s="156" t="s">
        <v>414</v>
      </c>
      <c r="F77" s="152">
        <v>3</v>
      </c>
      <c r="G77" s="152">
        <v>4</v>
      </c>
      <c r="H77" s="152">
        <v>0</v>
      </c>
      <c r="I77" s="152">
        <v>50</v>
      </c>
      <c r="J77" s="152">
        <v>0</v>
      </c>
      <c r="K77" s="1" t="s">
        <v>405</v>
      </c>
      <c r="L77" s="152"/>
      <c r="M77" s="152"/>
      <c r="N77" s="1"/>
      <c r="O77"/>
      <c r="P77" s="152"/>
      <c r="Q77" s="152"/>
      <c r="R77" s="152"/>
      <c r="S77" s="152"/>
      <c r="T77" s="152"/>
      <c r="U77" s="152"/>
      <c r="V77" s="152"/>
      <c r="W77" s="152"/>
      <c r="X77" s="152"/>
      <c r="Y77" s="156"/>
      <c r="Z77" s="156"/>
      <c r="AA77" s="156"/>
      <c r="AB77" s="156"/>
      <c r="AC77" s="156"/>
      <c r="AD77" s="156"/>
      <c r="AE77" s="156"/>
      <c r="AH77" s="156"/>
      <c r="AI77" s="156"/>
      <c r="AJ77" s="152" t="s">
        <v>406</v>
      </c>
      <c r="AK77" s="152" t="s">
        <v>329</v>
      </c>
      <c r="AL77" s="152"/>
      <c r="AM77" s="156"/>
      <c r="AN77" s="156"/>
      <c r="AO77" s="156">
        <f t="shared" si="26"/>
        <v>4.0960000000000001</v>
      </c>
      <c r="AP77" s="156">
        <f t="shared" si="27"/>
        <v>0</v>
      </c>
      <c r="AQ77" s="156">
        <f t="shared" si="28"/>
        <v>46</v>
      </c>
      <c r="AR77" s="156">
        <f t="shared" si="29"/>
        <v>0</v>
      </c>
      <c r="AS77" s="156">
        <f t="shared" si="30"/>
        <v>0</v>
      </c>
      <c r="AT77" s="156">
        <f t="shared" si="31"/>
        <v>0</v>
      </c>
      <c r="AU77" s="156">
        <f t="shared" si="32"/>
        <v>0</v>
      </c>
      <c r="AV77" s="156">
        <f t="shared" si="34"/>
        <v>0</v>
      </c>
      <c r="AW77" s="156">
        <f t="shared" si="35"/>
        <v>0</v>
      </c>
      <c r="AX77" s="101">
        <f t="shared" si="33"/>
        <v>0</v>
      </c>
    </row>
    <row r="78" spans="1:50" ht="13.5" customHeight="1">
      <c r="A78" s="156" t="s">
        <v>415</v>
      </c>
      <c r="B78" s="156"/>
      <c r="C78" s="156" t="s">
        <v>69</v>
      </c>
      <c r="D78" s="156" t="s">
        <v>403</v>
      </c>
      <c r="E78" s="156" t="s">
        <v>416</v>
      </c>
      <c r="F78" s="152">
        <v>3</v>
      </c>
      <c r="G78" s="152">
        <v>4</v>
      </c>
      <c r="H78" s="152">
        <v>0</v>
      </c>
      <c r="I78" s="152">
        <v>50</v>
      </c>
      <c r="J78" s="152">
        <v>0</v>
      </c>
      <c r="K78" s="152" t="s">
        <v>405</v>
      </c>
      <c r="L78" s="152"/>
      <c r="M78" s="152"/>
      <c r="N78" s="1"/>
      <c r="O78"/>
      <c r="P78" s="152"/>
      <c r="Q78" s="152"/>
      <c r="R78" s="152"/>
      <c r="S78" s="152"/>
      <c r="T78" s="152"/>
      <c r="U78" s="152"/>
      <c r="V78" s="152"/>
      <c r="W78" s="152"/>
      <c r="X78" s="152"/>
      <c r="Y78" s="156"/>
      <c r="Z78" s="156"/>
      <c r="AA78" s="156"/>
      <c r="AB78" s="156"/>
      <c r="AC78" s="156"/>
      <c r="AD78" s="156"/>
      <c r="AE78" s="156"/>
      <c r="AH78" s="156"/>
      <c r="AI78" s="156"/>
      <c r="AJ78" s="152" t="s">
        <v>406</v>
      </c>
      <c r="AK78" s="152" t="s">
        <v>329</v>
      </c>
      <c r="AL78" s="152"/>
      <c r="AM78" s="156"/>
      <c r="AN78" s="156"/>
      <c r="AO78" s="156">
        <f t="shared" si="26"/>
        <v>4.0960000000000001</v>
      </c>
      <c r="AP78" s="156">
        <f t="shared" si="27"/>
        <v>0</v>
      </c>
      <c r="AQ78" s="156">
        <f t="shared" si="28"/>
        <v>46</v>
      </c>
      <c r="AR78" s="156">
        <f t="shared" si="29"/>
        <v>0</v>
      </c>
      <c r="AS78" s="156">
        <f t="shared" si="30"/>
        <v>0</v>
      </c>
      <c r="AT78" s="156">
        <f t="shared" si="31"/>
        <v>0</v>
      </c>
      <c r="AU78" s="156">
        <f t="shared" si="32"/>
        <v>0</v>
      </c>
      <c r="AV78" s="156">
        <f t="shared" si="34"/>
        <v>0</v>
      </c>
      <c r="AW78" s="156">
        <f t="shared" si="35"/>
        <v>0</v>
      </c>
      <c r="AX78" s="101">
        <f t="shared" si="33"/>
        <v>0</v>
      </c>
    </row>
    <row r="79" spans="1:50" ht="13.5" customHeight="1">
      <c r="A79" s="156" t="s">
        <v>417</v>
      </c>
      <c r="B79" s="156"/>
      <c r="C79" s="156" t="s">
        <v>69</v>
      </c>
      <c r="D79" s="156" t="s">
        <v>403</v>
      </c>
      <c r="E79" s="156" t="s">
        <v>418</v>
      </c>
      <c r="F79" s="152">
        <v>16</v>
      </c>
      <c r="G79" s="152">
        <v>96</v>
      </c>
      <c r="H79" s="152">
        <v>0</v>
      </c>
      <c r="I79" s="152">
        <v>50</v>
      </c>
      <c r="J79" s="152">
        <v>0</v>
      </c>
      <c r="K79" s="152" t="s">
        <v>405</v>
      </c>
      <c r="L79" s="152"/>
      <c r="M79" s="152"/>
      <c r="N79" s="1"/>
      <c r="O79"/>
      <c r="P79" s="152"/>
      <c r="Q79" s="152"/>
      <c r="R79" s="152"/>
      <c r="S79" s="152"/>
      <c r="T79" s="152"/>
      <c r="U79" s="152"/>
      <c r="V79" s="152"/>
      <c r="W79" s="152"/>
      <c r="X79" s="152"/>
      <c r="Y79" s="156"/>
      <c r="Z79" s="156"/>
      <c r="AA79" s="156"/>
      <c r="AB79" s="156"/>
      <c r="AC79" s="156"/>
      <c r="AD79" s="156"/>
      <c r="AE79" s="156"/>
      <c r="AH79" s="156"/>
      <c r="AI79" s="156"/>
      <c r="AJ79" s="152" t="s">
        <v>419</v>
      </c>
      <c r="AK79" s="152"/>
      <c r="AL79" s="152"/>
      <c r="AM79" s="156"/>
      <c r="AN79" s="156"/>
      <c r="AO79" s="156">
        <f t="shared" si="26"/>
        <v>98.304000000000002</v>
      </c>
      <c r="AP79" s="156">
        <f t="shared" si="27"/>
        <v>0</v>
      </c>
      <c r="AQ79" s="156">
        <f t="shared" si="28"/>
        <v>46</v>
      </c>
      <c r="AR79" s="156">
        <f t="shared" si="29"/>
        <v>0</v>
      </c>
      <c r="AS79" s="156">
        <f t="shared" si="30"/>
        <v>0</v>
      </c>
      <c r="AT79" s="156">
        <f t="shared" si="31"/>
        <v>0</v>
      </c>
      <c r="AU79" s="156">
        <f t="shared" si="32"/>
        <v>0</v>
      </c>
      <c r="AV79" s="156">
        <f t="shared" si="34"/>
        <v>0</v>
      </c>
      <c r="AW79" s="156">
        <f t="shared" si="35"/>
        <v>0</v>
      </c>
      <c r="AX79" s="101">
        <f t="shared" si="33"/>
        <v>0</v>
      </c>
    </row>
    <row r="80" spans="1:50" ht="13.5" customHeight="1">
      <c r="A80" s="156" t="s">
        <v>420</v>
      </c>
      <c r="B80" s="156"/>
      <c r="C80" s="156" t="s">
        <v>69</v>
      </c>
      <c r="D80" s="156" t="s">
        <v>403</v>
      </c>
      <c r="E80" s="156" t="s">
        <v>421</v>
      </c>
      <c r="F80" s="152">
        <v>16</v>
      </c>
      <c r="G80" s="152">
        <v>96</v>
      </c>
      <c r="H80" s="152">
        <v>0</v>
      </c>
      <c r="I80" s="152">
        <v>50</v>
      </c>
      <c r="J80" s="152">
        <v>0</v>
      </c>
      <c r="K80" s="152" t="s">
        <v>405</v>
      </c>
      <c r="L80" s="156"/>
      <c r="M80" s="156"/>
      <c r="N80" s="132"/>
      <c r="O80"/>
      <c r="P80" s="152"/>
      <c r="Q80" s="152"/>
      <c r="R80" s="152"/>
      <c r="S80" s="152"/>
      <c r="T80" s="152"/>
      <c r="U80" s="152"/>
      <c r="V80" s="152"/>
      <c r="W80" s="152"/>
      <c r="X80" s="152"/>
      <c r="Y80" s="156"/>
      <c r="Z80" s="156"/>
      <c r="AA80" s="156"/>
      <c r="AB80" s="156"/>
      <c r="AC80" s="156"/>
      <c r="AD80" s="156"/>
      <c r="AE80" s="156"/>
      <c r="AH80" s="156"/>
      <c r="AI80" s="156"/>
      <c r="AJ80" s="152" t="s">
        <v>419</v>
      </c>
      <c r="AK80" s="152"/>
      <c r="AL80" s="152"/>
      <c r="AM80" s="156"/>
      <c r="AN80" s="156"/>
      <c r="AO80" s="156">
        <f t="shared" si="26"/>
        <v>98.304000000000002</v>
      </c>
      <c r="AP80" s="156">
        <f t="shared" si="27"/>
        <v>0</v>
      </c>
      <c r="AQ80" s="156">
        <f t="shared" si="28"/>
        <v>46</v>
      </c>
      <c r="AR80" s="156">
        <f t="shared" si="29"/>
        <v>0</v>
      </c>
      <c r="AS80" s="156">
        <f t="shared" si="30"/>
        <v>0</v>
      </c>
      <c r="AT80" s="156">
        <f t="shared" si="31"/>
        <v>0</v>
      </c>
      <c r="AU80" s="156">
        <f t="shared" si="32"/>
        <v>0</v>
      </c>
      <c r="AV80" s="156">
        <f t="shared" si="34"/>
        <v>0</v>
      </c>
      <c r="AW80" s="156">
        <f t="shared" si="35"/>
        <v>0</v>
      </c>
      <c r="AX80" s="101">
        <f t="shared" si="33"/>
        <v>0</v>
      </c>
    </row>
    <row r="81" spans="1:50" ht="13.5" customHeight="1">
      <c r="A81" s="101" t="s">
        <v>422</v>
      </c>
      <c r="B81" s="101"/>
      <c r="C81" s="101" t="s">
        <v>69</v>
      </c>
      <c r="D81" s="101" t="s">
        <v>403</v>
      </c>
      <c r="E81" s="101" t="s">
        <v>423</v>
      </c>
      <c r="F81" s="102">
        <v>16</v>
      </c>
      <c r="G81" s="102">
        <v>96</v>
      </c>
      <c r="H81" s="102">
        <v>0</v>
      </c>
      <c r="I81" s="102">
        <v>50</v>
      </c>
      <c r="J81" s="102">
        <v>0</v>
      </c>
      <c r="K81" s="102" t="s">
        <v>405</v>
      </c>
      <c r="L81" s="101"/>
      <c r="M81" s="101"/>
      <c r="N81" s="167"/>
      <c r="O81" s="168"/>
      <c r="P81" s="102"/>
      <c r="Q81" s="102"/>
      <c r="R81" s="102"/>
      <c r="S81" s="102"/>
      <c r="T81" s="102"/>
      <c r="U81" s="102"/>
      <c r="V81" s="102"/>
      <c r="W81" s="102"/>
      <c r="X81" s="102"/>
      <c r="Y81" s="101"/>
      <c r="Z81" s="101"/>
      <c r="AA81" s="101"/>
      <c r="AB81" s="101"/>
      <c r="AC81" s="101"/>
      <c r="AD81" s="101"/>
      <c r="AE81" s="101"/>
      <c r="AF81" s="101"/>
      <c r="AG81" s="101"/>
      <c r="AH81" s="101"/>
      <c r="AI81" s="101"/>
      <c r="AJ81" s="102" t="s">
        <v>419</v>
      </c>
      <c r="AK81" s="102"/>
      <c r="AL81" s="102"/>
      <c r="AM81" s="101"/>
      <c r="AN81" s="101"/>
      <c r="AO81" s="101">
        <f t="shared" si="26"/>
        <v>98.304000000000002</v>
      </c>
      <c r="AP81" s="101">
        <f t="shared" si="27"/>
        <v>0</v>
      </c>
      <c r="AQ81" s="101">
        <f t="shared" si="28"/>
        <v>46</v>
      </c>
      <c r="AR81" s="101">
        <f t="shared" si="29"/>
        <v>0</v>
      </c>
      <c r="AS81" s="101">
        <f t="shared" si="30"/>
        <v>0</v>
      </c>
      <c r="AT81" s="101">
        <f t="shared" si="31"/>
        <v>0</v>
      </c>
      <c r="AU81" s="101">
        <f t="shared" si="32"/>
        <v>0</v>
      </c>
      <c r="AV81" s="101">
        <f t="shared" si="34"/>
        <v>0</v>
      </c>
      <c r="AW81" s="101">
        <f t="shared" si="35"/>
        <v>0</v>
      </c>
      <c r="AX81" s="101">
        <f t="shared" si="33"/>
        <v>0</v>
      </c>
    </row>
    <row r="82" spans="1:50" s="156" customFormat="1" ht="13.5" customHeight="1">
      <c r="A82" s="156" t="s">
        <v>673</v>
      </c>
      <c r="C82" s="156" t="s">
        <v>674</v>
      </c>
      <c r="D82" s="156" t="s">
        <v>397</v>
      </c>
      <c r="E82" s="156" t="s">
        <v>675</v>
      </c>
      <c r="F82" s="164">
        <v>4</v>
      </c>
      <c r="G82" s="164">
        <v>4</v>
      </c>
      <c r="H82" s="164">
        <v>0</v>
      </c>
      <c r="I82" s="164">
        <v>25</v>
      </c>
      <c r="J82" s="164">
        <f>G82-H82</f>
        <v>4</v>
      </c>
      <c r="K82" s="165" t="s">
        <v>676</v>
      </c>
      <c r="N82" s="132"/>
      <c r="O82"/>
      <c r="P82" s="164"/>
      <c r="Q82" s="164"/>
      <c r="R82" s="164"/>
      <c r="S82" s="164"/>
      <c r="T82" s="164"/>
      <c r="U82" s="164"/>
      <c r="V82" s="164"/>
      <c r="W82" s="164"/>
      <c r="X82" s="164"/>
      <c r="AJ82" s="164" t="s">
        <v>328</v>
      </c>
      <c r="AK82" s="164" t="s">
        <v>329</v>
      </c>
      <c r="AL82" s="164"/>
      <c r="AO82" s="156">
        <f>IF(ISBLANK($A82),,G82*1.024)</f>
        <v>4.0960000000000001</v>
      </c>
      <c r="AP82" s="101">
        <f t="shared" ref="AP82:AP83" si="36">IF(ISBLANK($A82),,H82*1.024)</f>
        <v>0</v>
      </c>
      <c r="AQ82" s="101">
        <f t="shared" ref="AQ82:AQ83" si="37">IF(ISBLANK($A82),,ROUNDDOWN(I82*$AS$6*1.024,))</f>
        <v>23</v>
      </c>
      <c r="AR82" s="101">
        <f t="shared" ref="AR82:AR83" si="38">IF(ISBLANK($A82),,ROUNDDOWN(L82*$AS$6*1.024,))</f>
        <v>0</v>
      </c>
      <c r="AS82" s="101">
        <f t="shared" ref="AS82:AS83" si="39">IF(ISBLANK($A82),,ROUNDDOWN(N82*$AS$6*1.024,))</f>
        <v>0</v>
      </c>
      <c r="AT82" s="101">
        <f t="shared" ref="AT82:AT83" si="40">IF(ISBLANK($A82),,ROUNDDOWN(P82*$AS$6*1.024,))</f>
        <v>0</v>
      </c>
      <c r="AU82" s="101">
        <f t="shared" ref="AU82:AU83" si="41">IF(ISBLANK($A82),,ROUNDDOWN(R82*$AS$6*1.024,))</f>
        <v>0</v>
      </c>
      <c r="AV82" s="101">
        <f t="shared" ref="AV82:AV83" si="42">IF(ISBLANK($A82),,ROUNDDOWN(V82*$AS$6*1.024,))</f>
        <v>0</v>
      </c>
      <c r="AW82" s="101">
        <f t="shared" ref="AW82:AW83" si="43">IF(ISBLANK($A82),,ROUNDDOWN(X82*$AS$6*1.024,))</f>
        <v>0</v>
      </c>
      <c r="AX82" s="101">
        <f t="shared" ref="AX82:AX83" si="44">IF(ISBLANK($A82),,ROUNDDOWN(X82*AS$6*1.024,))</f>
        <v>0</v>
      </c>
    </row>
    <row r="83" spans="1:50" s="13" customFormat="1" ht="13.5" customHeight="1">
      <c r="A83" s="13" t="s">
        <v>677</v>
      </c>
      <c r="C83" s="13" t="s">
        <v>674</v>
      </c>
      <c r="D83" s="13" t="s">
        <v>397</v>
      </c>
      <c r="E83" s="13" t="s">
        <v>678</v>
      </c>
      <c r="F83" s="8">
        <v>4</v>
      </c>
      <c r="G83" s="8">
        <v>4</v>
      </c>
      <c r="H83" s="8">
        <v>0</v>
      </c>
      <c r="I83" s="8">
        <v>25</v>
      </c>
      <c r="J83" s="8">
        <f>G83-H83</f>
        <v>4</v>
      </c>
      <c r="K83" s="36" t="s">
        <v>676</v>
      </c>
      <c r="AJ83" s="8" t="s">
        <v>328</v>
      </c>
      <c r="AK83" s="8" t="s">
        <v>329</v>
      </c>
      <c r="AO83" s="13">
        <f>IF(ISBLANK($A83),,G83*1.024)</f>
        <v>4.0960000000000001</v>
      </c>
      <c r="AP83" s="101">
        <f t="shared" si="36"/>
        <v>0</v>
      </c>
      <c r="AQ83" s="101">
        <f t="shared" si="37"/>
        <v>23</v>
      </c>
      <c r="AR83" s="101">
        <f t="shared" si="38"/>
        <v>0</v>
      </c>
      <c r="AS83" s="101">
        <f t="shared" si="39"/>
        <v>0</v>
      </c>
      <c r="AT83" s="101">
        <f t="shared" si="40"/>
        <v>0</v>
      </c>
      <c r="AU83" s="101">
        <f t="shared" si="41"/>
        <v>0</v>
      </c>
      <c r="AV83" s="101">
        <f t="shared" si="42"/>
        <v>0</v>
      </c>
      <c r="AW83" s="101">
        <f t="shared" si="43"/>
        <v>0</v>
      </c>
      <c r="AX83" s="101">
        <f t="shared" si="44"/>
        <v>0</v>
      </c>
    </row>
    <row r="84" spans="1:50">
      <c r="A84" s="156"/>
      <c r="B84" s="156"/>
      <c r="C84" s="156"/>
      <c r="D84" s="156"/>
      <c r="E84" s="156"/>
      <c r="F84" s="152">
        <f>SUM(F73:F83)+F70</f>
        <v>317</v>
      </c>
      <c r="G84" s="164">
        <f>SUM(G73:G83)+G70</f>
        <v>943</v>
      </c>
      <c r="H84" s="164">
        <f>SUM(H73:H83)+H70</f>
        <v>202.75</v>
      </c>
      <c r="I84" s="164">
        <f>SUM(I73:I83)+I70</f>
        <v>5670</v>
      </c>
      <c r="J84" s="152"/>
      <c r="K84" s="152"/>
      <c r="L84" s="164">
        <f>SUM(L73:L83)+L70</f>
        <v>66</v>
      </c>
      <c r="M84" s="152"/>
      <c r="N84" s="164">
        <f>SUM(N73:N83)+N70</f>
        <v>1500</v>
      </c>
      <c r="O84" s="152"/>
      <c r="P84" s="164">
        <f>SUM(P73:P83)+P70</f>
        <v>2250</v>
      </c>
      <c r="Q84" s="152"/>
      <c r="R84" s="164">
        <f>SUM(R73:R83)+R70</f>
        <v>360</v>
      </c>
      <c r="S84" s="152"/>
      <c r="T84" s="164">
        <f>SUM(T73:T83)+T70</f>
        <v>300</v>
      </c>
      <c r="U84" s="152"/>
      <c r="V84" s="164">
        <f>SUM(V73:V83)+V70</f>
        <v>3000</v>
      </c>
      <c r="W84" s="152"/>
      <c r="X84" s="164">
        <f>SUM(X73:X83)+X70</f>
        <v>6855</v>
      </c>
      <c r="Y84" s="156"/>
      <c r="Z84" s="164">
        <f>SUM(Z73:Z83)+Z70</f>
        <v>100</v>
      </c>
      <c r="AA84" s="156"/>
      <c r="AB84" s="164">
        <f>SUM(AB73:AB83)+AB70</f>
        <v>50</v>
      </c>
      <c r="AC84" s="156"/>
      <c r="AD84" s="164">
        <f>SUM(AD73:AD83)+AD70</f>
        <v>170</v>
      </c>
      <c r="AE84" s="156"/>
      <c r="AF84" s="179">
        <f>SUM(AF73:AF83)+AF70</f>
        <v>150</v>
      </c>
      <c r="AH84" s="164">
        <f>SUM(AH73:AH83)+AH70</f>
        <v>2500</v>
      </c>
      <c r="AI84" s="156"/>
      <c r="AJ84" s="156"/>
      <c r="AK84" s="152" t="s">
        <v>700</v>
      </c>
      <c r="AL84" s="152">
        <v>3</v>
      </c>
      <c r="AM84" s="156"/>
      <c r="AN84" s="156"/>
      <c r="AO84" s="156"/>
      <c r="AP84" s="156"/>
      <c r="AQ84" s="156"/>
      <c r="AR84" s="156"/>
      <c r="AS84" s="156"/>
      <c r="AT84" s="156"/>
      <c r="AU84" s="156"/>
      <c r="AV84" s="156"/>
      <c r="AW84" s="156"/>
      <c r="AX84" s="156"/>
    </row>
    <row r="85" spans="1:50">
      <c r="A85" s="7"/>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c r="AB85" s="156"/>
      <c r="AC85" s="156"/>
      <c r="AD85" s="156"/>
      <c r="AE85" s="156"/>
      <c r="AH85" s="156"/>
      <c r="AI85" s="156"/>
      <c r="AJ85" s="156"/>
      <c r="AK85" s="156"/>
      <c r="AL85" s="156"/>
      <c r="AM85" s="156"/>
      <c r="AN85" s="156"/>
      <c r="AO85" s="156"/>
      <c r="AP85" s="156"/>
      <c r="AQ85" s="156"/>
      <c r="AR85" s="156"/>
      <c r="AS85" s="156"/>
      <c r="AT85" s="156"/>
      <c r="AU85" s="156"/>
      <c r="AV85" s="156"/>
      <c r="AW85" s="156"/>
      <c r="AX85" s="156"/>
    </row>
    <row r="86" spans="1:50">
      <c r="A86" s="7" t="s">
        <v>424</v>
      </c>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c r="AC86" s="156"/>
      <c r="AD86" s="156"/>
      <c r="AE86" s="156"/>
      <c r="AH86" s="156"/>
      <c r="AI86" s="156"/>
      <c r="AJ86" s="156"/>
      <c r="AK86" s="156"/>
      <c r="AL86" s="156"/>
      <c r="AM86" s="156"/>
      <c r="AN86" s="156"/>
      <c r="AO86" s="156"/>
      <c r="AP86" s="156"/>
      <c r="AQ86" s="156"/>
      <c r="AR86" s="156"/>
      <c r="AS86" s="156"/>
      <c r="AT86" s="156"/>
      <c r="AU86" s="156"/>
      <c r="AV86" s="156"/>
      <c r="AW86" s="156"/>
      <c r="AX86" s="156"/>
    </row>
    <row r="87" spans="1:50">
      <c r="A87" s="156" t="s">
        <v>425</v>
      </c>
      <c r="B87" s="156"/>
      <c r="C87" s="156" t="s">
        <v>426</v>
      </c>
      <c r="D87" s="156" t="s">
        <v>427</v>
      </c>
      <c r="E87" s="156" t="s">
        <v>8</v>
      </c>
      <c r="F87" s="152">
        <v>2</v>
      </c>
      <c r="G87" s="152">
        <v>4</v>
      </c>
      <c r="H87" s="152">
        <v>4</v>
      </c>
      <c r="I87" s="152">
        <v>350</v>
      </c>
      <c r="J87" s="152">
        <f t="shared" ref="J87:J92" si="45">G87-H87</f>
        <v>0</v>
      </c>
      <c r="K87" s="154" t="s">
        <v>428</v>
      </c>
      <c r="L87" s="154"/>
      <c r="M87" s="154"/>
      <c r="N87" s="154"/>
      <c r="O87" s="154"/>
      <c r="P87" s="154"/>
      <c r="Q87" s="154"/>
      <c r="R87" s="154"/>
      <c r="S87" s="154"/>
      <c r="T87" s="152"/>
      <c r="U87" s="152"/>
      <c r="V87" s="152"/>
      <c r="W87" s="156"/>
      <c r="X87" s="156"/>
      <c r="Y87" s="156"/>
      <c r="Z87" s="152"/>
      <c r="AA87" s="152"/>
      <c r="AB87" s="152"/>
      <c r="AC87" s="152"/>
      <c r="AD87" s="152"/>
      <c r="AE87" s="152"/>
      <c r="AF87" s="179"/>
      <c r="AG87" s="179"/>
      <c r="AH87" s="152"/>
      <c r="AI87" s="152"/>
      <c r="AJ87" s="152" t="s">
        <v>328</v>
      </c>
      <c r="AK87" s="152" t="s">
        <v>329</v>
      </c>
      <c r="AL87" s="152"/>
      <c r="AM87" s="156"/>
      <c r="AN87" s="156"/>
      <c r="AO87" s="156">
        <f t="shared" ref="AO87:AO96" si="46">IF(ISBLANK($A87),,G87*1.024)</f>
        <v>4.0960000000000001</v>
      </c>
      <c r="AP87" s="156">
        <f t="shared" ref="AP87:AP96" si="47">IF(ISBLANK($A87),,H87*1.024)</f>
        <v>4.0960000000000001</v>
      </c>
      <c r="AQ87" s="156">
        <f>IF(ISBLANK($A87),,ROUNDDOWN(I87*AS6*1.024,))</f>
        <v>322</v>
      </c>
      <c r="AR87" s="156">
        <f>IF(ISBLANK($A87),,ROUNDDOWN(L87*AS6*1.024,))</f>
        <v>0</v>
      </c>
      <c r="AS87" s="156">
        <f>IF(ISBLANK($A87),,ROUNDDOWN(N87*AS6*1.024,))</f>
        <v>0</v>
      </c>
      <c r="AT87" s="156">
        <f>IF(ISBLANK($A87),,ROUNDDOWN(P87*AS6*1.024,))</f>
        <v>0</v>
      </c>
      <c r="AU87" s="156">
        <f>IF(ISBLANK($A87),,ROUNDDOWN(R87*AS6*1.024,))</f>
        <v>0</v>
      </c>
      <c r="AV87" s="156">
        <f t="shared" ref="AV87:AV95" si="48">IF(ISBLANK($A87),,ROUNDDOWN(T87*AS$6*1.024,))</f>
        <v>0</v>
      </c>
      <c r="AW87" s="156">
        <f>IF(ISBLANK($A87),,ROUNDDOWN(V87*AS6*1.024,))</f>
        <v>0</v>
      </c>
      <c r="AX87" s="156">
        <f>IF(ISBLANK($A87),,ROUNDDOWN(X87*AS6*1.024,))</f>
        <v>0</v>
      </c>
    </row>
    <row r="88" spans="1:50">
      <c r="A88" s="156" t="s">
        <v>429</v>
      </c>
      <c r="B88" s="156"/>
      <c r="C88" s="156" t="s">
        <v>426</v>
      </c>
      <c r="D88" s="156" t="s">
        <v>427</v>
      </c>
      <c r="E88" s="156" t="s">
        <v>430</v>
      </c>
      <c r="F88" s="152">
        <v>6</v>
      </c>
      <c r="G88" s="152">
        <v>10</v>
      </c>
      <c r="H88" s="152">
        <v>10</v>
      </c>
      <c r="I88" s="152">
        <v>100</v>
      </c>
      <c r="J88" s="152">
        <f t="shared" si="45"/>
        <v>0</v>
      </c>
      <c r="K88" s="154" t="s">
        <v>428</v>
      </c>
      <c r="L88" s="154"/>
      <c r="M88" s="154"/>
      <c r="N88" s="154">
        <v>200</v>
      </c>
      <c r="O88" s="154" t="s">
        <v>431</v>
      </c>
      <c r="P88" s="154"/>
      <c r="Q88" s="154"/>
      <c r="R88" s="154"/>
      <c r="S88" s="154"/>
      <c r="T88" s="152"/>
      <c r="U88" s="152"/>
      <c r="V88" s="152"/>
      <c r="W88" s="156"/>
      <c r="X88" s="156"/>
      <c r="Y88" s="156"/>
      <c r="Z88" s="152"/>
      <c r="AA88" s="152"/>
      <c r="AB88" s="152"/>
      <c r="AC88" s="152"/>
      <c r="AD88" s="152"/>
      <c r="AE88" s="152"/>
      <c r="AF88" s="179"/>
      <c r="AG88" s="179"/>
      <c r="AH88" s="152"/>
      <c r="AI88" s="152"/>
      <c r="AJ88" s="152" t="s">
        <v>328</v>
      </c>
      <c r="AK88" s="152" t="s">
        <v>329</v>
      </c>
      <c r="AL88" s="152"/>
      <c r="AM88" s="156"/>
      <c r="AN88" s="156"/>
      <c r="AO88" s="156">
        <f t="shared" si="46"/>
        <v>10.24</v>
      </c>
      <c r="AP88" s="156">
        <f t="shared" si="47"/>
        <v>10.24</v>
      </c>
      <c r="AQ88" s="156">
        <f>IF(ISBLANK($A88),,ROUNDDOWN(I88*AS6*1.024,))</f>
        <v>92</v>
      </c>
      <c r="AR88" s="156">
        <f>IF(ISBLANK($A88),,ROUNDDOWN(L88*AS6*1.024,))</f>
        <v>0</v>
      </c>
      <c r="AS88" s="156">
        <f>IF(ISBLANK($A88),,ROUNDDOWN(N88*AS6*1.024,))</f>
        <v>184</v>
      </c>
      <c r="AT88" s="156">
        <f>IF(ISBLANK($A88),,ROUNDDOWN(P88*AS6*1.024,))</f>
        <v>0</v>
      </c>
      <c r="AU88" s="156">
        <f>IF(ISBLANK($A88),,ROUNDDOWN(R88*AS6*1.024,))</f>
        <v>0</v>
      </c>
      <c r="AV88" s="156">
        <f t="shared" si="48"/>
        <v>0</v>
      </c>
      <c r="AW88" s="156">
        <f>IF(ISBLANK($A88),,ROUNDDOWN(V88*AS6*1.024,))</f>
        <v>0</v>
      </c>
      <c r="AX88" s="156">
        <f>IF(ISBLANK($A88),,ROUNDDOWN(X88*AS6*1.024,))</f>
        <v>0</v>
      </c>
    </row>
    <row r="89" spans="1:50">
      <c r="A89" s="156" t="s">
        <v>432</v>
      </c>
      <c r="B89" s="156"/>
      <c r="C89" s="156" t="s">
        <v>426</v>
      </c>
      <c r="D89" s="156" t="s">
        <v>427</v>
      </c>
      <c r="E89" s="156" t="s">
        <v>433</v>
      </c>
      <c r="F89" s="152">
        <v>8</v>
      </c>
      <c r="G89" s="152">
        <v>16</v>
      </c>
      <c r="H89" s="152">
        <v>16</v>
      </c>
      <c r="I89" s="152">
        <v>60</v>
      </c>
      <c r="J89" s="152">
        <f t="shared" si="45"/>
        <v>0</v>
      </c>
      <c r="K89" s="154" t="s">
        <v>434</v>
      </c>
      <c r="L89" s="154"/>
      <c r="M89" s="154"/>
      <c r="N89" s="154"/>
      <c r="O89" s="154"/>
      <c r="P89" s="154"/>
      <c r="Q89" s="154"/>
      <c r="R89" s="154"/>
      <c r="S89" s="154"/>
      <c r="T89" s="152"/>
      <c r="U89" s="152"/>
      <c r="V89" s="152"/>
      <c r="W89" s="156"/>
      <c r="X89" s="156"/>
      <c r="Y89" s="156"/>
      <c r="Z89" s="152"/>
      <c r="AA89" s="152"/>
      <c r="AB89" s="152"/>
      <c r="AC89" s="152"/>
      <c r="AD89" s="152"/>
      <c r="AE89" s="152"/>
      <c r="AF89" s="179"/>
      <c r="AG89" s="179"/>
      <c r="AH89" s="152"/>
      <c r="AI89" s="152"/>
      <c r="AJ89" s="152" t="s">
        <v>346</v>
      </c>
      <c r="AK89" s="152" t="s">
        <v>347</v>
      </c>
      <c r="AL89" s="152"/>
      <c r="AM89" s="156"/>
      <c r="AN89" s="156"/>
      <c r="AO89" s="156">
        <f t="shared" si="46"/>
        <v>16.384</v>
      </c>
      <c r="AP89" s="156">
        <f t="shared" si="47"/>
        <v>16.384</v>
      </c>
      <c r="AQ89" s="156">
        <f>IF(ISBLANK($A89),,ROUNDDOWN(I89*AS6*1.024,))</f>
        <v>55</v>
      </c>
      <c r="AR89" s="156">
        <f>IF(ISBLANK($A89),,ROUNDDOWN(L89*AS6*1.024,))</f>
        <v>0</v>
      </c>
      <c r="AS89" s="156">
        <f>IF(ISBLANK($A89),,ROUNDDOWN(N89*AS6*1.024,))</f>
        <v>0</v>
      </c>
      <c r="AT89" s="156">
        <f>IF(ISBLANK($A89),,ROUNDDOWN(P89*AS6*1.024,))</f>
        <v>0</v>
      </c>
      <c r="AU89" s="156">
        <f>IF(ISBLANK($A89),,ROUNDDOWN(R89*AS6*1.024,))</f>
        <v>0</v>
      </c>
      <c r="AV89" s="156">
        <f t="shared" si="48"/>
        <v>0</v>
      </c>
      <c r="AW89" s="156">
        <f>IF(ISBLANK($A89),,ROUNDDOWN(V89*AS6*1.024,))</f>
        <v>0</v>
      </c>
      <c r="AX89" s="156">
        <f>IF(ISBLANK($A89),,ROUNDDOWN(X89*AS6*1.024,))</f>
        <v>0</v>
      </c>
    </row>
    <row r="90" spans="1:50">
      <c r="A90" s="156" t="s">
        <v>435</v>
      </c>
      <c r="B90" s="156"/>
      <c r="C90" s="156" t="s">
        <v>426</v>
      </c>
      <c r="D90" s="156" t="s">
        <v>427</v>
      </c>
      <c r="E90" s="156" t="s">
        <v>436</v>
      </c>
      <c r="F90" s="152">
        <v>10</v>
      </c>
      <c r="G90" s="152">
        <v>10</v>
      </c>
      <c r="H90" s="152">
        <v>10</v>
      </c>
      <c r="I90" s="152">
        <v>40</v>
      </c>
      <c r="J90" s="152">
        <f t="shared" si="45"/>
        <v>0</v>
      </c>
      <c r="K90" s="154" t="s">
        <v>434</v>
      </c>
      <c r="L90" s="154"/>
      <c r="M90" s="154"/>
      <c r="N90" s="154"/>
      <c r="O90" s="154"/>
      <c r="P90" s="154"/>
      <c r="Q90" s="154"/>
      <c r="R90" s="154"/>
      <c r="S90" s="154"/>
      <c r="T90" s="152"/>
      <c r="U90" s="152"/>
      <c r="V90" s="152"/>
      <c r="W90" s="156"/>
      <c r="X90" s="156"/>
      <c r="Y90" s="156"/>
      <c r="Z90" s="152"/>
      <c r="AA90" s="152"/>
      <c r="AB90" s="152"/>
      <c r="AC90" s="152"/>
      <c r="AD90" s="152"/>
      <c r="AE90" s="152"/>
      <c r="AF90" s="179"/>
      <c r="AG90" s="179"/>
      <c r="AH90" s="152"/>
      <c r="AI90" s="152"/>
      <c r="AJ90" s="152" t="s">
        <v>346</v>
      </c>
      <c r="AK90" s="152" t="s">
        <v>347</v>
      </c>
      <c r="AL90" s="152"/>
      <c r="AM90" s="156"/>
      <c r="AN90" s="156"/>
      <c r="AO90" s="156">
        <f t="shared" si="46"/>
        <v>10.24</v>
      </c>
      <c r="AP90" s="156">
        <f t="shared" si="47"/>
        <v>10.24</v>
      </c>
      <c r="AQ90" s="156">
        <f>IF(ISBLANK($A90),,ROUNDDOWN(I90*AS6*1.024,))</f>
        <v>36</v>
      </c>
      <c r="AR90" s="156">
        <f>IF(ISBLANK($A90),,ROUNDDOWN(L90*AS6*1.024,))</f>
        <v>0</v>
      </c>
      <c r="AS90" s="156">
        <f>IF(ISBLANK($A90),,ROUNDDOWN(N90*AS6*1.024,))</f>
        <v>0</v>
      </c>
      <c r="AT90" s="156">
        <f>IF(ISBLANK($A90),,ROUNDDOWN(P90*AS6*1.024,))</f>
        <v>0</v>
      </c>
      <c r="AU90" s="156">
        <f>IF(ISBLANK($A90),,ROUNDDOWN(R90*AS6*1.024,))</f>
        <v>0</v>
      </c>
      <c r="AV90" s="156">
        <f t="shared" si="48"/>
        <v>0</v>
      </c>
      <c r="AW90" s="156">
        <f>IF(ISBLANK($A90),,ROUNDDOWN(V90*AS6*1.024,))</f>
        <v>0</v>
      </c>
      <c r="AX90" s="156">
        <f>IF(ISBLANK($A90),,ROUNDDOWN(X90*AS6*1.024,))</f>
        <v>0</v>
      </c>
    </row>
    <row r="91" spans="1:50">
      <c r="A91" s="156" t="s">
        <v>437</v>
      </c>
      <c r="B91" s="156"/>
      <c r="C91" s="156" t="s">
        <v>426</v>
      </c>
      <c r="D91" s="156" t="s">
        <v>427</v>
      </c>
      <c r="E91" s="156" t="s">
        <v>438</v>
      </c>
      <c r="F91" s="152">
        <v>4</v>
      </c>
      <c r="G91" s="152">
        <v>16</v>
      </c>
      <c r="H91" s="152">
        <v>0</v>
      </c>
      <c r="I91" s="152">
        <v>550</v>
      </c>
      <c r="J91" s="152">
        <f t="shared" si="45"/>
        <v>16</v>
      </c>
      <c r="K91" s="154" t="s">
        <v>439</v>
      </c>
      <c r="L91" s="154"/>
      <c r="M91" s="154"/>
      <c r="N91" s="154"/>
      <c r="O91" s="154"/>
      <c r="P91" s="154"/>
      <c r="Q91" s="154"/>
      <c r="R91" s="154"/>
      <c r="S91" s="154"/>
      <c r="T91" s="152"/>
      <c r="U91" s="152"/>
      <c r="V91" s="152"/>
      <c r="W91" s="156"/>
      <c r="X91" s="156"/>
      <c r="Y91" s="156"/>
      <c r="Z91" s="152"/>
      <c r="AA91" s="152"/>
      <c r="AB91" s="152"/>
      <c r="AC91" s="152"/>
      <c r="AD91" s="152"/>
      <c r="AE91" s="152"/>
      <c r="AF91" s="179"/>
      <c r="AG91" s="179"/>
      <c r="AH91" s="152"/>
      <c r="AI91" s="152"/>
      <c r="AJ91" s="152" t="s">
        <v>346</v>
      </c>
      <c r="AK91" s="152" t="s">
        <v>347</v>
      </c>
      <c r="AL91" s="152"/>
      <c r="AM91" s="156"/>
      <c r="AN91" s="156"/>
      <c r="AO91" s="156">
        <f t="shared" si="46"/>
        <v>16.384</v>
      </c>
      <c r="AP91" s="156">
        <f t="shared" si="47"/>
        <v>0</v>
      </c>
      <c r="AQ91" s="156">
        <f>IF(ISBLANK($A91),,ROUNDDOWN(I91*AS6*1.024,))</f>
        <v>506</v>
      </c>
      <c r="AR91" s="156">
        <f>IF(ISBLANK($A91),,ROUNDDOWN(L91*AS6*1.024,))</f>
        <v>0</v>
      </c>
      <c r="AS91" s="156">
        <f>IF(ISBLANK($A91),,ROUNDDOWN(N91*AS6*1.024,))</f>
        <v>0</v>
      </c>
      <c r="AT91" s="156">
        <f>IF(ISBLANK($A91),,ROUNDDOWN(P91*AS6*1.024,))</f>
        <v>0</v>
      </c>
      <c r="AU91" s="156">
        <f>IF(ISBLANK($A91),,ROUNDDOWN(R91*AS6*1.024,))</f>
        <v>0</v>
      </c>
      <c r="AV91" s="156">
        <f t="shared" si="48"/>
        <v>0</v>
      </c>
      <c r="AW91" s="156">
        <f>IF(ISBLANK($A91),,ROUNDDOWN(V91*AS6*1.024,))</f>
        <v>0</v>
      </c>
      <c r="AX91" s="156">
        <f>IF(ISBLANK($A91),,ROUNDDOWN(X91*AS6*1.024,))</f>
        <v>0</v>
      </c>
    </row>
    <row r="92" spans="1:50">
      <c r="A92" s="156" t="s">
        <v>440</v>
      </c>
      <c r="B92" s="156"/>
      <c r="C92" s="156" t="s">
        <v>426</v>
      </c>
      <c r="D92" s="156" t="s">
        <v>427</v>
      </c>
      <c r="E92" s="156" t="s">
        <v>441</v>
      </c>
      <c r="F92" s="152">
        <v>2</v>
      </c>
      <c r="G92" s="152">
        <v>4</v>
      </c>
      <c r="H92" s="152">
        <v>4</v>
      </c>
      <c r="I92" s="152">
        <v>40</v>
      </c>
      <c r="J92" s="152">
        <f t="shared" si="45"/>
        <v>0</v>
      </c>
      <c r="K92" s="154" t="s">
        <v>434</v>
      </c>
      <c r="L92" s="154"/>
      <c r="M92" s="154"/>
      <c r="N92" s="154"/>
      <c r="O92" s="154"/>
      <c r="P92" s="154"/>
      <c r="Q92" s="154"/>
      <c r="R92" s="154">
        <v>50</v>
      </c>
      <c r="S92" s="154" t="s">
        <v>442</v>
      </c>
      <c r="T92" s="152"/>
      <c r="U92" s="152"/>
      <c r="V92" s="152"/>
      <c r="W92" s="156"/>
      <c r="X92" s="156"/>
      <c r="Y92" s="156"/>
      <c r="Z92" s="152"/>
      <c r="AA92" s="152"/>
      <c r="AB92" s="152"/>
      <c r="AC92" s="152"/>
      <c r="AD92" s="152"/>
      <c r="AE92" s="152"/>
      <c r="AF92" s="179"/>
      <c r="AG92" s="179"/>
      <c r="AH92" s="152"/>
      <c r="AI92" s="152"/>
      <c r="AJ92" s="152" t="s">
        <v>328</v>
      </c>
      <c r="AK92" s="152" t="s">
        <v>329</v>
      </c>
      <c r="AL92" s="152"/>
      <c r="AM92" s="156"/>
      <c r="AN92" s="156"/>
      <c r="AO92" s="156">
        <f t="shared" si="46"/>
        <v>4.0960000000000001</v>
      </c>
      <c r="AP92" s="156">
        <f t="shared" si="47"/>
        <v>4.0960000000000001</v>
      </c>
      <c r="AQ92" s="156">
        <f>IF(ISBLANK($A92),,ROUNDDOWN(I92*AS6*1.024,))</f>
        <v>36</v>
      </c>
      <c r="AR92" s="156">
        <f>IF(ISBLANK($A92),,ROUNDDOWN(L92*AS6*1.024,))</f>
        <v>0</v>
      </c>
      <c r="AS92" s="156">
        <f>IF(ISBLANK($A92),,ROUNDDOWN(N92*AS6*1.024,))</f>
        <v>0</v>
      </c>
      <c r="AT92" s="156">
        <f>IF(ISBLANK($A92),,ROUNDDOWN(P92*AS6*1.024,))</f>
        <v>0</v>
      </c>
      <c r="AU92" s="156">
        <f>IF(ISBLANK($A92),,ROUNDDOWN(R92*AS6*1.024,))</f>
        <v>46</v>
      </c>
      <c r="AV92" s="156">
        <f t="shared" si="48"/>
        <v>0</v>
      </c>
      <c r="AW92" s="156">
        <f>IF(ISBLANK($A92),,ROUNDDOWN(V92*AS6*1.024,))</f>
        <v>0</v>
      </c>
      <c r="AX92" s="156">
        <f>IF(ISBLANK($A92),,ROUNDDOWN(X92*AS6*1.024,))</f>
        <v>0</v>
      </c>
    </row>
    <row r="93" spans="1:50">
      <c r="A93" s="156" t="s">
        <v>443</v>
      </c>
      <c r="B93" s="156"/>
      <c r="C93" s="156" t="s">
        <v>444</v>
      </c>
      <c r="D93" s="156" t="s">
        <v>427</v>
      </c>
      <c r="E93" s="156" t="s">
        <v>45</v>
      </c>
      <c r="F93" s="152">
        <v>6</v>
      </c>
      <c r="G93" s="152">
        <v>20</v>
      </c>
      <c r="H93" s="152">
        <v>0</v>
      </c>
      <c r="I93" s="152">
        <v>80</v>
      </c>
      <c r="J93" s="154">
        <f>G93-H93</f>
        <v>20</v>
      </c>
      <c r="K93" s="154" t="s">
        <v>445</v>
      </c>
      <c r="L93" s="154"/>
      <c r="M93" s="154"/>
      <c r="N93" s="154"/>
      <c r="O93" s="154"/>
      <c r="P93" s="154"/>
      <c r="Q93" s="154"/>
      <c r="R93" s="154"/>
      <c r="S93" s="154"/>
      <c r="T93" s="152"/>
      <c r="U93" s="152"/>
      <c r="V93" s="152"/>
      <c r="W93" s="156"/>
      <c r="X93" s="156"/>
      <c r="Y93" s="156"/>
      <c r="Z93" s="152"/>
      <c r="AA93" s="152"/>
      <c r="AB93" s="152"/>
      <c r="AC93" s="152"/>
      <c r="AD93" s="152"/>
      <c r="AE93" s="152"/>
      <c r="AF93" s="179"/>
      <c r="AG93" s="179"/>
      <c r="AH93" s="152"/>
      <c r="AI93" s="152"/>
      <c r="AJ93" s="152" t="s">
        <v>328</v>
      </c>
      <c r="AK93" s="152" t="s">
        <v>329</v>
      </c>
      <c r="AL93" s="152"/>
      <c r="AM93" s="156"/>
      <c r="AN93" s="156"/>
      <c r="AO93" s="156">
        <f t="shared" si="46"/>
        <v>20.48</v>
      </c>
      <c r="AP93" s="156">
        <f t="shared" si="47"/>
        <v>0</v>
      </c>
      <c r="AQ93" s="156">
        <f>IF(ISBLANK($A93),,ROUNDDOWN(I93*AS6*1.024,))</f>
        <v>73</v>
      </c>
      <c r="AR93" s="156">
        <f>IF(ISBLANK($A93),,ROUNDDOWN(L93*AS6*1.024,))</f>
        <v>0</v>
      </c>
      <c r="AS93" s="156">
        <f>IF(ISBLANK($A93),,ROUNDDOWN(N93*AS6*1.024,))</f>
        <v>0</v>
      </c>
      <c r="AT93" s="156">
        <f>IF(ISBLANK($A93),,ROUNDDOWN(P93*AS6*1.024,))</f>
        <v>0</v>
      </c>
      <c r="AU93" s="156">
        <f>IF(ISBLANK($A93),,ROUNDDOWN(R93*AS6*1.024,))</f>
        <v>0</v>
      </c>
      <c r="AV93" s="156">
        <f t="shared" si="48"/>
        <v>0</v>
      </c>
      <c r="AW93" s="156">
        <f>IF(ISBLANK($A93),,ROUNDDOWN(V93*AS6*1.024,))</f>
        <v>0</v>
      </c>
      <c r="AX93" s="156">
        <f>IF(ISBLANK($A93),,ROUNDDOWN(X93*AS6*1.024,))</f>
        <v>0</v>
      </c>
    </row>
    <row r="94" spans="1:50">
      <c r="A94" s="101" t="s">
        <v>446</v>
      </c>
      <c r="B94" s="101"/>
      <c r="C94" s="101" t="s">
        <v>444</v>
      </c>
      <c r="D94" s="101" t="s">
        <v>427</v>
      </c>
      <c r="E94" s="101" t="s">
        <v>45</v>
      </c>
      <c r="F94" s="102">
        <v>6</v>
      </c>
      <c r="G94" s="102">
        <v>20</v>
      </c>
      <c r="H94" s="102">
        <v>0</v>
      </c>
      <c r="I94" s="102">
        <v>80</v>
      </c>
      <c r="J94" s="114">
        <f>G94-H94</f>
        <v>20</v>
      </c>
      <c r="K94" s="114" t="s">
        <v>445</v>
      </c>
      <c r="L94" s="114"/>
      <c r="M94" s="114"/>
      <c r="N94" s="114"/>
      <c r="O94" s="114"/>
      <c r="P94" s="114"/>
      <c r="Q94" s="114"/>
      <c r="R94" s="114"/>
      <c r="S94" s="114"/>
      <c r="T94" s="102"/>
      <c r="U94" s="102"/>
      <c r="V94" s="102"/>
      <c r="W94" s="101"/>
      <c r="X94" s="101"/>
      <c r="Y94" s="101"/>
      <c r="Z94" s="102"/>
      <c r="AA94" s="102"/>
      <c r="AB94" s="102"/>
      <c r="AC94" s="102"/>
      <c r="AD94" s="102"/>
      <c r="AE94" s="102"/>
      <c r="AF94" s="102"/>
      <c r="AG94" s="102"/>
      <c r="AH94" s="102"/>
      <c r="AI94" s="102"/>
      <c r="AJ94" s="102" t="s">
        <v>328</v>
      </c>
      <c r="AK94" s="102" t="s">
        <v>329</v>
      </c>
      <c r="AL94" s="102"/>
      <c r="AM94" s="156"/>
      <c r="AN94" s="156"/>
      <c r="AO94" s="156">
        <f t="shared" si="46"/>
        <v>20.48</v>
      </c>
      <c r="AP94" s="156">
        <f t="shared" si="47"/>
        <v>0</v>
      </c>
      <c r="AQ94" s="156">
        <f>IF(ISBLANK($A94),,ROUNDDOWN(I94*AS6*1.024,))</f>
        <v>73</v>
      </c>
      <c r="AR94" s="156">
        <f>IF(ISBLANK($A94),,ROUNDDOWN(L94*AS6*1.024,))</f>
        <v>0</v>
      </c>
      <c r="AS94" s="156">
        <f>IF(ISBLANK($A94),,ROUNDDOWN(N94*AS6*1.024,))</f>
        <v>0</v>
      </c>
      <c r="AT94" s="156">
        <f>IF(ISBLANK($A94),,ROUNDDOWN(P94*AS6*1.024,))</f>
        <v>0</v>
      </c>
      <c r="AU94" s="156">
        <f>IF(ISBLANK($A94),,ROUNDDOWN(R94*AS6*1.024,))</f>
        <v>0</v>
      </c>
      <c r="AV94" s="156">
        <f t="shared" si="48"/>
        <v>0</v>
      </c>
      <c r="AW94" s="156">
        <f>IF(ISBLANK($A94),,ROUNDDOWN(V94*AS6*1.024,))</f>
        <v>0</v>
      </c>
      <c r="AX94" s="156">
        <f>IF(ISBLANK($A94),,ROUNDDOWN(X94*AS6*1.024,))</f>
        <v>0</v>
      </c>
    </row>
    <row r="95" spans="1:50" s="101" customFormat="1">
      <c r="A95" s="101" t="s">
        <v>447</v>
      </c>
      <c r="C95" s="101" t="s">
        <v>448</v>
      </c>
      <c r="D95" s="101" t="s">
        <v>326</v>
      </c>
      <c r="E95" s="101" t="s">
        <v>449</v>
      </c>
      <c r="F95" s="102">
        <v>4</v>
      </c>
      <c r="G95" s="102">
        <v>8</v>
      </c>
      <c r="H95" s="102">
        <v>0</v>
      </c>
      <c r="I95" s="102">
        <v>30</v>
      </c>
      <c r="J95" s="102">
        <f>G95-H95</f>
        <v>8</v>
      </c>
      <c r="K95" s="114" t="s">
        <v>450</v>
      </c>
      <c r="L95" s="114"/>
      <c r="M95" s="114"/>
      <c r="N95" s="114"/>
      <c r="O95" s="114"/>
      <c r="P95" s="114"/>
      <c r="Q95" s="114"/>
      <c r="R95" s="114"/>
      <c r="S95" s="114"/>
      <c r="T95" s="114"/>
      <c r="U95" s="114"/>
      <c r="V95" s="102"/>
      <c r="W95" s="102"/>
      <c r="X95" s="102"/>
      <c r="AJ95" s="102" t="s">
        <v>328</v>
      </c>
      <c r="AK95" s="102" t="s">
        <v>329</v>
      </c>
      <c r="AL95" s="102"/>
      <c r="AO95" s="101">
        <f t="shared" si="46"/>
        <v>8.1920000000000002</v>
      </c>
      <c r="AP95" s="101">
        <f t="shared" si="47"/>
        <v>0</v>
      </c>
      <c r="AQ95" s="101">
        <f>IF(ISBLANK($A95),,ROUNDDOWN(I95*AS6*1.024,))</f>
        <v>27</v>
      </c>
      <c r="AR95" s="101">
        <f>IF(ISBLANK($A95),,ROUNDDOWN(L95*AS14*1.024,))</f>
        <v>0</v>
      </c>
      <c r="AS95" s="101">
        <f>IF(ISBLANK($A95),,ROUNDDOWN(N95*AS14*1.024,))</f>
        <v>0</v>
      </c>
      <c r="AT95" s="101">
        <f>IF(ISBLANK($A95),,ROUNDDOWN(P95*AS14*1.024,))</f>
        <v>0</v>
      </c>
      <c r="AU95" s="101">
        <f>IF(ISBLANK($A95),,ROUNDDOWN(R95*AS14*1.024,))</f>
        <v>0</v>
      </c>
      <c r="AV95" s="156">
        <f t="shared" si="48"/>
        <v>0</v>
      </c>
      <c r="AW95" s="101">
        <f>IF(ISBLANK($A95),,ROUNDDOWN(V95*AS6*1.024,))</f>
        <v>0</v>
      </c>
      <c r="AX95" s="101">
        <f>IF(ISBLANK($A94),,ROUNDDOWN(X95*AS6*1.024,))</f>
        <v>0</v>
      </c>
    </row>
    <row r="96" spans="1:50" s="13" customFormat="1">
      <c r="A96" s="13" t="s">
        <v>451</v>
      </c>
      <c r="C96" s="13" t="s">
        <v>452</v>
      </c>
      <c r="D96" s="13" t="s">
        <v>453</v>
      </c>
      <c r="E96" s="13" t="s">
        <v>65</v>
      </c>
      <c r="F96" s="8">
        <v>8</v>
      </c>
      <c r="G96" s="8">
        <v>6</v>
      </c>
      <c r="H96" s="8">
        <v>0</v>
      </c>
      <c r="I96" s="8">
        <v>70</v>
      </c>
      <c r="J96" s="8">
        <f t="shared" ref="J96" si="49">G96-H96</f>
        <v>6</v>
      </c>
      <c r="K96" s="36" t="s">
        <v>454</v>
      </c>
      <c r="L96" s="36"/>
      <c r="M96" s="36"/>
      <c r="N96" s="36"/>
      <c r="O96" s="36"/>
      <c r="P96" s="36"/>
      <c r="Q96" s="36"/>
      <c r="R96" s="36"/>
      <c r="S96" s="36"/>
      <c r="T96" s="36"/>
      <c r="U96" s="36"/>
      <c r="V96" s="8"/>
      <c r="W96" s="8"/>
      <c r="X96" s="8"/>
      <c r="AJ96" s="8" t="s">
        <v>328</v>
      </c>
      <c r="AK96" s="8" t="s">
        <v>329</v>
      </c>
      <c r="AL96" s="8"/>
      <c r="AO96" s="13">
        <f t="shared" si="46"/>
        <v>6.1440000000000001</v>
      </c>
      <c r="AP96" s="13">
        <f t="shared" si="47"/>
        <v>0</v>
      </c>
      <c r="AQ96" s="13">
        <f>IF(ISBLANK($A96),,ROUNDDOWN(I96*AS6*1.024,))</f>
        <v>64</v>
      </c>
      <c r="AR96" s="13">
        <f>IF(ISBLANK($A96),,ROUNDDOWN(L96*AS6*1.024,))</f>
        <v>0</v>
      </c>
      <c r="AS96" s="13">
        <f>IF(ISBLANK($A96),,ROUNDDOWN(N96*AS6*1.024,))</f>
        <v>0</v>
      </c>
      <c r="AT96" s="13">
        <f>IF(ISBLANK($A96),,ROUNDDOWN(P96*AS6*1.024,))</f>
        <v>0</v>
      </c>
      <c r="AU96" s="13">
        <f>IF(ISBLANK($A96),,ROUNDDOWN(R96*AS6*1.024,))</f>
        <v>0</v>
      </c>
      <c r="AV96" s="156">
        <f>IF(ISBLANK($A96),,ROUNDDOWN(T96*AS$6*1.024,))</f>
        <v>0</v>
      </c>
      <c r="AW96" s="13">
        <f>IF(ISBLANK($A96),,ROUNDDOWN(V96*AS6*1.024,))</f>
        <v>0</v>
      </c>
      <c r="AX96" s="13">
        <f>IF(ISBLANK($A96),,ROUNDDOWN(X96*AS6*1.024,))</f>
        <v>0</v>
      </c>
    </row>
    <row r="97" spans="1:50" s="10" customFormat="1">
      <c r="F97" s="9">
        <f>SUM(F87:F96)+F84</f>
        <v>373</v>
      </c>
      <c r="G97" s="9">
        <f>SUM(G87:G96)+G84</f>
        <v>1057</v>
      </c>
      <c r="H97" s="9">
        <f>SUM(H87:H96)+H84</f>
        <v>246.75</v>
      </c>
      <c r="I97" s="9">
        <f>SUM(I87:I96)+I84</f>
        <v>7070</v>
      </c>
      <c r="J97" s="9"/>
      <c r="K97" s="9"/>
      <c r="L97" s="9">
        <f>SUM(L87:L96)+L84</f>
        <v>66</v>
      </c>
      <c r="M97" s="9"/>
      <c r="N97" s="9">
        <f>SUM(N87:N96)+N84</f>
        <v>1700</v>
      </c>
      <c r="O97" s="9"/>
      <c r="P97" s="9">
        <f>SUM(P87:P96)+P84</f>
        <v>2250</v>
      </c>
      <c r="Q97" s="9"/>
      <c r="R97" s="9">
        <f>SUM(R87:R96)+R84</f>
        <v>410</v>
      </c>
      <c r="S97" s="9"/>
      <c r="T97" s="9">
        <f>SUM(T87:T96)+T84</f>
        <v>300</v>
      </c>
      <c r="U97" s="9"/>
      <c r="V97" s="9">
        <f>SUM(V87:V96)+V84</f>
        <v>3000</v>
      </c>
      <c r="W97" s="9"/>
      <c r="X97" s="9">
        <f>SUM(X87:X96)+X84</f>
        <v>6855</v>
      </c>
      <c r="Y97" s="9"/>
      <c r="Z97" s="9">
        <f>SUM(Z87:Z96)+Z84</f>
        <v>100</v>
      </c>
      <c r="AA97" s="9"/>
      <c r="AB97" s="9">
        <f>SUM(AB87:AB96)+AB84</f>
        <v>50</v>
      </c>
      <c r="AC97" s="9"/>
      <c r="AD97" s="9">
        <f>SUM(AD87:AD96)+AD84</f>
        <v>170</v>
      </c>
      <c r="AE97" s="9"/>
      <c r="AF97" s="9">
        <f>SUM(AF87:AF96)+AF84</f>
        <v>150</v>
      </c>
      <c r="AG97" s="9"/>
      <c r="AH97" s="9">
        <f>SUM(AH87:AH96)+AH84</f>
        <v>2500</v>
      </c>
      <c r="AI97" s="9"/>
      <c r="AJ97" s="9"/>
      <c r="AK97" s="9" t="s">
        <v>701</v>
      </c>
      <c r="AL97" s="9">
        <v>3</v>
      </c>
    </row>
    <row r="98" spans="1:50">
      <c r="A98" s="156"/>
      <c r="B98" s="156"/>
      <c r="C98" s="156"/>
      <c r="D98" s="156"/>
      <c r="E98" s="156"/>
      <c r="F98" s="152"/>
      <c r="G98" s="152"/>
      <c r="H98" s="152"/>
      <c r="I98" s="152"/>
      <c r="J98" s="152"/>
      <c r="K98" s="152"/>
      <c r="L98" s="152"/>
      <c r="M98" s="152"/>
      <c r="N98" s="152"/>
      <c r="O98" s="152"/>
      <c r="P98" s="152"/>
      <c r="Q98" s="152"/>
      <c r="R98" s="152"/>
      <c r="S98" s="152"/>
      <c r="T98" s="152"/>
      <c r="U98" s="152"/>
      <c r="V98" s="152"/>
      <c r="W98" s="152"/>
      <c r="X98" s="152"/>
      <c r="Y98" s="152"/>
      <c r="Z98" s="152"/>
      <c r="AA98" s="152"/>
      <c r="AB98" s="152"/>
      <c r="AC98" s="152"/>
      <c r="AD98" s="152"/>
      <c r="AE98" s="152"/>
      <c r="AF98" s="179"/>
      <c r="AG98" s="179"/>
      <c r="AH98" s="152"/>
      <c r="AI98" s="152"/>
      <c r="AJ98" s="152"/>
      <c r="AK98" s="152"/>
      <c r="AL98" s="152"/>
      <c r="AM98" s="156"/>
      <c r="AN98" s="156"/>
      <c r="AO98" s="156"/>
      <c r="AP98" s="156"/>
      <c r="AQ98" s="156"/>
      <c r="AR98" s="156"/>
      <c r="AS98" s="156"/>
      <c r="AT98" s="156"/>
      <c r="AU98" s="156"/>
      <c r="AV98" s="156"/>
      <c r="AW98" s="156"/>
      <c r="AX98" s="156"/>
    </row>
    <row r="100" spans="1:50" ht="15">
      <c r="A100" s="219" t="s">
        <v>316</v>
      </c>
      <c r="B100" s="220"/>
      <c r="C100" s="220"/>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c r="AC100" s="156"/>
      <c r="AD100" s="156"/>
      <c r="AE100" s="156"/>
      <c r="AH100" s="156"/>
      <c r="AI100" s="156"/>
      <c r="AJ100" s="156"/>
      <c r="AK100" s="156"/>
      <c r="AL100" s="156"/>
      <c r="AM100" s="156"/>
      <c r="AN100" s="156"/>
      <c r="AO100" s="156"/>
      <c r="AP100" s="156"/>
      <c r="AQ100" s="156"/>
      <c r="AR100" s="156"/>
      <c r="AS100" s="156"/>
      <c r="AT100" s="156"/>
      <c r="AU100" s="156"/>
      <c r="AV100" s="156"/>
      <c r="AW100" s="156"/>
      <c r="AX100" s="156"/>
    </row>
    <row r="101" spans="1:50">
      <c r="A101" s="149" t="s">
        <v>455</v>
      </c>
      <c r="B101" s="149" t="s">
        <v>456</v>
      </c>
      <c r="C101" s="149" t="s">
        <v>457</v>
      </c>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c r="AB101" s="156"/>
      <c r="AC101" s="156"/>
      <c r="AD101" s="156"/>
      <c r="AE101" s="156"/>
      <c r="AH101" s="156"/>
      <c r="AI101" s="156"/>
      <c r="AJ101" s="156"/>
      <c r="AK101" s="156"/>
      <c r="AL101" s="156"/>
      <c r="AM101" s="156"/>
      <c r="AN101" s="156"/>
      <c r="AO101" s="156"/>
      <c r="AP101" s="156"/>
      <c r="AQ101" s="156"/>
      <c r="AR101" s="156"/>
      <c r="AS101" s="156"/>
      <c r="AT101" s="156"/>
      <c r="AU101" s="156"/>
      <c r="AV101" s="156"/>
      <c r="AW101" s="156"/>
      <c r="AX101" s="156"/>
    </row>
    <row r="102" spans="1:50">
      <c r="A102" s="124" t="s">
        <v>335</v>
      </c>
      <c r="B102" s="125">
        <f t="array" ref="B102">SUM(IF(K8:K95=A102,I8:K95,""))</f>
        <v>669</v>
      </c>
      <c r="C102" s="126">
        <v>1000</v>
      </c>
    </row>
    <row r="103" spans="1:50">
      <c r="A103" s="124" t="s">
        <v>337</v>
      </c>
      <c r="B103" s="125">
        <f t="array" ref="B103">SUM(IF(K8:K95=A103,I8:J95,""),AD23)</f>
        <v>891.25</v>
      </c>
      <c r="C103" s="126">
        <v>1200</v>
      </c>
    </row>
    <row r="104" spans="1:50">
      <c r="A104" s="124" t="s">
        <v>343</v>
      </c>
      <c r="B104" s="125">
        <f t="array" ref="B104">SUM(IF(K8:K95=A104,I8:J95,""),AB19,AD24)</f>
        <v>829</v>
      </c>
      <c r="C104" s="126">
        <v>1100</v>
      </c>
    </row>
    <row r="105" spans="1:50">
      <c r="A105" s="124" t="s">
        <v>458</v>
      </c>
      <c r="B105" s="126">
        <v>10</v>
      </c>
      <c r="C105" s="126">
        <v>35</v>
      </c>
    </row>
    <row r="106" spans="1:50">
      <c r="A106" s="124" t="s">
        <v>459</v>
      </c>
      <c r="B106" s="126">
        <v>10</v>
      </c>
      <c r="C106" s="126">
        <v>35</v>
      </c>
    </row>
    <row r="107" spans="1:50">
      <c r="A107" s="124" t="s">
        <v>460</v>
      </c>
      <c r="B107" s="126">
        <v>10</v>
      </c>
      <c r="C107" s="126">
        <v>35</v>
      </c>
    </row>
    <row r="108" spans="1:50">
      <c r="A108" s="124" t="s">
        <v>461</v>
      </c>
      <c r="B108" s="126">
        <v>10</v>
      </c>
      <c r="C108" s="126">
        <v>35</v>
      </c>
    </row>
    <row r="109" spans="1:50">
      <c r="A109" s="124" t="s">
        <v>462</v>
      </c>
      <c r="B109" s="126">
        <v>10</v>
      </c>
      <c r="C109" s="126">
        <v>35</v>
      </c>
    </row>
    <row r="110" spans="1:50">
      <c r="A110" s="124" t="s">
        <v>499</v>
      </c>
      <c r="B110" s="126">
        <v>10</v>
      </c>
      <c r="C110" s="126">
        <v>35</v>
      </c>
    </row>
    <row r="111" spans="1:50">
      <c r="A111" s="124" t="s">
        <v>463</v>
      </c>
      <c r="B111" s="126">
        <v>60.825000000000003</v>
      </c>
      <c r="C111" s="126">
        <v>66</v>
      </c>
    </row>
    <row r="112" spans="1:50">
      <c r="A112" s="124" t="s">
        <v>464</v>
      </c>
      <c r="B112" s="126">
        <v>1382.4</v>
      </c>
      <c r="C112" s="126">
        <v>1500</v>
      </c>
    </row>
    <row r="113" spans="1:3">
      <c r="A113" s="124" t="s">
        <v>465</v>
      </c>
      <c r="B113" s="126">
        <v>2073.6</v>
      </c>
      <c r="C113" s="126">
        <v>2250</v>
      </c>
    </row>
    <row r="114" spans="1:3">
      <c r="A114" s="124" t="s">
        <v>130</v>
      </c>
      <c r="B114" s="126">
        <f>303+20</f>
        <v>323</v>
      </c>
      <c r="C114" s="126">
        <v>360</v>
      </c>
    </row>
    <row r="115" spans="1:3">
      <c r="A115" s="124" t="s">
        <v>137</v>
      </c>
      <c r="B115" s="126">
        <v>276.48</v>
      </c>
      <c r="C115" s="126">
        <v>300</v>
      </c>
    </row>
    <row r="116" spans="1:3">
      <c r="A116" s="124" t="s">
        <v>366</v>
      </c>
      <c r="B116" s="126">
        <v>92.16</v>
      </c>
      <c r="C116" s="126">
        <v>150</v>
      </c>
    </row>
    <row r="117" spans="1:3">
      <c r="A117" s="124" t="s">
        <v>466</v>
      </c>
      <c r="B117" s="126">
        <f>6013.44+304.128+3200</f>
        <v>9517.5679999999993</v>
      </c>
      <c r="C117" s="126">
        <v>10752</v>
      </c>
    </row>
    <row r="118" spans="1:3">
      <c r="A118" s="124" t="s">
        <v>500</v>
      </c>
      <c r="B118" s="126">
        <f>B117+3200</f>
        <v>12717.567999999999</v>
      </c>
      <c r="C118" s="126">
        <f>C117+3400</f>
        <v>14152</v>
      </c>
    </row>
    <row r="119" spans="1:3">
      <c r="A119" s="124" t="s">
        <v>468</v>
      </c>
      <c r="B119" s="126">
        <v>2048</v>
      </c>
      <c r="C119" s="126">
        <v>2500</v>
      </c>
    </row>
    <row r="120" spans="1:3">
      <c r="A120" s="124" t="s">
        <v>327</v>
      </c>
      <c r="B120" s="145" cm="1">
        <f t="array" ref="B120">SUM(IF(K8:K96=A120,I8:J96,""))</f>
        <v>829</v>
      </c>
      <c r="C120" s="145">
        <f>IF(E9="vCSA7.0",900, 700)</f>
        <v>900</v>
      </c>
    </row>
    <row r="121" spans="1:3" s="156" customFormat="1">
      <c r="A121" s="124" t="s">
        <v>695</v>
      </c>
      <c r="B121" s="145">
        <f>IF(OR(E45=1,E45=2,E45=3,E45=4),VLOOKUP(E45,A137:F142,4,FALSE),VLOOKUP(1,A137:F142,4,FALSE))</f>
        <v>150</v>
      </c>
      <c r="C121" s="145">
        <f>IF(OR(E45=1,E45=2,E45=3,E45=4),VLOOKUP(E45,A137:F142,5,FALSE),VLOOKUP(1,A137:F142,5,FALSE))</f>
        <v>170</v>
      </c>
    </row>
    <row r="122" spans="1:3" s="156" customFormat="1">
      <c r="A122" s="169" t="s">
        <v>676</v>
      </c>
      <c r="B122" s="170">
        <v>58</v>
      </c>
      <c r="C122" s="171">
        <v>100</v>
      </c>
    </row>
    <row r="123" spans="1:3">
      <c r="A123" s="124" t="s">
        <v>405</v>
      </c>
      <c r="B123" s="126">
        <v>1110</v>
      </c>
      <c r="C123" s="126">
        <v>2500</v>
      </c>
    </row>
    <row r="124" spans="1:3">
      <c r="A124" s="85" t="s">
        <v>469</v>
      </c>
      <c r="B124" s="156"/>
      <c r="C124" s="156"/>
    </row>
    <row r="132" spans="1:6">
      <c r="A132" s="156"/>
      <c r="B132" s="4" t="s">
        <v>472</v>
      </c>
      <c r="C132" s="156"/>
    </row>
    <row r="133" spans="1:6">
      <c r="A133" s="20" t="s">
        <v>479</v>
      </c>
      <c r="B133" s="156">
        <v>1500</v>
      </c>
      <c r="C133" s="156"/>
    </row>
    <row r="134" spans="1:6">
      <c r="A134" s="20" t="s">
        <v>501</v>
      </c>
      <c r="B134" s="156">
        <v>2062</v>
      </c>
      <c r="C134" s="156"/>
    </row>
    <row r="137" spans="1:6" ht="15">
      <c r="A137" s="217" t="s">
        <v>711</v>
      </c>
      <c r="B137" s="218"/>
      <c r="C137" s="218"/>
      <c r="D137" s="218"/>
      <c r="E137" s="218"/>
      <c r="F137" s="218"/>
    </row>
    <row r="138" spans="1:6" ht="51">
      <c r="A138" s="189" t="s">
        <v>712</v>
      </c>
      <c r="B138" s="189" t="s">
        <v>474</v>
      </c>
      <c r="C138" s="189" t="s">
        <v>713</v>
      </c>
      <c r="D138" s="189" t="s">
        <v>714</v>
      </c>
      <c r="E138" s="189" t="s">
        <v>714</v>
      </c>
      <c r="F138" s="189" t="s">
        <v>715</v>
      </c>
    </row>
    <row r="139" spans="1:6">
      <c r="A139" s="190">
        <v>1</v>
      </c>
      <c r="B139" s="190">
        <v>6</v>
      </c>
      <c r="C139" s="190">
        <v>12</v>
      </c>
      <c r="D139" s="190">
        <v>150</v>
      </c>
      <c r="E139" s="190">
        <v>170</v>
      </c>
      <c r="F139" s="190">
        <v>2000</v>
      </c>
    </row>
    <row r="140" spans="1:6">
      <c r="A140" s="190">
        <v>2</v>
      </c>
      <c r="B140" s="190">
        <v>8</v>
      </c>
      <c r="C140" s="190">
        <v>24</v>
      </c>
      <c r="D140" s="190">
        <v>150</v>
      </c>
      <c r="E140" s="190">
        <v>170</v>
      </c>
      <c r="F140" s="190">
        <v>2000</v>
      </c>
    </row>
    <row r="141" spans="1:6">
      <c r="A141" s="190">
        <v>3</v>
      </c>
      <c r="B141" s="190">
        <v>10</v>
      </c>
      <c r="C141" s="190">
        <v>32</v>
      </c>
      <c r="D141" s="190">
        <v>200</v>
      </c>
      <c r="E141" s="190">
        <v>225</v>
      </c>
      <c r="F141" s="190">
        <v>2000</v>
      </c>
    </row>
    <row r="142" spans="1:6">
      <c r="A142" s="190">
        <v>4</v>
      </c>
      <c r="B142" s="190">
        <v>10</v>
      </c>
      <c r="C142" s="190">
        <v>32</v>
      </c>
      <c r="D142" s="190">
        <v>200</v>
      </c>
      <c r="E142" s="190">
        <v>225</v>
      </c>
      <c r="F142" s="190">
        <v>2000</v>
      </c>
    </row>
  </sheetData>
  <mergeCells count="11">
    <mergeCell ref="A137:F137"/>
    <mergeCell ref="H41:P43"/>
    <mergeCell ref="A100:C100"/>
    <mergeCell ref="A42:D42"/>
    <mergeCell ref="A1:E1"/>
    <mergeCell ref="A3:B3"/>
    <mergeCell ref="F3:G3"/>
    <mergeCell ref="A4:B4"/>
    <mergeCell ref="A5:B5"/>
    <mergeCell ref="A41:D41"/>
    <mergeCell ref="A45:D45"/>
  </mergeCells>
  <dataValidations count="3">
    <dataValidation type="list" allowBlank="1" showInputMessage="1" showErrorMessage="1" sqref="N11" xr:uid="{B4C92B33-E427-4463-9C20-EDB8BFD6F5A9}">
      <formula1>$B$133:$B$134</formula1>
    </dataValidation>
    <dataValidation type="list" allowBlank="1" showInputMessage="1" showErrorMessage="1" sqref="E9" xr:uid="{8D41CC64-4E7F-4F4B-ADA4-6E80BC3C8C56}">
      <formula1>"vCSA7.0, vCSA6.5"</formula1>
    </dataValidation>
    <dataValidation type="list" allowBlank="1" showInputMessage="1" showErrorMessage="1" error="1 To 4 NetAct cluster are allowed to integrated to a Single NAPD." prompt="Select total number of NetAct clusters planned to integrate to NAPD. By default, computing resources shown is for ONE NetAct cluster." sqref="E45" xr:uid="{881FA5BF-8A9D-459F-90E2-9164FB6DB210}">
      <formula1>"1,2,3,4"</formula1>
    </dataValidation>
  </dataValidations>
  <hyperlinks>
    <hyperlink ref="F3:G3" location="Shortcuts!A1" display="Back to shortcuts" xr:uid="{B9822438-A34B-4858-B0ED-93D91B393BFB}"/>
  </hyperlink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FBB99-D0A1-43B7-BF9B-0A612C9BB1B7}">
  <dimension ref="A1:AX155"/>
  <sheetViews>
    <sheetView zoomScale="85" zoomScaleNormal="85" zoomScalePageLayoutView="70" workbookViewId="0">
      <selection activeCell="C3" sqref="C3"/>
    </sheetView>
  </sheetViews>
  <sheetFormatPr defaultColWidth="8.5703125" defaultRowHeight="12.75"/>
  <cols>
    <col min="1" max="1" width="35.85546875" style="35" customWidth="1"/>
    <col min="2" max="2" width="14.5703125" style="35" customWidth="1"/>
    <col min="3" max="3" width="15.5703125" style="35" customWidth="1"/>
    <col min="4" max="4" width="23.5703125" style="35" customWidth="1"/>
    <col min="5" max="5" width="42.28515625" style="35" customWidth="1"/>
    <col min="6" max="7" width="8.5703125" style="35"/>
    <col min="8" max="8" width="21.42578125" style="35" customWidth="1"/>
    <col min="9" max="10" width="8.5703125" style="35"/>
    <col min="11" max="11" width="20.5703125" style="35" bestFit="1" customWidth="1"/>
    <col min="12" max="12" width="9.42578125" style="35" customWidth="1"/>
    <col min="13" max="13" width="9.5703125" style="35" customWidth="1"/>
    <col min="14" max="14" width="8.5703125" style="35"/>
    <col min="15" max="15" width="11.5703125" style="35" customWidth="1"/>
    <col min="16" max="16" width="8.5703125" style="35"/>
    <col min="17" max="17" width="9.5703125" style="35" customWidth="1"/>
    <col min="18" max="18" width="8.5703125" style="35"/>
    <col min="19" max="19" width="9.5703125" style="35" customWidth="1"/>
    <col min="20" max="20" width="8.5703125" style="35"/>
    <col min="21" max="21" width="9.5703125" style="35" customWidth="1"/>
    <col min="22" max="22" width="8.5703125" style="35"/>
    <col min="23" max="23" width="9.5703125" style="35" customWidth="1"/>
    <col min="24" max="24" width="12.42578125" style="35" customWidth="1"/>
    <col min="25" max="26" width="9.5703125" style="35" customWidth="1"/>
    <col min="27" max="35" width="12.5703125" style="35" customWidth="1"/>
    <col min="36" max="36" width="22" style="35" customWidth="1"/>
    <col min="37" max="37" width="12.42578125" style="35" customWidth="1"/>
    <col min="38" max="38" width="13.42578125" style="35" customWidth="1"/>
    <col min="39" max="41" width="8.5703125" style="35"/>
    <col min="42" max="42" width="21.5703125" style="35" customWidth="1"/>
    <col min="43" max="49" width="8.5703125" style="35"/>
    <col min="50" max="50" width="10.42578125" style="35" customWidth="1"/>
    <col min="51" max="16384" width="8.5703125" style="35"/>
  </cols>
  <sheetData>
    <row r="1" spans="1:50">
      <c r="A1" s="215" t="s">
        <v>4</v>
      </c>
      <c r="B1" s="215"/>
      <c r="C1" s="215"/>
      <c r="D1" s="215"/>
      <c r="E1" s="216"/>
      <c r="F1" s="60" t="s">
        <v>707</v>
      </c>
    </row>
    <row r="3" spans="1:50" ht="15">
      <c r="A3" s="230" t="s">
        <v>632</v>
      </c>
      <c r="B3" s="230"/>
      <c r="C3" s="200"/>
      <c r="D3" s="35" t="s">
        <v>304</v>
      </c>
      <c r="F3" s="226" t="s">
        <v>302</v>
      </c>
      <c r="G3" s="226"/>
    </row>
    <row r="4" spans="1:50">
      <c r="A4" s="230" t="s">
        <v>303</v>
      </c>
      <c r="B4" s="230"/>
      <c r="C4" s="35" t="s">
        <v>306</v>
      </c>
    </row>
    <row r="5" spans="1:50">
      <c r="A5" s="230" t="s">
        <v>305</v>
      </c>
      <c r="B5" s="230"/>
      <c r="C5" s="35" t="s">
        <v>648</v>
      </c>
    </row>
    <row r="6" spans="1:50">
      <c r="C6" s="156" t="s">
        <v>645</v>
      </c>
      <c r="AO6" s="38" t="s">
        <v>308</v>
      </c>
      <c r="AP6" s="38"/>
      <c r="AR6" s="35" t="s">
        <v>309</v>
      </c>
      <c r="AS6" s="35">
        <v>0.9</v>
      </c>
    </row>
    <row r="7" spans="1:50" ht="38.25">
      <c r="A7" s="61" t="s">
        <v>164</v>
      </c>
      <c r="B7" s="61" t="s">
        <v>310</v>
      </c>
      <c r="C7" s="61" t="s">
        <v>311</v>
      </c>
      <c r="D7" s="61" t="s">
        <v>312</v>
      </c>
      <c r="E7" s="61" t="s">
        <v>313</v>
      </c>
      <c r="F7" s="37" t="s">
        <v>103</v>
      </c>
      <c r="G7" s="37" t="s">
        <v>109</v>
      </c>
      <c r="H7" s="37" t="s">
        <v>314</v>
      </c>
      <c r="I7" s="37" t="s">
        <v>113</v>
      </c>
      <c r="J7" s="37" t="s">
        <v>315</v>
      </c>
      <c r="K7" s="37" t="s">
        <v>316</v>
      </c>
      <c r="L7" s="37" t="s">
        <v>118</v>
      </c>
      <c r="M7" s="37" t="s">
        <v>316</v>
      </c>
      <c r="N7" s="37" t="s">
        <v>20</v>
      </c>
      <c r="O7" s="37" t="s">
        <v>316</v>
      </c>
      <c r="P7" s="37" t="s">
        <v>122</v>
      </c>
      <c r="Q7" s="37" t="s">
        <v>316</v>
      </c>
      <c r="R7" s="37" t="s">
        <v>130</v>
      </c>
      <c r="S7" s="37" t="s">
        <v>316</v>
      </c>
      <c r="T7" s="37" t="s">
        <v>137</v>
      </c>
      <c r="U7" s="37" t="s">
        <v>316</v>
      </c>
      <c r="V7" s="37" t="s">
        <v>126</v>
      </c>
      <c r="W7" s="37" t="s">
        <v>316</v>
      </c>
      <c r="X7" s="37" t="s">
        <v>317</v>
      </c>
      <c r="Y7" s="37" t="s">
        <v>316</v>
      </c>
      <c r="Z7" s="37" t="s">
        <v>481</v>
      </c>
      <c r="AA7" s="37" t="s">
        <v>316</v>
      </c>
      <c r="AB7" s="4" t="s">
        <v>319</v>
      </c>
      <c r="AC7" s="4" t="s">
        <v>316</v>
      </c>
      <c r="AD7" s="4" t="s">
        <v>320</v>
      </c>
      <c r="AE7" s="4" t="s">
        <v>316</v>
      </c>
      <c r="AF7" s="4" t="s">
        <v>692</v>
      </c>
      <c r="AG7" s="4" t="s">
        <v>316</v>
      </c>
      <c r="AH7" s="95" t="s">
        <v>321</v>
      </c>
      <c r="AI7" s="4" t="s">
        <v>316</v>
      </c>
      <c r="AJ7" s="37" t="s">
        <v>322</v>
      </c>
      <c r="AK7" s="37" t="s">
        <v>323</v>
      </c>
      <c r="AL7" s="37" t="s">
        <v>324</v>
      </c>
      <c r="AO7" s="37" t="s">
        <v>109</v>
      </c>
      <c r="AP7" s="37" t="s">
        <v>314</v>
      </c>
      <c r="AQ7" s="37" t="s">
        <v>113</v>
      </c>
      <c r="AR7" s="37" t="s">
        <v>118</v>
      </c>
      <c r="AS7" s="37" t="s">
        <v>20</v>
      </c>
      <c r="AT7" s="37" t="s">
        <v>122</v>
      </c>
      <c r="AU7" s="37" t="s">
        <v>130</v>
      </c>
      <c r="AV7" s="37" t="s">
        <v>137</v>
      </c>
      <c r="AW7" s="37" t="s">
        <v>126</v>
      </c>
      <c r="AX7" s="37" t="s">
        <v>317</v>
      </c>
    </row>
    <row r="8" spans="1:50">
      <c r="A8" s="35" t="s">
        <v>325</v>
      </c>
      <c r="D8" s="35" t="s">
        <v>453</v>
      </c>
      <c r="E8" s="35" t="s">
        <v>8</v>
      </c>
      <c r="F8" s="154">
        <v>4</v>
      </c>
      <c r="G8" s="154">
        <v>4</v>
      </c>
      <c r="H8" s="154">
        <v>0</v>
      </c>
      <c r="I8" s="154">
        <v>350</v>
      </c>
      <c r="J8" s="154">
        <f>G8-H8</f>
        <v>4</v>
      </c>
      <c r="K8" s="154" t="s">
        <v>327</v>
      </c>
      <c r="L8" s="154"/>
      <c r="M8" s="154"/>
      <c r="N8" s="154"/>
      <c r="O8" s="154"/>
      <c r="P8" s="154"/>
      <c r="Q8" s="154"/>
      <c r="R8" s="154"/>
      <c r="S8" s="154"/>
      <c r="T8" s="154"/>
      <c r="U8" s="154"/>
      <c r="V8" s="154"/>
      <c r="W8" s="154"/>
      <c r="X8" s="154"/>
      <c r="Y8" s="154"/>
      <c r="Z8" s="154"/>
      <c r="AA8" s="154"/>
      <c r="AB8" s="154"/>
      <c r="AC8" s="154"/>
      <c r="AD8" s="154"/>
      <c r="AE8" s="154"/>
      <c r="AF8" s="180"/>
      <c r="AG8" s="180"/>
      <c r="AH8" s="152"/>
      <c r="AI8" s="152"/>
      <c r="AJ8" s="154" t="s">
        <v>328</v>
      </c>
      <c r="AK8" s="154" t="s">
        <v>329</v>
      </c>
      <c r="AL8" s="154"/>
      <c r="AO8" s="35">
        <f t="shared" ref="AO8:AO43" si="0">IF(ISBLANK($A8),,G8*1.024)</f>
        <v>4.0960000000000001</v>
      </c>
      <c r="AP8" s="35">
        <f t="shared" ref="AP8:AP43" si="1">IF(ISBLANK($A8),,H8*1.024)</f>
        <v>0</v>
      </c>
      <c r="AQ8" s="35">
        <f>IF(ISBLANK($A8),,ROUNDDOWN(I8*AS6*1.024,))</f>
        <v>322</v>
      </c>
      <c r="AR8" s="35">
        <f>IF(ISBLANK($A8),,ROUNDDOWN(L8*AS6*1.024,))</f>
        <v>0</v>
      </c>
      <c r="AS8" s="35">
        <f>IF(ISBLANK($A8),,ROUNDDOWN(N8*AS6*1.024,))</f>
        <v>0</v>
      </c>
      <c r="AT8" s="35">
        <f>IF(ISBLANK($A8),,ROUNDDOWN(P8*AS6*1.024,))</f>
        <v>0</v>
      </c>
      <c r="AU8" s="35">
        <f>IF(ISBLANK($A8),,ROUNDDOWN(R8*AS6*1.024,))</f>
        <v>0</v>
      </c>
      <c r="AV8" s="35">
        <f>IF(ISBLANK($A8),,ROUNDDOWN(T8*AS$6*1.024,))</f>
        <v>0</v>
      </c>
      <c r="AW8" s="35">
        <f>IF(ISBLANK($A8),,ROUNDDOWN(V8*AS6*1.024,))</f>
        <v>0</v>
      </c>
      <c r="AX8" s="35">
        <f>IF(ISBLANK($A8),,ROUNDDOWN(X8*AS6*1.024,))</f>
        <v>0</v>
      </c>
    </row>
    <row r="9" spans="1:50">
      <c r="A9" s="35" t="s">
        <v>330</v>
      </c>
      <c r="D9" s="160" t="str">
        <f>IF(E9="vCSA7.0","VPOS3.0", "VPL1.0")</f>
        <v>VPOS3.0</v>
      </c>
      <c r="E9" s="160" t="s">
        <v>644</v>
      </c>
      <c r="F9" s="154">
        <v>4</v>
      </c>
      <c r="G9" s="143">
        <f>IF(E9="vCSA7.0",19, 10)</f>
        <v>19</v>
      </c>
      <c r="H9" s="154">
        <v>0</v>
      </c>
      <c r="I9" s="143">
        <f>IF(E9="vCSA7.0",450, 250)</f>
        <v>450</v>
      </c>
      <c r="J9" s="154">
        <v>25</v>
      </c>
      <c r="K9" s="154" t="s">
        <v>327</v>
      </c>
      <c r="L9" s="154"/>
      <c r="M9" s="154"/>
      <c r="N9" s="154"/>
      <c r="O9" s="154"/>
      <c r="P9" s="154"/>
      <c r="Q9" s="154"/>
      <c r="R9" s="154"/>
      <c r="S9" s="154"/>
      <c r="T9" s="154"/>
      <c r="U9" s="154"/>
      <c r="V9" s="154"/>
      <c r="W9" s="154"/>
      <c r="X9" s="154"/>
      <c r="Y9" s="154"/>
      <c r="Z9" s="154"/>
      <c r="AA9" s="154"/>
      <c r="AB9" s="154"/>
      <c r="AC9" s="154"/>
      <c r="AD9" s="154"/>
      <c r="AE9" s="154"/>
      <c r="AF9" s="180"/>
      <c r="AG9" s="180"/>
      <c r="AH9" s="152"/>
      <c r="AI9" s="152"/>
      <c r="AJ9" s="154" t="s">
        <v>328</v>
      </c>
      <c r="AK9" s="154" t="s">
        <v>329</v>
      </c>
      <c r="AL9" s="154"/>
      <c r="AO9" s="35">
        <f t="shared" si="0"/>
        <v>19.456</v>
      </c>
      <c r="AP9" s="35">
        <f t="shared" si="1"/>
        <v>0</v>
      </c>
      <c r="AQ9" s="35">
        <f>IF(ISBLANK($A9),,ROUNDDOWN(I9*AS6*1.024,))</f>
        <v>414</v>
      </c>
      <c r="AR9" s="35">
        <f>IF(ISBLANK($A9),,ROUNDDOWN(L9*AS6*1.024,))</f>
        <v>0</v>
      </c>
      <c r="AS9" s="35">
        <f>IF(ISBLANK($A9),,ROUNDDOWN(N9*AS6*1.024,))</f>
        <v>0</v>
      </c>
      <c r="AT9" s="35">
        <f>IF(ISBLANK($A9),,ROUNDDOWN(P9*AS6*1.024,))</f>
        <v>0</v>
      </c>
      <c r="AU9" s="35">
        <f>IF(ISBLANK($A9),,ROUNDDOWN(R9*AS6*1.024,))</f>
        <v>0</v>
      </c>
      <c r="AV9" s="35">
        <f t="shared" ref="AV9:AV43" si="2">IF(ISBLANK($A9),,ROUNDDOWN(T9*AS$6*1.024,))</f>
        <v>0</v>
      </c>
      <c r="AW9" s="35">
        <f>IF(ISBLANK($A9),,ROUNDDOWN(V9*AS6*1.024,))</f>
        <v>0</v>
      </c>
      <c r="AX9" s="35">
        <f>IF(ISBLANK($A9),,ROUNDDOWN(X9*AS6*1.024,))</f>
        <v>0</v>
      </c>
    </row>
    <row r="10" spans="1:50">
      <c r="A10" s="35" t="s">
        <v>331</v>
      </c>
      <c r="B10" s="154" t="s">
        <v>332</v>
      </c>
      <c r="C10" s="35" t="s">
        <v>333</v>
      </c>
      <c r="D10" s="35" t="s">
        <v>453</v>
      </c>
      <c r="E10" s="35" t="s">
        <v>16</v>
      </c>
      <c r="F10" s="154">
        <v>6</v>
      </c>
      <c r="G10" s="154">
        <v>6</v>
      </c>
      <c r="H10" s="154">
        <v>6</v>
      </c>
      <c r="I10" s="154">
        <v>41</v>
      </c>
      <c r="J10" s="154">
        <f t="shared" ref="J10:J41" si="3">G10-H10</f>
        <v>0</v>
      </c>
      <c r="K10" s="154" t="s">
        <v>335</v>
      </c>
      <c r="L10" s="154"/>
      <c r="M10" s="154"/>
      <c r="N10" s="154"/>
      <c r="O10" s="154"/>
      <c r="P10" s="154"/>
      <c r="Q10" s="154"/>
      <c r="R10" s="154"/>
      <c r="S10" s="154"/>
      <c r="T10" s="154"/>
      <c r="U10" s="154"/>
      <c r="V10" s="154"/>
      <c r="W10" s="154"/>
      <c r="X10" s="154"/>
      <c r="Y10" s="154"/>
      <c r="Z10" s="154"/>
      <c r="AA10" s="154"/>
      <c r="AB10" s="154"/>
      <c r="AC10" s="154"/>
      <c r="AD10" s="154"/>
      <c r="AE10" s="154"/>
      <c r="AF10" s="180"/>
      <c r="AG10" s="180"/>
      <c r="AH10" s="152"/>
      <c r="AI10" s="152"/>
      <c r="AJ10" s="154" t="s">
        <v>328</v>
      </c>
      <c r="AK10" s="154" t="s">
        <v>329</v>
      </c>
      <c r="AL10" s="154"/>
      <c r="AO10" s="35">
        <f t="shared" si="0"/>
        <v>6.1440000000000001</v>
      </c>
      <c r="AP10" s="35">
        <f t="shared" si="1"/>
        <v>6.1440000000000001</v>
      </c>
      <c r="AQ10" s="35">
        <f>IF(ISBLANK($A10),,ROUNDDOWN(I10*AS6*1.024,))</f>
        <v>37</v>
      </c>
      <c r="AR10" s="35">
        <f>IF(ISBLANK($A10),,ROUNDDOWN(L10*AS6*1.024,))</f>
        <v>0</v>
      </c>
      <c r="AS10" s="35">
        <f>IF(ISBLANK($A10),,ROUNDDOWN(N10*AS6*1.024,))</f>
        <v>0</v>
      </c>
      <c r="AT10" s="35">
        <f>IF(ISBLANK($A10),,ROUNDDOWN(P10*AS6*1.024,))</f>
        <v>0</v>
      </c>
      <c r="AU10" s="35">
        <f>IF(ISBLANK($A10),,ROUNDDOWN(R10*AS6*1.024,))</f>
        <v>0</v>
      </c>
      <c r="AV10" s="35">
        <f t="shared" si="2"/>
        <v>0</v>
      </c>
      <c r="AW10" s="35">
        <f>IF(ISBLANK($A10),,ROUNDDOWN(V10*AS6*1.024,))</f>
        <v>0</v>
      </c>
      <c r="AX10" s="35">
        <f>IF(ISBLANK($A10),,ROUNDDOWN(X10*AS6*1.024,))</f>
        <v>0</v>
      </c>
    </row>
    <row r="11" spans="1:50">
      <c r="A11" s="35" t="s">
        <v>336</v>
      </c>
      <c r="B11" s="154"/>
      <c r="C11" s="35" t="s">
        <v>333</v>
      </c>
      <c r="D11" s="35" t="s">
        <v>453</v>
      </c>
      <c r="E11" s="35" t="s">
        <v>20</v>
      </c>
      <c r="F11" s="154">
        <f>VLOOKUP(N11,B143:K145,4,FALSE)</f>
        <v>16</v>
      </c>
      <c r="G11" s="146">
        <f>VLOOKUP(N11,B143:K145,3,FALSE)</f>
        <v>90</v>
      </c>
      <c r="H11" s="143">
        <f>G11*82.5/100</f>
        <v>74.25</v>
      </c>
      <c r="I11" s="154">
        <v>91</v>
      </c>
      <c r="J11" s="154">
        <f t="shared" si="3"/>
        <v>15.75</v>
      </c>
      <c r="K11" s="154" t="s">
        <v>337</v>
      </c>
      <c r="L11" s="154">
        <v>130</v>
      </c>
      <c r="M11" s="154" t="s">
        <v>338</v>
      </c>
      <c r="N11" s="146">
        <v>2500</v>
      </c>
      <c r="O11" s="154" t="s">
        <v>339</v>
      </c>
      <c r="P11" s="146">
        <f>VLOOKUP(N11,B143:K145,6,FALSE)</f>
        <v>3750</v>
      </c>
      <c r="Q11" s="154" t="s">
        <v>340</v>
      </c>
      <c r="R11" s="154"/>
      <c r="S11" s="154"/>
      <c r="T11" s="154"/>
      <c r="U11" s="154"/>
      <c r="V11" s="154"/>
      <c r="W11" s="154"/>
      <c r="X11" s="146">
        <f>VLOOKUP(N11,B143:K145,8,FALSE)</f>
        <v>10875</v>
      </c>
      <c r="Y11" s="154" t="s">
        <v>126</v>
      </c>
      <c r="Z11" s="154"/>
      <c r="AA11" s="154"/>
      <c r="AB11" s="154"/>
      <c r="AC11" s="154"/>
      <c r="AD11" s="154"/>
      <c r="AE11" s="154" t="s">
        <v>0</v>
      </c>
      <c r="AF11" s="180"/>
      <c r="AG11" s="180"/>
      <c r="AH11" s="179">
        <v>3700</v>
      </c>
      <c r="AI11" s="152" t="s">
        <v>341</v>
      </c>
      <c r="AJ11" s="154" t="s">
        <v>328</v>
      </c>
      <c r="AK11" s="154" t="s">
        <v>329</v>
      </c>
      <c r="AL11" s="154"/>
      <c r="AO11" s="35">
        <f t="shared" si="0"/>
        <v>92.16</v>
      </c>
      <c r="AP11" s="35">
        <f t="shared" si="1"/>
        <v>76.031999999999996</v>
      </c>
      <c r="AQ11" s="35">
        <f>IF(ISBLANK($A11),,ROUNDDOWN(I11*AS6*1.024,))</f>
        <v>83</v>
      </c>
      <c r="AR11" s="35">
        <f>IF(ISBLANK($A11),,ROUNDDOWN(L11*AS6*1.024,))</f>
        <v>119</v>
      </c>
      <c r="AS11" s="35">
        <f>IF(ISBLANK($A11),,ROUNDDOWN(N11*AS6*1.024,))</f>
        <v>2304</v>
      </c>
      <c r="AT11" s="35">
        <f>IF(ISBLANK($A11),,ROUNDDOWN(P11*AS6*1.024,))</f>
        <v>3456</v>
      </c>
      <c r="AU11" s="35">
        <f>IF(ISBLANK($A11),,ROUNDDOWN(R11*AS6*1.024,))</f>
        <v>0</v>
      </c>
      <c r="AV11" s="35">
        <f t="shared" si="2"/>
        <v>0</v>
      </c>
      <c r="AW11" s="35">
        <f>IF(ISBLANK($A11),,ROUNDDOWN(V11*AS6*1.024,))</f>
        <v>0</v>
      </c>
      <c r="AX11" s="35">
        <f>IF(ISBLANK($A11),,ROUNDDOWN(X11*AS6*1.024,))</f>
        <v>10022</v>
      </c>
    </row>
    <row r="12" spans="1:50">
      <c r="A12" s="35" t="s">
        <v>342</v>
      </c>
      <c r="B12" s="154" t="s">
        <v>332</v>
      </c>
      <c r="C12" s="35" t="s">
        <v>333</v>
      </c>
      <c r="D12" s="35" t="s">
        <v>453</v>
      </c>
      <c r="E12" s="35" t="s">
        <v>24</v>
      </c>
      <c r="F12" s="154">
        <v>8</v>
      </c>
      <c r="G12" s="154">
        <v>7</v>
      </c>
      <c r="H12" s="154">
        <v>7</v>
      </c>
      <c r="I12" s="154">
        <v>46</v>
      </c>
      <c r="J12" s="154">
        <f t="shared" si="3"/>
        <v>0</v>
      </c>
      <c r="K12" s="154" t="s">
        <v>343</v>
      </c>
      <c r="L12" s="154"/>
      <c r="M12" s="154"/>
      <c r="N12" s="154"/>
      <c r="O12" s="154"/>
      <c r="P12" s="154"/>
      <c r="Q12" s="154"/>
      <c r="R12" s="154">
        <v>530</v>
      </c>
      <c r="S12" s="154" t="s">
        <v>344</v>
      </c>
      <c r="T12" s="152">
        <v>300</v>
      </c>
      <c r="U12" s="154" t="s">
        <v>137</v>
      </c>
      <c r="V12" s="154"/>
      <c r="W12" s="154"/>
      <c r="X12" s="154">
        <v>500</v>
      </c>
      <c r="Y12" s="154" t="s">
        <v>126</v>
      </c>
      <c r="Z12" s="154"/>
      <c r="AA12" s="154"/>
      <c r="AB12" s="154"/>
      <c r="AC12" s="154"/>
      <c r="AD12" s="154"/>
      <c r="AE12" s="154"/>
      <c r="AF12" s="180"/>
      <c r="AG12" s="180"/>
      <c r="AH12" s="154"/>
      <c r="AI12" s="154"/>
      <c r="AJ12" s="154" t="s">
        <v>328</v>
      </c>
      <c r="AK12" s="154" t="s">
        <v>329</v>
      </c>
      <c r="AL12" s="154"/>
      <c r="AO12" s="35">
        <f t="shared" si="0"/>
        <v>7.1680000000000001</v>
      </c>
      <c r="AP12" s="35">
        <f t="shared" si="1"/>
        <v>7.1680000000000001</v>
      </c>
      <c r="AQ12" s="35">
        <f>IF(ISBLANK($A12),,ROUNDDOWN(I12*AS6*1.024,))</f>
        <v>42</v>
      </c>
      <c r="AR12" s="35">
        <f>IF(ISBLANK($A12),,ROUNDDOWN(L12*AS6*1.024,))</f>
        <v>0</v>
      </c>
      <c r="AS12" s="35">
        <f>IF(ISBLANK($A12),,ROUNDDOWN(N12*AS6*1.024,))</f>
        <v>0</v>
      </c>
      <c r="AT12" s="35">
        <f>IF(ISBLANK($A12),,ROUNDDOWN(P12*AS6*1.024,))</f>
        <v>0</v>
      </c>
      <c r="AU12" s="35">
        <f>IF(ISBLANK($A12),,ROUNDDOWN(R12*AS6*1.024,))</f>
        <v>488</v>
      </c>
      <c r="AV12" s="35">
        <f t="shared" si="2"/>
        <v>276</v>
      </c>
      <c r="AW12" s="35">
        <f>IF(ISBLANK($A12),,ROUNDDOWN(V12*AS6*1.024,))</f>
        <v>0</v>
      </c>
      <c r="AX12" s="35">
        <f>IF(ISBLANK($A12),,ROUNDDOWN(X12*AS6*1.024,))</f>
        <v>460</v>
      </c>
    </row>
    <row r="13" spans="1:50">
      <c r="A13" s="35" t="s">
        <v>345</v>
      </c>
      <c r="C13" s="35" t="s">
        <v>333</v>
      </c>
      <c r="D13" s="35" t="s">
        <v>453</v>
      </c>
      <c r="E13" s="35" t="s">
        <v>28</v>
      </c>
      <c r="F13" s="154">
        <v>2</v>
      </c>
      <c r="G13" s="154">
        <v>2</v>
      </c>
      <c r="H13" s="154">
        <v>0</v>
      </c>
      <c r="I13" s="154">
        <v>31</v>
      </c>
      <c r="J13" s="154">
        <f t="shared" si="3"/>
        <v>2</v>
      </c>
      <c r="K13" s="154" t="s">
        <v>335</v>
      </c>
      <c r="L13" s="154"/>
      <c r="M13" s="154"/>
      <c r="N13" s="154"/>
      <c r="O13" s="154"/>
      <c r="P13" s="154"/>
      <c r="Q13" s="154"/>
      <c r="R13" s="154"/>
      <c r="S13" s="154"/>
      <c r="T13" s="154"/>
      <c r="U13" s="154"/>
      <c r="V13" s="154"/>
      <c r="W13" s="154"/>
      <c r="X13" s="154"/>
      <c r="Y13" s="154"/>
      <c r="Z13" s="154"/>
      <c r="AA13" s="154"/>
      <c r="AB13" s="154"/>
      <c r="AC13" s="154"/>
      <c r="AD13" s="154"/>
      <c r="AE13" s="154"/>
      <c r="AF13" s="180"/>
      <c r="AG13" s="180"/>
      <c r="AH13" s="154"/>
      <c r="AI13" s="154"/>
      <c r="AJ13" s="154" t="s">
        <v>346</v>
      </c>
      <c r="AK13" s="152" t="s">
        <v>347</v>
      </c>
      <c r="AL13" s="154" t="s">
        <v>329</v>
      </c>
      <c r="AO13" s="35">
        <f t="shared" si="0"/>
        <v>2.048</v>
      </c>
      <c r="AP13" s="35">
        <f t="shared" si="1"/>
        <v>0</v>
      </c>
      <c r="AQ13" s="35">
        <f>IF(ISBLANK($A13),,ROUNDDOWN(I13*AS6*1.024,))</f>
        <v>28</v>
      </c>
      <c r="AR13" s="35">
        <f>IF(ISBLANK($A13),,ROUNDDOWN(L13*AS6*1.024,))</f>
        <v>0</v>
      </c>
      <c r="AS13" s="35">
        <f>IF(ISBLANK($A13),,ROUNDDOWN(N13*AS6*1.024,))</f>
        <v>0</v>
      </c>
      <c r="AT13" s="35">
        <f>IF(ISBLANK($A13),,ROUNDDOWN(P13*AS6*1.024,))</f>
        <v>0</v>
      </c>
      <c r="AU13" s="35">
        <f>IF(ISBLANK($A13),,ROUNDDOWN(R13*AS6*1.024,))</f>
        <v>0</v>
      </c>
      <c r="AV13" s="35">
        <f t="shared" si="2"/>
        <v>0</v>
      </c>
      <c r="AW13" s="35">
        <f>IF(ISBLANK($A13),,ROUNDDOWN(V13*AS6*1.024,))</f>
        <v>0</v>
      </c>
      <c r="AX13" s="35">
        <f>IF(ISBLANK($A13),,ROUNDDOWN(X13*AS6*1.024,))</f>
        <v>0</v>
      </c>
    </row>
    <row r="14" spans="1:50">
      <c r="A14" s="35" t="s">
        <v>348</v>
      </c>
      <c r="C14" s="35" t="s">
        <v>333</v>
      </c>
      <c r="D14" s="35" t="s">
        <v>453</v>
      </c>
      <c r="E14" s="35" t="s">
        <v>32</v>
      </c>
      <c r="F14" s="154">
        <v>2</v>
      </c>
      <c r="G14" s="154">
        <v>5</v>
      </c>
      <c r="H14" s="154">
        <v>0</v>
      </c>
      <c r="I14" s="154">
        <v>31</v>
      </c>
      <c r="J14" s="154">
        <f t="shared" si="3"/>
        <v>5</v>
      </c>
      <c r="K14" s="154" t="s">
        <v>337</v>
      </c>
      <c r="L14" s="154"/>
      <c r="M14" s="154"/>
      <c r="N14" s="154"/>
      <c r="O14" s="154"/>
      <c r="P14" s="154"/>
      <c r="Q14" s="154"/>
      <c r="R14" s="154"/>
      <c r="S14" s="154"/>
      <c r="T14" s="154"/>
      <c r="U14" s="154"/>
      <c r="V14" s="154"/>
      <c r="W14" s="154"/>
      <c r="X14" s="154"/>
      <c r="Y14" s="154"/>
      <c r="Z14" s="154"/>
      <c r="AA14" s="154"/>
      <c r="AB14" s="154"/>
      <c r="AC14" s="154"/>
      <c r="AD14" s="154"/>
      <c r="AE14" s="154"/>
      <c r="AF14" s="180"/>
      <c r="AG14" s="180"/>
      <c r="AH14" s="154"/>
      <c r="AI14" s="154"/>
      <c r="AJ14" s="154" t="s">
        <v>328</v>
      </c>
      <c r="AK14" s="154" t="s">
        <v>329</v>
      </c>
      <c r="AL14" s="154"/>
      <c r="AO14" s="35">
        <f t="shared" si="0"/>
        <v>5.12</v>
      </c>
      <c r="AP14" s="35">
        <f t="shared" si="1"/>
        <v>0</v>
      </c>
      <c r="AQ14" s="35">
        <f>IF(ISBLANK($A14),,ROUNDDOWN(I14*AS6*1.024,))</f>
        <v>28</v>
      </c>
      <c r="AR14" s="35">
        <f>IF(ISBLANK($A14),,ROUNDDOWN(L14*AS6*1.024,))</f>
        <v>0</v>
      </c>
      <c r="AS14" s="35">
        <f>IF(ISBLANK($A14),,ROUNDDOWN(N14*AS6*1.024,))</f>
        <v>0</v>
      </c>
      <c r="AT14" s="35">
        <f>IF(ISBLANK($A14),,ROUNDDOWN(P14*AS6*1.024,))</f>
        <v>0</v>
      </c>
      <c r="AU14" s="35">
        <f>IF(ISBLANK($A14),,ROUNDDOWN(R14*AS6*1.024,))</f>
        <v>0</v>
      </c>
      <c r="AV14" s="35">
        <f t="shared" si="2"/>
        <v>0</v>
      </c>
      <c r="AW14" s="35">
        <f>IF(ISBLANK($A14),,ROUNDDOWN(V14*AS6*1.024,))</f>
        <v>0</v>
      </c>
      <c r="AX14" s="35">
        <f>IF(ISBLANK($A14),,ROUNDDOWN(X14*AS6*1.024,))</f>
        <v>0</v>
      </c>
    </row>
    <row r="15" spans="1:50">
      <c r="A15" s="35" t="s">
        <v>349</v>
      </c>
      <c r="C15" s="35" t="s">
        <v>333</v>
      </c>
      <c r="D15" s="35" t="s">
        <v>453</v>
      </c>
      <c r="E15" s="35" t="s">
        <v>482</v>
      </c>
      <c r="F15" s="154">
        <v>3</v>
      </c>
      <c r="G15" s="154">
        <v>6</v>
      </c>
      <c r="H15" s="154">
        <v>0</v>
      </c>
      <c r="I15" s="154">
        <v>41</v>
      </c>
      <c r="J15" s="154">
        <f t="shared" si="3"/>
        <v>6</v>
      </c>
      <c r="K15" s="154" t="s">
        <v>343</v>
      </c>
      <c r="L15" s="154"/>
      <c r="M15" s="154"/>
      <c r="N15" s="154"/>
      <c r="O15" s="154"/>
      <c r="P15" s="154"/>
      <c r="Q15" s="154"/>
      <c r="R15" s="154"/>
      <c r="S15" s="154"/>
      <c r="T15" s="154"/>
      <c r="U15" s="154"/>
      <c r="V15" s="154"/>
      <c r="W15" s="154"/>
      <c r="X15" s="154"/>
      <c r="Y15" s="154"/>
      <c r="Z15" s="154"/>
      <c r="AA15" s="154"/>
      <c r="AB15" s="154"/>
      <c r="AC15" s="154"/>
      <c r="AD15" s="154"/>
      <c r="AE15" s="154"/>
      <c r="AF15" s="180"/>
      <c r="AG15" s="180"/>
      <c r="AH15" s="154"/>
      <c r="AI15" s="154"/>
      <c r="AJ15" s="154" t="s">
        <v>346</v>
      </c>
      <c r="AK15" s="152" t="s">
        <v>347</v>
      </c>
      <c r="AL15" s="154"/>
      <c r="AO15" s="35">
        <f t="shared" si="0"/>
        <v>6.1440000000000001</v>
      </c>
      <c r="AP15" s="35">
        <f t="shared" si="1"/>
        <v>0</v>
      </c>
      <c r="AQ15" s="35">
        <f>IF(ISBLANK($A15),,ROUNDDOWN(I15*AS6*1.024,))</f>
        <v>37</v>
      </c>
      <c r="AR15" s="35">
        <f>IF(ISBLANK($A15),,ROUNDDOWN(L15*AS6*1.024,))</f>
        <v>0</v>
      </c>
      <c r="AS15" s="35">
        <f>IF(ISBLANK($A15),,ROUNDDOWN(N15*AS6*1.024,))</f>
        <v>0</v>
      </c>
      <c r="AT15" s="35">
        <f>IF(ISBLANK($A15),,ROUNDDOWN(P15*AS6*1.024,))</f>
        <v>0</v>
      </c>
      <c r="AU15" s="35">
        <f>IF(ISBLANK($A15),,ROUNDDOWN(R15*AS6*1.024,))</f>
        <v>0</v>
      </c>
      <c r="AV15" s="35">
        <f t="shared" si="2"/>
        <v>0</v>
      </c>
      <c r="AW15" s="35">
        <f>IF(ISBLANK($A15),,ROUNDDOWN(V15*AS6*1.024,))</f>
        <v>0</v>
      </c>
      <c r="AX15" s="35">
        <f>IF(ISBLANK($A15),,ROUNDDOWN(X15*AS6*1.024,))</f>
        <v>0</v>
      </c>
    </row>
    <row r="16" spans="1:50">
      <c r="A16" s="35" t="s">
        <v>351</v>
      </c>
      <c r="C16" s="35" t="s">
        <v>333</v>
      </c>
      <c r="D16" s="35" t="s">
        <v>453</v>
      </c>
      <c r="E16" s="35" t="s">
        <v>40</v>
      </c>
      <c r="F16" s="154">
        <v>5</v>
      </c>
      <c r="G16" s="154">
        <v>7</v>
      </c>
      <c r="H16" s="154">
        <v>0</v>
      </c>
      <c r="I16" s="154">
        <v>56</v>
      </c>
      <c r="J16" s="154">
        <f t="shared" si="3"/>
        <v>7</v>
      </c>
      <c r="K16" s="154" t="s">
        <v>335</v>
      </c>
      <c r="L16" s="154"/>
      <c r="M16" s="154"/>
      <c r="N16" s="154"/>
      <c r="O16" s="154"/>
      <c r="P16" s="154"/>
      <c r="Q16" s="154"/>
      <c r="R16" s="154"/>
      <c r="S16" s="154"/>
      <c r="T16" s="154"/>
      <c r="U16" s="154"/>
      <c r="V16" s="154"/>
      <c r="W16" s="154"/>
      <c r="X16" s="154"/>
      <c r="Y16" s="154"/>
      <c r="Z16" s="154"/>
      <c r="AA16" s="154"/>
      <c r="AB16" s="154"/>
      <c r="AC16" s="154"/>
      <c r="AD16" s="154"/>
      <c r="AE16" s="154"/>
      <c r="AF16" s="180"/>
      <c r="AG16" s="180"/>
      <c r="AH16" s="154"/>
      <c r="AI16" s="154"/>
      <c r="AJ16" s="154" t="s">
        <v>346</v>
      </c>
      <c r="AK16" s="152" t="s">
        <v>347</v>
      </c>
      <c r="AL16" s="154"/>
      <c r="AO16" s="35">
        <f t="shared" si="0"/>
        <v>7.1680000000000001</v>
      </c>
      <c r="AP16" s="35">
        <f t="shared" si="1"/>
        <v>0</v>
      </c>
      <c r="AQ16" s="35">
        <f>IF(ISBLANK($A16),,ROUNDDOWN(I16*AS6*1.024,))</f>
        <v>51</v>
      </c>
      <c r="AR16" s="35">
        <f>IF(ISBLANK($A16),,ROUNDDOWN(L16*AS6*1.024,))</f>
        <v>0</v>
      </c>
      <c r="AS16" s="35">
        <f>IF(ISBLANK($A16),,ROUNDDOWN(N16*AS6*1.024,))</f>
        <v>0</v>
      </c>
      <c r="AT16" s="35">
        <f>IF(ISBLANK($A16),,ROUNDDOWN(P16*AS6*1.024,))</f>
        <v>0</v>
      </c>
      <c r="AU16" s="35">
        <f>IF(ISBLANK($A16),,ROUNDDOWN(R16*AS6*1.024,))</f>
        <v>0</v>
      </c>
      <c r="AV16" s="35">
        <f t="shared" si="2"/>
        <v>0</v>
      </c>
      <c r="AW16" s="35">
        <f>IF(ISBLANK($A16),,ROUNDDOWN(V16*AS6*1.024,))</f>
        <v>0</v>
      </c>
      <c r="AX16" s="35">
        <f>IF(ISBLANK($A16),,ROUNDDOWN(X16*AS6*1.024,))</f>
        <v>0</v>
      </c>
    </row>
    <row r="17" spans="1:50">
      <c r="A17" s="35" t="s">
        <v>352</v>
      </c>
      <c r="C17" s="35" t="s">
        <v>333</v>
      </c>
      <c r="D17" s="35" t="s">
        <v>453</v>
      </c>
      <c r="E17" s="35" t="s">
        <v>43</v>
      </c>
      <c r="F17" s="154">
        <v>4</v>
      </c>
      <c r="G17" s="154">
        <v>6</v>
      </c>
      <c r="H17" s="154">
        <v>0</v>
      </c>
      <c r="I17" s="154">
        <v>31</v>
      </c>
      <c r="J17" s="154">
        <f t="shared" si="3"/>
        <v>6</v>
      </c>
      <c r="K17" s="154" t="s">
        <v>337</v>
      </c>
      <c r="L17" s="154"/>
      <c r="M17" s="154"/>
      <c r="N17" s="154"/>
      <c r="O17" s="154"/>
      <c r="P17" s="154"/>
      <c r="Q17" s="154"/>
      <c r="R17" s="154"/>
      <c r="S17" s="154"/>
      <c r="T17" s="154"/>
      <c r="U17" s="154"/>
      <c r="V17" s="154"/>
      <c r="W17" s="154"/>
      <c r="X17" s="154"/>
      <c r="Y17" s="154"/>
      <c r="Z17" s="154"/>
      <c r="AA17" s="154"/>
      <c r="AB17" s="154"/>
      <c r="AC17" s="154"/>
      <c r="AD17" s="154"/>
      <c r="AE17" s="154"/>
      <c r="AF17" s="180"/>
      <c r="AG17" s="180"/>
      <c r="AH17" s="154"/>
      <c r="AI17" s="154"/>
      <c r="AJ17" s="154" t="s">
        <v>346</v>
      </c>
      <c r="AK17" s="152" t="s">
        <v>347</v>
      </c>
      <c r="AL17" s="154"/>
      <c r="AO17" s="35">
        <f t="shared" si="0"/>
        <v>6.1440000000000001</v>
      </c>
      <c r="AP17" s="35">
        <f t="shared" si="1"/>
        <v>0</v>
      </c>
      <c r="AQ17" s="35">
        <f>IF(ISBLANK($A17),,ROUNDDOWN(I17*AS6*1.024,))</f>
        <v>28</v>
      </c>
      <c r="AR17" s="35">
        <f>IF(ISBLANK($A17),,ROUNDDOWN(L17*AS6*1.024,))</f>
        <v>0</v>
      </c>
      <c r="AS17" s="35">
        <f>IF(ISBLANK($A17),,ROUNDDOWN(N17*AS6*1.024,))</f>
        <v>0</v>
      </c>
      <c r="AT17" s="35">
        <f>IF(ISBLANK($A17),,ROUNDDOWN(P17*AS6*1.024,))</f>
        <v>0</v>
      </c>
      <c r="AU17" s="35">
        <f>IF(ISBLANK($A17),,ROUNDDOWN(R17*AS6*1.024,))</f>
        <v>0</v>
      </c>
      <c r="AV17" s="35">
        <f t="shared" si="2"/>
        <v>0</v>
      </c>
      <c r="AW17" s="35">
        <f>IF(ISBLANK($A17),,ROUNDDOWN(V17*AS6*1.024,))</f>
        <v>0</v>
      </c>
      <c r="AX17" s="35">
        <f>IF(ISBLANK($A17),,ROUNDDOWN(X17*AS6*1.024,))</f>
        <v>0</v>
      </c>
    </row>
    <row r="18" spans="1:50">
      <c r="A18" s="35" t="s">
        <v>353</v>
      </c>
      <c r="C18" s="35" t="s">
        <v>333</v>
      </c>
      <c r="D18" s="35" t="s">
        <v>453</v>
      </c>
      <c r="E18" s="35" t="s">
        <v>47</v>
      </c>
      <c r="F18" s="154">
        <v>4</v>
      </c>
      <c r="G18" s="154">
        <v>4</v>
      </c>
      <c r="H18" s="154">
        <v>0</v>
      </c>
      <c r="I18" s="154">
        <v>31</v>
      </c>
      <c r="J18" s="154">
        <f t="shared" si="3"/>
        <v>4</v>
      </c>
      <c r="K18" s="154" t="s">
        <v>343</v>
      </c>
      <c r="L18" s="154"/>
      <c r="M18" s="154"/>
      <c r="N18" s="154"/>
      <c r="O18" s="154"/>
      <c r="P18" s="154"/>
      <c r="Q18" s="154"/>
      <c r="R18" s="154"/>
      <c r="S18" s="154"/>
      <c r="T18" s="154"/>
      <c r="U18" s="154"/>
      <c r="V18" s="154"/>
      <c r="W18" s="154"/>
      <c r="X18" s="154"/>
      <c r="Y18" s="154"/>
      <c r="Z18" s="154"/>
      <c r="AA18" s="154"/>
      <c r="AB18" s="154"/>
      <c r="AC18" s="154"/>
      <c r="AD18" s="154"/>
      <c r="AE18" s="154"/>
      <c r="AF18" s="180"/>
      <c r="AG18" s="180"/>
      <c r="AH18" s="154"/>
      <c r="AI18" s="154"/>
      <c r="AJ18" s="154" t="s">
        <v>346</v>
      </c>
      <c r="AK18" s="152" t="s">
        <v>347</v>
      </c>
      <c r="AL18" s="154" t="s">
        <v>329</v>
      </c>
      <c r="AO18" s="35">
        <f t="shared" si="0"/>
        <v>4.0960000000000001</v>
      </c>
      <c r="AP18" s="35">
        <f t="shared" si="1"/>
        <v>0</v>
      </c>
      <c r="AQ18" s="35">
        <f>IF(ISBLANK($A18),,ROUNDDOWN(I18*AS6*1.024,))</f>
        <v>28</v>
      </c>
      <c r="AR18" s="35">
        <f>IF(ISBLANK($A18),,ROUNDDOWN(L18*AS6*1.024,))</f>
        <v>0</v>
      </c>
      <c r="AS18" s="35">
        <f>IF(ISBLANK($A18),,ROUNDDOWN(N18*AS6*1.024,))</f>
        <v>0</v>
      </c>
      <c r="AT18" s="35">
        <f>IF(ISBLANK($A18),,ROUNDDOWN(P18*AS6*1.024,))</f>
        <v>0</v>
      </c>
      <c r="AU18" s="35">
        <f>IF(ISBLANK($A18),,ROUNDDOWN(R18*AS6*1.024,))</f>
        <v>0</v>
      </c>
      <c r="AV18" s="35">
        <f t="shared" si="2"/>
        <v>0</v>
      </c>
      <c r="AW18" s="35">
        <f>IF(ISBLANK($A18),,ROUNDDOWN(V18*AS6*1.024,))</f>
        <v>0</v>
      </c>
      <c r="AX18" s="35">
        <f>IF(ISBLANK($A18),,ROUNDDOWN(X18*AS6*1.024,))</f>
        <v>0</v>
      </c>
    </row>
    <row r="19" spans="1:50">
      <c r="A19" s="35" t="s">
        <v>354</v>
      </c>
      <c r="C19" s="35" t="s">
        <v>333</v>
      </c>
      <c r="D19" s="35" t="s">
        <v>453</v>
      </c>
      <c r="E19" s="35" t="s">
        <v>355</v>
      </c>
      <c r="F19" s="154">
        <v>8</v>
      </c>
      <c r="G19" s="154">
        <v>10</v>
      </c>
      <c r="H19" s="154">
        <v>0</v>
      </c>
      <c r="I19" s="154">
        <v>101</v>
      </c>
      <c r="J19" s="154">
        <f t="shared" si="3"/>
        <v>10</v>
      </c>
      <c r="K19" s="154" t="s">
        <v>335</v>
      </c>
      <c r="L19" s="154"/>
      <c r="M19" s="154"/>
      <c r="N19" s="154"/>
      <c r="O19" s="154"/>
      <c r="P19" s="154"/>
      <c r="Q19" s="154"/>
      <c r="R19" s="154"/>
      <c r="S19" s="154"/>
      <c r="T19" s="154"/>
      <c r="U19" s="154"/>
      <c r="V19" s="154"/>
      <c r="W19" s="154"/>
      <c r="X19" s="154"/>
      <c r="Y19" s="154"/>
      <c r="Z19" s="154"/>
      <c r="AA19" s="154"/>
      <c r="AB19" s="152">
        <v>50</v>
      </c>
      <c r="AC19" s="152" t="s">
        <v>343</v>
      </c>
      <c r="AD19" s="152"/>
      <c r="AE19" s="152"/>
      <c r="AF19" s="179"/>
      <c r="AG19" s="179"/>
      <c r="AH19" s="152"/>
      <c r="AI19" s="152"/>
      <c r="AJ19" s="154" t="s">
        <v>328</v>
      </c>
      <c r="AK19" s="154" t="s">
        <v>329</v>
      </c>
      <c r="AL19" s="154"/>
      <c r="AO19" s="35">
        <f t="shared" si="0"/>
        <v>10.24</v>
      </c>
      <c r="AP19" s="35">
        <f t="shared" si="1"/>
        <v>0</v>
      </c>
      <c r="AQ19" s="35">
        <f>IF(ISBLANK($A19),,ROUNDDOWN(I19*AS6*1.024,))</f>
        <v>93</v>
      </c>
      <c r="AR19" s="35">
        <f>IF(ISBLANK($A19),,ROUNDDOWN(L19*AS6*1.024,))</f>
        <v>0</v>
      </c>
      <c r="AS19" s="35">
        <f>IF(ISBLANK($A19),,ROUNDDOWN(N19*AS6*1.024,))</f>
        <v>0</v>
      </c>
      <c r="AT19" s="35">
        <f>IF(ISBLANK($A19),,ROUNDDOWN(P19*AS6*1.024,))</f>
        <v>0</v>
      </c>
      <c r="AU19" s="35">
        <f>IF(ISBLANK($A19),,ROUNDDOWN(R19*AS6*1.024,))</f>
        <v>0</v>
      </c>
      <c r="AV19" s="35">
        <f t="shared" si="2"/>
        <v>0</v>
      </c>
      <c r="AW19" s="35">
        <f>IF(ISBLANK($A19),,ROUNDDOWN(V19*AS6*1.024,))</f>
        <v>0</v>
      </c>
      <c r="AX19" s="35">
        <f>IF(ISBLANK($A19),,ROUNDDOWN(X19*AS6*1.024,))</f>
        <v>0</v>
      </c>
    </row>
    <row r="20" spans="1:50">
      <c r="A20" s="35" t="s">
        <v>356</v>
      </c>
      <c r="C20" s="35" t="s">
        <v>333</v>
      </c>
      <c r="D20" s="35" t="s">
        <v>453</v>
      </c>
      <c r="E20" s="35" t="s">
        <v>55</v>
      </c>
      <c r="F20" s="154">
        <v>6</v>
      </c>
      <c r="G20" s="154">
        <v>6</v>
      </c>
      <c r="H20" s="154">
        <v>0</v>
      </c>
      <c r="I20" s="154">
        <v>131</v>
      </c>
      <c r="J20" s="154">
        <f t="shared" si="3"/>
        <v>6</v>
      </c>
      <c r="K20" s="154" t="s">
        <v>337</v>
      </c>
      <c r="L20" s="154"/>
      <c r="M20" s="154"/>
      <c r="N20" s="154"/>
      <c r="O20" s="154"/>
      <c r="P20" s="154"/>
      <c r="Q20" s="154"/>
      <c r="R20" s="154"/>
      <c r="S20" s="154"/>
      <c r="T20" s="154"/>
      <c r="U20" s="154"/>
      <c r="V20" s="154"/>
      <c r="W20" s="154"/>
      <c r="X20" s="154"/>
      <c r="Y20" s="154"/>
      <c r="Z20" s="154"/>
      <c r="AA20" s="154"/>
      <c r="AB20" s="154"/>
      <c r="AC20" s="154"/>
      <c r="AD20" s="154"/>
      <c r="AE20" s="154"/>
      <c r="AF20" s="180"/>
      <c r="AG20" s="180"/>
      <c r="AH20" s="154"/>
      <c r="AI20" s="154"/>
      <c r="AJ20" s="154" t="s">
        <v>346</v>
      </c>
      <c r="AK20" s="152" t="s">
        <v>347</v>
      </c>
      <c r="AL20" s="154"/>
      <c r="AO20" s="35">
        <f t="shared" si="0"/>
        <v>6.1440000000000001</v>
      </c>
      <c r="AP20" s="35">
        <f t="shared" si="1"/>
        <v>0</v>
      </c>
      <c r="AQ20" s="35">
        <f>IF(ISBLANK($A20),,ROUNDDOWN(I20*AS6*1.024,))</f>
        <v>120</v>
      </c>
      <c r="AR20" s="35">
        <f>IF(ISBLANK($A20),,ROUNDDOWN(L20*AS6*1.024,))</f>
        <v>0</v>
      </c>
      <c r="AS20" s="35">
        <f>IF(ISBLANK($A20),,ROUNDDOWN(N20*AS6*1.024,))</f>
        <v>0</v>
      </c>
      <c r="AT20" s="35">
        <f>IF(ISBLANK($A20),,ROUNDDOWN(P20*AS6*1.024,))</f>
        <v>0</v>
      </c>
      <c r="AU20" s="35">
        <f>IF(ISBLANK($A20),,ROUNDDOWN(R20*AS6*1.024,))</f>
        <v>0</v>
      </c>
      <c r="AV20" s="35">
        <f t="shared" si="2"/>
        <v>0</v>
      </c>
      <c r="AW20" s="35">
        <f>IF(ISBLANK($A20),,ROUNDDOWN(V20*AS6*1.024,))</f>
        <v>0</v>
      </c>
      <c r="AX20" s="35">
        <f>IF(ISBLANK($A20),,ROUNDDOWN(X20*AS6*1.024,))</f>
        <v>0</v>
      </c>
    </row>
    <row r="21" spans="1:50">
      <c r="A21" s="35" t="s">
        <v>357</v>
      </c>
      <c r="C21" s="35" t="s">
        <v>333</v>
      </c>
      <c r="D21" s="35" t="s">
        <v>453</v>
      </c>
      <c r="E21" s="35" t="s">
        <v>483</v>
      </c>
      <c r="F21" s="154">
        <v>6</v>
      </c>
      <c r="G21" s="154">
        <v>7</v>
      </c>
      <c r="H21" s="154">
        <v>0</v>
      </c>
      <c r="I21" s="154">
        <v>61</v>
      </c>
      <c r="J21" s="154">
        <f t="shared" si="3"/>
        <v>7</v>
      </c>
      <c r="K21" s="154" t="s">
        <v>343</v>
      </c>
      <c r="L21" s="154"/>
      <c r="M21" s="154"/>
      <c r="N21" s="154"/>
      <c r="O21" s="154"/>
      <c r="P21" s="154"/>
      <c r="Q21" s="154"/>
      <c r="R21" s="154"/>
      <c r="S21" s="154"/>
      <c r="T21" s="154"/>
      <c r="U21" s="154"/>
      <c r="V21" s="154"/>
      <c r="W21" s="154"/>
      <c r="X21" s="154"/>
      <c r="Y21" s="154"/>
      <c r="Z21" s="154"/>
      <c r="AA21" s="154"/>
      <c r="AB21" s="154"/>
      <c r="AC21" s="154"/>
      <c r="AD21" s="154"/>
      <c r="AE21" s="154"/>
      <c r="AF21" s="180"/>
      <c r="AG21" s="180"/>
      <c r="AH21" s="154"/>
      <c r="AI21" s="154"/>
      <c r="AJ21" s="154" t="s">
        <v>328</v>
      </c>
      <c r="AK21" s="154" t="s">
        <v>329</v>
      </c>
      <c r="AL21" s="154"/>
      <c r="AO21" s="35">
        <f t="shared" si="0"/>
        <v>7.1680000000000001</v>
      </c>
      <c r="AP21" s="35">
        <f t="shared" si="1"/>
        <v>0</v>
      </c>
      <c r="AQ21" s="35">
        <f>IF(ISBLANK($A21),,ROUNDDOWN(I21*AS6*1.024,))</f>
        <v>56</v>
      </c>
      <c r="AR21" s="35">
        <f>IF(ISBLANK($A21),,ROUNDDOWN(L21*AS6*1.024,))</f>
        <v>0</v>
      </c>
      <c r="AS21" s="35">
        <f>IF(ISBLANK($A21),,ROUNDDOWN(N21*AS6*1.024,))</f>
        <v>0</v>
      </c>
      <c r="AT21" s="35">
        <f>IF(ISBLANK($A21),,ROUNDDOWN(P21*AS6*1.024,))</f>
        <v>0</v>
      </c>
      <c r="AU21" s="35">
        <f>IF(ISBLANK($A21),,ROUNDDOWN(R21*AS6*1.024,))</f>
        <v>0</v>
      </c>
      <c r="AV21" s="35">
        <f t="shared" si="2"/>
        <v>0</v>
      </c>
      <c r="AW21" s="35">
        <f>IF(ISBLANK($A21),,ROUNDDOWN(V21*AS6*1.024,))</f>
        <v>0</v>
      </c>
      <c r="AX21" s="35">
        <f>IF(ISBLANK($A21),,ROUNDDOWN(X21*AS6*1.024,))</f>
        <v>0</v>
      </c>
    </row>
    <row r="22" spans="1:50">
      <c r="A22" s="35" t="s">
        <v>358</v>
      </c>
      <c r="C22" s="35" t="s">
        <v>333</v>
      </c>
      <c r="D22" s="35" t="s">
        <v>453</v>
      </c>
      <c r="E22" s="35" t="s">
        <v>483</v>
      </c>
      <c r="F22" s="154">
        <v>6</v>
      </c>
      <c r="G22" s="154">
        <v>7</v>
      </c>
      <c r="H22" s="154">
        <v>0</v>
      </c>
      <c r="I22" s="154">
        <v>61</v>
      </c>
      <c r="J22" s="154">
        <f t="shared" si="3"/>
        <v>7</v>
      </c>
      <c r="K22" s="154" t="s">
        <v>335</v>
      </c>
      <c r="L22" s="154"/>
      <c r="M22" s="154"/>
      <c r="N22" s="154"/>
      <c r="O22" s="154"/>
      <c r="P22" s="154"/>
      <c r="Q22" s="154"/>
      <c r="R22" s="154"/>
      <c r="S22" s="154"/>
      <c r="T22" s="154"/>
      <c r="U22" s="154"/>
      <c r="V22" s="154"/>
      <c r="W22" s="154"/>
      <c r="X22" s="154"/>
      <c r="Y22" s="154"/>
      <c r="Z22" s="154"/>
      <c r="AA22" s="154"/>
      <c r="AB22" s="154"/>
      <c r="AC22" s="154"/>
      <c r="AD22" s="154"/>
      <c r="AE22" s="154"/>
      <c r="AF22" s="180"/>
      <c r="AG22" s="180"/>
      <c r="AH22" s="154"/>
      <c r="AI22" s="154"/>
      <c r="AJ22" s="154" t="s">
        <v>328</v>
      </c>
      <c r="AK22" s="154" t="s">
        <v>329</v>
      </c>
      <c r="AL22" s="154"/>
      <c r="AO22" s="35">
        <f t="shared" si="0"/>
        <v>7.1680000000000001</v>
      </c>
      <c r="AP22" s="35">
        <f t="shared" si="1"/>
        <v>0</v>
      </c>
      <c r="AQ22" s="35">
        <f>IF(ISBLANK($A22),,ROUNDDOWN(I22*AS6*1.024,))</f>
        <v>56</v>
      </c>
      <c r="AR22" s="35">
        <f>IF(ISBLANK($A22),,ROUNDDOWN(L22*AS6*1.024,))</f>
        <v>0</v>
      </c>
      <c r="AS22" s="35">
        <f>IF(ISBLANK($A22),,ROUNDDOWN(N22*AS6*1.024,))</f>
        <v>0</v>
      </c>
      <c r="AT22" s="35">
        <f>IF(ISBLANK($A22),,ROUNDDOWN(P22*AS6*1.024,))</f>
        <v>0</v>
      </c>
      <c r="AU22" s="35">
        <f>IF(ISBLANK($A22),,ROUNDDOWN(R22*AS6*1.024,))</f>
        <v>0</v>
      </c>
      <c r="AV22" s="35">
        <f t="shared" si="2"/>
        <v>0</v>
      </c>
      <c r="AW22" s="35">
        <f>IF(ISBLANK($A22),,ROUNDDOWN(V22*AS6*1.024,))</f>
        <v>0</v>
      </c>
      <c r="AX22" s="35">
        <f>IF(ISBLANK($A22),,ROUNDDOWN(X22*AS6*1.024,))</f>
        <v>0</v>
      </c>
    </row>
    <row r="23" spans="1:50">
      <c r="A23" s="35" t="s">
        <v>359</v>
      </c>
      <c r="C23" s="35" t="s">
        <v>333</v>
      </c>
      <c r="D23" s="35" t="s">
        <v>453</v>
      </c>
      <c r="E23" s="35" t="s">
        <v>63</v>
      </c>
      <c r="F23" s="154">
        <v>6</v>
      </c>
      <c r="G23" s="154">
        <v>13</v>
      </c>
      <c r="H23" s="154">
        <v>0</v>
      </c>
      <c r="I23" s="154">
        <v>56</v>
      </c>
      <c r="J23" s="154">
        <f t="shared" si="3"/>
        <v>13</v>
      </c>
      <c r="K23" s="154" t="s">
        <v>337</v>
      </c>
      <c r="L23" s="154"/>
      <c r="M23" s="154"/>
      <c r="N23" s="154"/>
      <c r="O23" s="154"/>
      <c r="P23" s="154"/>
      <c r="Q23" s="154"/>
      <c r="R23" s="154"/>
      <c r="S23" s="154"/>
      <c r="T23" s="154"/>
      <c r="U23" s="154"/>
      <c r="V23" s="154"/>
      <c r="W23" s="154"/>
      <c r="X23" s="154"/>
      <c r="Y23" s="154"/>
      <c r="Z23" s="154"/>
      <c r="AA23" s="154"/>
      <c r="AB23" s="154"/>
      <c r="AC23" s="154"/>
      <c r="AD23" s="152">
        <v>85</v>
      </c>
      <c r="AE23" s="152" t="s">
        <v>337</v>
      </c>
      <c r="AF23" s="179"/>
      <c r="AG23" s="179"/>
      <c r="AH23" s="154"/>
      <c r="AI23" s="154"/>
      <c r="AJ23" s="154" t="s">
        <v>328</v>
      </c>
      <c r="AK23" s="154" t="s">
        <v>329</v>
      </c>
      <c r="AL23" s="154"/>
      <c r="AO23" s="35">
        <f t="shared" si="0"/>
        <v>13.312000000000001</v>
      </c>
      <c r="AP23" s="35">
        <f t="shared" si="1"/>
        <v>0</v>
      </c>
      <c r="AQ23" s="35">
        <f>IF(ISBLANK($A23),,ROUNDDOWN(I23*AS6*1.024,))</f>
        <v>51</v>
      </c>
      <c r="AR23" s="35">
        <f>IF(ISBLANK($A23),,ROUNDDOWN(L23*AS6*1.024,))</f>
        <v>0</v>
      </c>
      <c r="AS23" s="35">
        <f>IF(ISBLANK($A23),,ROUNDDOWN(N23*AS6*1.024,))</f>
        <v>0</v>
      </c>
      <c r="AT23" s="35">
        <f>IF(ISBLANK($A23),,ROUNDDOWN(P23*AS6*1.024,))</f>
        <v>0</v>
      </c>
      <c r="AU23" s="35">
        <f>IF(ISBLANK($A23),,ROUNDDOWN(R23*AS6*1.024,))</f>
        <v>0</v>
      </c>
      <c r="AV23" s="35">
        <f t="shared" si="2"/>
        <v>0</v>
      </c>
      <c r="AW23" s="35">
        <f>IF(ISBLANK($A23),,ROUNDDOWN(V23*AS6*1.024,))</f>
        <v>0</v>
      </c>
      <c r="AX23" s="35">
        <f>IF(ISBLANK($A23),,ROUNDDOWN(X23*AS6*1.024,))</f>
        <v>0</v>
      </c>
    </row>
    <row r="24" spans="1:50">
      <c r="A24" s="35" t="s">
        <v>360</v>
      </c>
      <c r="C24" s="35" t="s">
        <v>333</v>
      </c>
      <c r="D24" s="35" t="s">
        <v>453</v>
      </c>
      <c r="E24" s="35" t="s">
        <v>67</v>
      </c>
      <c r="F24" s="154">
        <v>6</v>
      </c>
      <c r="G24" s="154">
        <v>13</v>
      </c>
      <c r="H24" s="154">
        <v>0</v>
      </c>
      <c r="I24" s="154">
        <v>56</v>
      </c>
      <c r="J24" s="154">
        <f t="shared" si="3"/>
        <v>13</v>
      </c>
      <c r="K24" s="154" t="s">
        <v>343</v>
      </c>
      <c r="L24" s="154"/>
      <c r="M24" s="154"/>
      <c r="N24" s="154"/>
      <c r="O24" s="154"/>
      <c r="P24" s="154"/>
      <c r="Q24" s="154"/>
      <c r="R24" s="154"/>
      <c r="S24" s="154"/>
      <c r="T24" s="154"/>
      <c r="U24" s="154"/>
      <c r="V24" s="154"/>
      <c r="W24" s="154"/>
      <c r="X24" s="154"/>
      <c r="Y24" s="154"/>
      <c r="Z24" s="154"/>
      <c r="AA24" s="154"/>
      <c r="AB24" s="154"/>
      <c r="AC24" s="154"/>
      <c r="AD24" s="152">
        <v>85</v>
      </c>
      <c r="AE24" s="152" t="s">
        <v>343</v>
      </c>
      <c r="AF24" s="179"/>
      <c r="AG24" s="179"/>
      <c r="AH24" s="154"/>
      <c r="AI24" s="154"/>
      <c r="AJ24" s="154" t="s">
        <v>328</v>
      </c>
      <c r="AK24" s="154" t="s">
        <v>329</v>
      </c>
      <c r="AL24" s="154"/>
      <c r="AO24" s="35">
        <f t="shared" si="0"/>
        <v>13.312000000000001</v>
      </c>
      <c r="AP24" s="35">
        <f t="shared" si="1"/>
        <v>0</v>
      </c>
      <c r="AQ24" s="35">
        <f>IF(ISBLANK($A24),,ROUNDDOWN(I24*AS6*1.024,))</f>
        <v>51</v>
      </c>
      <c r="AR24" s="35">
        <f>IF(ISBLANK($A24),,ROUNDDOWN(L24*AS6*1.024,))</f>
        <v>0</v>
      </c>
      <c r="AS24" s="35">
        <f>IF(ISBLANK($A24),,ROUNDDOWN(N24*AS6*1.024,))</f>
        <v>0</v>
      </c>
      <c r="AT24" s="35">
        <f>IF(ISBLANK($A24),,ROUNDDOWN(P24*AS6*1.024,))</f>
        <v>0</v>
      </c>
      <c r="AU24" s="35">
        <f>IF(ISBLANK($A24),,ROUNDDOWN(R24*AS6*1.024,))</f>
        <v>0</v>
      </c>
      <c r="AV24" s="35">
        <f t="shared" si="2"/>
        <v>0</v>
      </c>
      <c r="AW24" s="35">
        <f>IF(ISBLANK($A24),,ROUNDDOWN(V24*AS6*1.024,))</f>
        <v>0</v>
      </c>
      <c r="AX24" s="35">
        <f>IF(ISBLANK($A24),,ROUNDDOWN(X24*AS6*1.024,))</f>
        <v>0</v>
      </c>
    </row>
    <row r="25" spans="1:50">
      <c r="A25" s="35" t="s">
        <v>361</v>
      </c>
      <c r="C25" s="35" t="s">
        <v>333</v>
      </c>
      <c r="D25" s="35" t="s">
        <v>453</v>
      </c>
      <c r="E25" s="35" t="s">
        <v>71</v>
      </c>
      <c r="F25" s="154">
        <v>5</v>
      </c>
      <c r="G25" s="154">
        <v>7</v>
      </c>
      <c r="H25" s="154">
        <v>0</v>
      </c>
      <c r="I25" s="154">
        <v>41</v>
      </c>
      <c r="J25" s="154">
        <f t="shared" si="3"/>
        <v>7</v>
      </c>
      <c r="K25" s="154" t="s">
        <v>335</v>
      </c>
      <c r="L25" s="154"/>
      <c r="M25" s="154"/>
      <c r="N25" s="154"/>
      <c r="O25" s="154"/>
      <c r="P25" s="154"/>
      <c r="Q25" s="154"/>
      <c r="R25" s="154"/>
      <c r="S25" s="154"/>
      <c r="T25" s="154"/>
      <c r="U25" s="154"/>
      <c r="V25" s="154"/>
      <c r="W25" s="154"/>
      <c r="X25" s="154"/>
      <c r="Y25" s="154"/>
      <c r="Z25" s="154"/>
      <c r="AA25" s="154"/>
      <c r="AB25" s="154"/>
      <c r="AC25" s="154"/>
      <c r="AD25" s="154"/>
      <c r="AE25" s="154"/>
      <c r="AF25" s="180"/>
      <c r="AG25" s="180"/>
      <c r="AH25" s="154"/>
      <c r="AI25" s="154"/>
      <c r="AJ25" s="154" t="s">
        <v>328</v>
      </c>
      <c r="AK25" s="154" t="s">
        <v>329</v>
      </c>
      <c r="AL25" s="154"/>
      <c r="AO25" s="35">
        <f t="shared" si="0"/>
        <v>7.1680000000000001</v>
      </c>
      <c r="AP25" s="35">
        <f t="shared" si="1"/>
        <v>0</v>
      </c>
      <c r="AQ25" s="35">
        <f>IF(ISBLANK($A25),,ROUNDDOWN(I25*AS6*1.024,))</f>
        <v>37</v>
      </c>
      <c r="AR25" s="35">
        <f>IF(ISBLANK($A25),,ROUNDDOWN(L25*AS6*1.024,))</f>
        <v>0</v>
      </c>
      <c r="AS25" s="35">
        <f>IF(ISBLANK($A25),,ROUNDDOWN(N25*AS6*1.024,))</f>
        <v>0</v>
      </c>
      <c r="AT25" s="35">
        <f>IF(ISBLANK($A25),,ROUNDDOWN(P25*AS6*1.024,))</f>
        <v>0</v>
      </c>
      <c r="AU25" s="35">
        <f>IF(ISBLANK($A25),,ROUNDDOWN(R25*AS6*1.024,))</f>
        <v>0</v>
      </c>
      <c r="AV25" s="35">
        <f t="shared" si="2"/>
        <v>0</v>
      </c>
      <c r="AW25" s="35">
        <f>IF(ISBLANK($A25),,ROUNDDOWN(V25*AS6*1.024,))</f>
        <v>0</v>
      </c>
      <c r="AX25" s="35">
        <f>IF(ISBLANK($A25),,ROUNDDOWN(X25*AS6*1.024,))</f>
        <v>0</v>
      </c>
    </row>
    <row r="26" spans="1:50">
      <c r="A26" s="35" t="s">
        <v>363</v>
      </c>
      <c r="C26" s="35" t="s">
        <v>333</v>
      </c>
      <c r="D26" s="35" t="s">
        <v>453</v>
      </c>
      <c r="E26" s="35" t="s">
        <v>71</v>
      </c>
      <c r="F26" s="154">
        <v>5</v>
      </c>
      <c r="G26" s="154">
        <v>7</v>
      </c>
      <c r="H26" s="154">
        <v>0</v>
      </c>
      <c r="I26" s="154">
        <v>41</v>
      </c>
      <c r="J26" s="154">
        <f t="shared" si="3"/>
        <v>7</v>
      </c>
      <c r="K26" s="154" t="s">
        <v>337</v>
      </c>
      <c r="L26" s="154"/>
      <c r="M26" s="154"/>
      <c r="N26" s="154"/>
      <c r="O26" s="154"/>
      <c r="P26" s="154"/>
      <c r="Q26" s="154"/>
      <c r="R26" s="154"/>
      <c r="S26" s="154"/>
      <c r="T26" s="154"/>
      <c r="U26" s="154"/>
      <c r="V26" s="154"/>
      <c r="W26" s="154"/>
      <c r="X26" s="154"/>
      <c r="Y26" s="154"/>
      <c r="Z26" s="154"/>
      <c r="AA26" s="154"/>
      <c r="AB26" s="154"/>
      <c r="AC26" s="154"/>
      <c r="AD26" s="154"/>
      <c r="AE26" s="154"/>
      <c r="AF26" s="180"/>
      <c r="AG26" s="180"/>
      <c r="AH26" s="154"/>
      <c r="AI26" s="154"/>
      <c r="AJ26" s="154" t="s">
        <v>328</v>
      </c>
      <c r="AK26" s="154" t="s">
        <v>329</v>
      </c>
      <c r="AL26" s="154"/>
      <c r="AO26" s="35">
        <f t="shared" si="0"/>
        <v>7.1680000000000001</v>
      </c>
      <c r="AP26" s="35">
        <f t="shared" si="1"/>
        <v>0</v>
      </c>
      <c r="AQ26" s="35">
        <f>IF(ISBLANK($A26),,ROUNDDOWN(I26*AS6*1.024,))</f>
        <v>37</v>
      </c>
      <c r="AR26" s="35">
        <f>IF(ISBLANK($A26),,ROUNDDOWN(L26*AS6*1.024,))</f>
        <v>0</v>
      </c>
      <c r="AS26" s="35">
        <f>IF(ISBLANK($A26),,ROUNDDOWN(N26*AS6*1.024,))</f>
        <v>0</v>
      </c>
      <c r="AT26" s="35">
        <f>IF(ISBLANK($A26),,ROUNDDOWN(P26*AS6*1.024,))</f>
        <v>0</v>
      </c>
      <c r="AU26" s="35">
        <f>IF(ISBLANK($A26),,ROUNDDOWN(R26*AS6*1.024,))</f>
        <v>0</v>
      </c>
      <c r="AV26" s="35">
        <f t="shared" si="2"/>
        <v>0</v>
      </c>
      <c r="AW26" s="35">
        <f>IF(ISBLANK($A26),,ROUNDDOWN(V26*AS6*1.024,))</f>
        <v>0</v>
      </c>
      <c r="AX26" s="35">
        <f>IF(ISBLANK($A26),,ROUNDDOWN(X26*AS6*1.024,))</f>
        <v>0</v>
      </c>
    </row>
    <row r="27" spans="1:50">
      <c r="A27" s="35" t="s">
        <v>484</v>
      </c>
      <c r="C27" s="35" t="s">
        <v>333</v>
      </c>
      <c r="D27" s="35" t="s">
        <v>453</v>
      </c>
      <c r="E27" s="35" t="s">
        <v>73</v>
      </c>
      <c r="F27" s="154">
        <v>8</v>
      </c>
      <c r="G27" s="154">
        <v>34</v>
      </c>
      <c r="H27" s="154">
        <v>34</v>
      </c>
      <c r="I27" s="152">
        <v>136</v>
      </c>
      <c r="J27" s="154">
        <f t="shared" si="3"/>
        <v>0</v>
      </c>
      <c r="K27" s="154" t="s">
        <v>343</v>
      </c>
      <c r="L27" s="154"/>
      <c r="M27" s="154"/>
      <c r="N27" s="154"/>
      <c r="O27" s="154"/>
      <c r="P27" s="154"/>
      <c r="Q27" s="154"/>
      <c r="R27" s="154"/>
      <c r="S27" s="154"/>
      <c r="T27" s="154"/>
      <c r="U27" s="154"/>
      <c r="V27" s="154"/>
      <c r="W27" s="154"/>
      <c r="X27" s="154"/>
      <c r="Y27" s="154"/>
      <c r="Z27" s="154"/>
      <c r="AA27" s="154"/>
      <c r="AB27" s="154"/>
      <c r="AC27" s="154"/>
      <c r="AD27" s="154"/>
      <c r="AE27" s="154"/>
      <c r="AF27" s="180"/>
      <c r="AG27" s="180"/>
      <c r="AH27" s="154"/>
      <c r="AI27" s="154"/>
      <c r="AJ27" s="154" t="s">
        <v>346</v>
      </c>
      <c r="AK27" s="152" t="s">
        <v>347</v>
      </c>
      <c r="AL27" s="154"/>
      <c r="AO27" s="35">
        <f t="shared" si="0"/>
        <v>34.816000000000003</v>
      </c>
      <c r="AP27" s="35">
        <f t="shared" si="1"/>
        <v>34.816000000000003</v>
      </c>
      <c r="AQ27" s="35">
        <f>IF(ISBLANK($A27),,ROUNDDOWN(I27*AS6*1.024,))</f>
        <v>125</v>
      </c>
      <c r="AR27" s="35">
        <f>IF(ISBLANK($A27),,ROUNDDOWN(L27*AS6*1.024,))</f>
        <v>0</v>
      </c>
      <c r="AS27" s="35">
        <f>IF(ISBLANK($A27),,ROUNDDOWN(N27*AS6*1.024,))</f>
        <v>0</v>
      </c>
      <c r="AT27" s="35">
        <f>IF(ISBLANK($A27),,ROUNDDOWN(P27*AS6*1.024,))</f>
        <v>0</v>
      </c>
      <c r="AU27" s="35">
        <f>IF(ISBLANK($A27),,ROUNDDOWN(R27*AS6*1.024,))</f>
        <v>0</v>
      </c>
      <c r="AV27" s="35">
        <f t="shared" si="2"/>
        <v>0</v>
      </c>
      <c r="AW27" s="35">
        <f>IF(ISBLANK($A27),,ROUNDDOWN(V27*AS6*1.024,))</f>
        <v>0</v>
      </c>
      <c r="AX27" s="35">
        <f>IF(ISBLANK($A27),,ROUNDDOWN(X27*AS6*1.024,))</f>
        <v>0</v>
      </c>
    </row>
    <row r="28" spans="1:50">
      <c r="A28" s="35" t="s">
        <v>485</v>
      </c>
      <c r="C28" s="35" t="s">
        <v>333</v>
      </c>
      <c r="D28" s="35" t="s">
        <v>453</v>
      </c>
      <c r="E28" s="35" t="s">
        <v>73</v>
      </c>
      <c r="F28" s="154">
        <v>8</v>
      </c>
      <c r="G28" s="154">
        <v>34</v>
      </c>
      <c r="H28" s="154">
        <v>34</v>
      </c>
      <c r="I28" s="176">
        <v>136</v>
      </c>
      <c r="J28" s="154">
        <f t="shared" si="3"/>
        <v>0</v>
      </c>
      <c r="K28" s="154" t="s">
        <v>335</v>
      </c>
      <c r="L28" s="154"/>
      <c r="M28" s="154"/>
      <c r="N28" s="154"/>
      <c r="O28" s="154"/>
      <c r="P28" s="154"/>
      <c r="Q28" s="154"/>
      <c r="R28" s="154"/>
      <c r="S28" s="154"/>
      <c r="T28" s="154"/>
      <c r="U28" s="154"/>
      <c r="V28" s="154"/>
      <c r="W28" s="154"/>
      <c r="X28" s="154"/>
      <c r="Y28" s="154"/>
      <c r="Z28" s="154"/>
      <c r="AA28" s="154"/>
      <c r="AB28" s="154"/>
      <c r="AC28" s="154"/>
      <c r="AD28" s="154"/>
      <c r="AE28" s="154"/>
      <c r="AF28" s="180"/>
      <c r="AG28" s="180"/>
      <c r="AH28" s="154"/>
      <c r="AI28" s="154"/>
      <c r="AJ28" s="154" t="s">
        <v>346</v>
      </c>
      <c r="AK28" s="152" t="s">
        <v>347</v>
      </c>
      <c r="AL28" s="154"/>
      <c r="AO28" s="35">
        <f t="shared" si="0"/>
        <v>34.816000000000003</v>
      </c>
      <c r="AP28" s="35">
        <f t="shared" si="1"/>
        <v>34.816000000000003</v>
      </c>
      <c r="AQ28" s="35">
        <f>IF(ISBLANK($A28),,ROUNDDOWN(I28*AS6*1.024,))</f>
        <v>125</v>
      </c>
      <c r="AR28" s="35">
        <f>IF(ISBLANK($A28),,ROUNDDOWN(L28*AS6*1.024,))</f>
        <v>0</v>
      </c>
      <c r="AS28" s="35">
        <f>IF(ISBLANK($A28),,ROUNDDOWN(N28*AS6*1.024,))</f>
        <v>0</v>
      </c>
      <c r="AT28" s="35">
        <f>IF(ISBLANK($A28),,ROUNDDOWN(P28*AS6*1.024,))</f>
        <v>0</v>
      </c>
      <c r="AU28" s="35">
        <f>IF(ISBLANK($A28),,ROUNDDOWN(R28*AS6*1.024,))</f>
        <v>0</v>
      </c>
      <c r="AV28" s="35">
        <f t="shared" si="2"/>
        <v>0</v>
      </c>
      <c r="AW28" s="35">
        <f>IF(ISBLANK($A28),,ROUNDDOWN(V28*AS6*1.024,))</f>
        <v>0</v>
      </c>
      <c r="AX28" s="35">
        <f>IF(ISBLANK($A28),,ROUNDDOWN(X28*AS6*1.024,))</f>
        <v>0</v>
      </c>
    </row>
    <row r="29" spans="1:50">
      <c r="A29" s="35" t="s">
        <v>486</v>
      </c>
      <c r="C29" s="35" t="s">
        <v>333</v>
      </c>
      <c r="D29" s="35" t="s">
        <v>453</v>
      </c>
      <c r="E29" s="35" t="s">
        <v>73</v>
      </c>
      <c r="F29" s="154">
        <v>8</v>
      </c>
      <c r="G29" s="154">
        <v>34</v>
      </c>
      <c r="H29" s="154">
        <v>34</v>
      </c>
      <c r="I29" s="176">
        <v>136</v>
      </c>
      <c r="J29" s="154">
        <f t="shared" si="3"/>
        <v>0</v>
      </c>
      <c r="K29" s="154" t="s">
        <v>337</v>
      </c>
      <c r="L29" s="154"/>
      <c r="M29" s="154"/>
      <c r="N29" s="154"/>
      <c r="O29" s="154"/>
      <c r="P29" s="154"/>
      <c r="Q29" s="154"/>
      <c r="R29" s="154"/>
      <c r="S29" s="154"/>
      <c r="T29" s="154"/>
      <c r="U29" s="154"/>
      <c r="V29" s="154"/>
      <c r="W29" s="154"/>
      <c r="X29" s="154"/>
      <c r="Y29" s="154"/>
      <c r="Z29" s="154"/>
      <c r="AA29" s="154"/>
      <c r="AB29" s="154"/>
      <c r="AC29" s="154"/>
      <c r="AD29" s="154"/>
      <c r="AE29" s="154"/>
      <c r="AF29" s="180"/>
      <c r="AG29" s="180"/>
      <c r="AH29" s="154"/>
      <c r="AI29" s="154"/>
      <c r="AJ29" s="154" t="s">
        <v>346</v>
      </c>
      <c r="AK29" s="152" t="s">
        <v>347</v>
      </c>
      <c r="AL29" s="154"/>
      <c r="AO29" s="35">
        <f t="shared" si="0"/>
        <v>34.816000000000003</v>
      </c>
      <c r="AP29" s="35">
        <f t="shared" si="1"/>
        <v>34.816000000000003</v>
      </c>
      <c r="AQ29" s="35">
        <f>IF(ISBLANK($A29),,ROUNDDOWN(I29*AS6*1.024,))</f>
        <v>125</v>
      </c>
      <c r="AR29" s="35">
        <f>IF(ISBLANK($A29),,ROUNDDOWN(L29*AS6*1.024,))</f>
        <v>0</v>
      </c>
      <c r="AS29" s="35">
        <f>IF(ISBLANK($A29),,ROUNDDOWN(N29*AS6*1.024,))</f>
        <v>0</v>
      </c>
      <c r="AT29" s="35">
        <f>IF(ISBLANK($A29),,ROUNDDOWN(P29*AS6*1.024,))</f>
        <v>0</v>
      </c>
      <c r="AU29" s="35">
        <f>IF(ISBLANK($A29),,ROUNDDOWN(R29*AS6*1.024,))</f>
        <v>0</v>
      </c>
      <c r="AV29" s="35">
        <f t="shared" si="2"/>
        <v>0</v>
      </c>
      <c r="AW29" s="35">
        <f>IF(ISBLANK($A29),,ROUNDDOWN(V29*AS6*1.024,))</f>
        <v>0</v>
      </c>
      <c r="AX29" s="35">
        <f>IF(ISBLANK($A29),,ROUNDDOWN(X29*AS6*1.024,))</f>
        <v>0</v>
      </c>
    </row>
    <row r="30" spans="1:50">
      <c r="A30" s="35" t="s">
        <v>487</v>
      </c>
      <c r="C30" s="35" t="s">
        <v>333</v>
      </c>
      <c r="D30" s="35" t="s">
        <v>453</v>
      </c>
      <c r="E30" s="35" t="s">
        <v>73</v>
      </c>
      <c r="F30" s="154">
        <v>8</v>
      </c>
      <c r="G30" s="154">
        <v>34</v>
      </c>
      <c r="H30" s="154">
        <v>34</v>
      </c>
      <c r="I30" s="176">
        <v>136</v>
      </c>
      <c r="J30" s="154">
        <f t="shared" si="3"/>
        <v>0</v>
      </c>
      <c r="K30" s="154" t="s">
        <v>343</v>
      </c>
      <c r="L30" s="154"/>
      <c r="M30" s="154"/>
      <c r="N30" s="154"/>
      <c r="O30" s="154"/>
      <c r="P30" s="154"/>
      <c r="Q30" s="154"/>
      <c r="R30" s="154"/>
      <c r="S30" s="154"/>
      <c r="T30" s="154"/>
      <c r="U30" s="154"/>
      <c r="V30" s="154"/>
      <c r="W30" s="154"/>
      <c r="X30" s="154"/>
      <c r="Y30" s="154"/>
      <c r="Z30" s="154"/>
      <c r="AA30" s="154"/>
      <c r="AB30" s="154"/>
      <c r="AC30" s="154"/>
      <c r="AD30" s="154"/>
      <c r="AE30" s="154"/>
      <c r="AF30" s="180"/>
      <c r="AG30" s="180"/>
      <c r="AH30" s="154"/>
      <c r="AI30" s="154"/>
      <c r="AJ30" s="154" t="s">
        <v>346</v>
      </c>
      <c r="AK30" s="152" t="s">
        <v>347</v>
      </c>
      <c r="AL30" s="154"/>
      <c r="AO30" s="35">
        <f t="shared" si="0"/>
        <v>34.816000000000003</v>
      </c>
      <c r="AP30" s="35">
        <f t="shared" si="1"/>
        <v>34.816000000000003</v>
      </c>
      <c r="AQ30" s="35">
        <f>IF(ISBLANK($A30),,ROUNDDOWN(I30*AS6*1.024,))</f>
        <v>125</v>
      </c>
      <c r="AR30" s="35">
        <f>IF(ISBLANK($A30),,ROUNDDOWN(L30*AS6*1.024,))</f>
        <v>0</v>
      </c>
      <c r="AS30" s="35">
        <f>IF(ISBLANK($A30),,ROUNDDOWN(N30*AS6*1.024,))</f>
        <v>0</v>
      </c>
      <c r="AT30" s="35">
        <f>IF(ISBLANK($A30),,ROUNDDOWN(P30*AS6*1.024,))</f>
        <v>0</v>
      </c>
      <c r="AU30" s="35">
        <f>IF(ISBLANK($A30),,ROUNDDOWN(R30*AS6*1.024,))</f>
        <v>0</v>
      </c>
      <c r="AV30" s="35">
        <f t="shared" si="2"/>
        <v>0</v>
      </c>
      <c r="AW30" s="35">
        <f>IF(ISBLANK($A30),,ROUNDDOWN(V30*AS6*1.024,))</f>
        <v>0</v>
      </c>
      <c r="AX30" s="35">
        <f>IF(ISBLANK($A30),,ROUNDDOWN(X30*AS6*1.024,))</f>
        <v>0</v>
      </c>
    </row>
    <row r="31" spans="1:50">
      <c r="A31" s="35" t="s">
        <v>488</v>
      </c>
      <c r="C31" s="35" t="s">
        <v>333</v>
      </c>
      <c r="D31" s="35" t="s">
        <v>453</v>
      </c>
      <c r="E31" s="35" t="s">
        <v>73</v>
      </c>
      <c r="F31" s="154">
        <v>8</v>
      </c>
      <c r="G31" s="154">
        <v>34</v>
      </c>
      <c r="H31" s="154">
        <v>34</v>
      </c>
      <c r="I31" s="176">
        <v>136</v>
      </c>
      <c r="J31" s="154">
        <f t="shared" si="3"/>
        <v>0</v>
      </c>
      <c r="K31" s="154" t="s">
        <v>335</v>
      </c>
      <c r="L31" s="154"/>
      <c r="M31" s="154"/>
      <c r="N31" s="154"/>
      <c r="O31" s="154"/>
      <c r="P31" s="154"/>
      <c r="Q31" s="154"/>
      <c r="R31" s="154"/>
      <c r="S31" s="154"/>
      <c r="T31" s="154"/>
      <c r="U31" s="154"/>
      <c r="V31" s="154"/>
      <c r="W31" s="154"/>
      <c r="X31" s="154"/>
      <c r="Y31" s="154"/>
      <c r="Z31" s="154"/>
      <c r="AA31" s="154"/>
      <c r="AB31" s="154"/>
      <c r="AC31" s="154"/>
      <c r="AD31" s="154"/>
      <c r="AE31" s="154"/>
      <c r="AF31" s="180"/>
      <c r="AG31" s="180"/>
      <c r="AH31" s="154"/>
      <c r="AI31" s="154"/>
      <c r="AJ31" s="154" t="s">
        <v>346</v>
      </c>
      <c r="AK31" s="152" t="s">
        <v>347</v>
      </c>
      <c r="AL31" s="154"/>
      <c r="AO31" s="35">
        <f t="shared" si="0"/>
        <v>34.816000000000003</v>
      </c>
      <c r="AP31" s="35">
        <f t="shared" si="1"/>
        <v>34.816000000000003</v>
      </c>
      <c r="AQ31" s="35">
        <f>IF(ISBLANK($A31),,ROUNDDOWN(I31*AS6*1.024,))</f>
        <v>125</v>
      </c>
      <c r="AR31" s="35">
        <f>IF(ISBLANK($A31),,ROUNDDOWN(L31*AS6*1.024,))</f>
        <v>0</v>
      </c>
      <c r="AS31" s="35">
        <f>IF(ISBLANK($A31),,ROUNDDOWN(N31*AS6*1.024,))</f>
        <v>0</v>
      </c>
      <c r="AT31" s="35">
        <f>IF(ISBLANK($A31),,ROUNDDOWN(P31*AS6*1.024,))</f>
        <v>0</v>
      </c>
      <c r="AU31" s="35">
        <f>IF(ISBLANK($A31),,ROUNDDOWN(R31*AS6*1.024,))</f>
        <v>0</v>
      </c>
      <c r="AV31" s="35">
        <f t="shared" si="2"/>
        <v>0</v>
      </c>
      <c r="AW31" s="35">
        <f>IF(ISBLANK($A31),,ROUNDDOWN(V31*AS6*1.024,))</f>
        <v>0</v>
      </c>
      <c r="AX31" s="35">
        <f>IF(ISBLANK($A31),,ROUNDDOWN(X31*AS6*1.024,))</f>
        <v>0</v>
      </c>
    </row>
    <row r="32" spans="1:50">
      <c r="A32" s="35" t="s">
        <v>489</v>
      </c>
      <c r="C32" s="35" t="s">
        <v>333</v>
      </c>
      <c r="D32" s="35" t="s">
        <v>453</v>
      </c>
      <c r="E32" s="35" t="s">
        <v>73</v>
      </c>
      <c r="F32" s="154">
        <v>8</v>
      </c>
      <c r="G32" s="154">
        <v>34</v>
      </c>
      <c r="H32" s="154">
        <v>34</v>
      </c>
      <c r="I32" s="176">
        <v>136</v>
      </c>
      <c r="J32" s="154">
        <f t="shared" si="3"/>
        <v>0</v>
      </c>
      <c r="K32" s="154" t="s">
        <v>337</v>
      </c>
      <c r="L32" s="154"/>
      <c r="M32" s="154"/>
      <c r="N32" s="154"/>
      <c r="O32" s="154"/>
      <c r="P32" s="154"/>
      <c r="Q32" s="154"/>
      <c r="R32" s="154"/>
      <c r="S32" s="154"/>
      <c r="T32" s="154"/>
      <c r="U32" s="154"/>
      <c r="V32" s="154"/>
      <c r="W32" s="154"/>
      <c r="X32" s="154"/>
      <c r="Y32" s="154"/>
      <c r="Z32" s="154"/>
      <c r="AA32" s="154"/>
      <c r="AB32" s="154"/>
      <c r="AC32" s="154"/>
      <c r="AD32" s="154"/>
      <c r="AE32" s="154"/>
      <c r="AF32" s="180"/>
      <c r="AG32" s="180"/>
      <c r="AH32" s="154"/>
      <c r="AI32" s="154"/>
      <c r="AJ32" s="154" t="s">
        <v>346</v>
      </c>
      <c r="AK32" s="152" t="s">
        <v>347</v>
      </c>
      <c r="AL32" s="154"/>
      <c r="AO32" s="35">
        <f t="shared" si="0"/>
        <v>34.816000000000003</v>
      </c>
      <c r="AP32" s="35">
        <f t="shared" si="1"/>
        <v>34.816000000000003</v>
      </c>
      <c r="AQ32" s="35">
        <f>IF(ISBLANK($A32),,ROUNDDOWN(I32*AS6*1.024,))</f>
        <v>125</v>
      </c>
      <c r="AR32" s="35">
        <f>IF(ISBLANK($A32),,ROUNDDOWN(L32*AS6*1.024,))</f>
        <v>0</v>
      </c>
      <c r="AS32" s="35">
        <f>IF(ISBLANK($A32),,ROUNDDOWN(N32*AS6*1.024,))</f>
        <v>0</v>
      </c>
      <c r="AT32" s="35">
        <f>IF(ISBLANK($A32),,ROUNDDOWN(P32*AS6*1.024,))</f>
        <v>0</v>
      </c>
      <c r="AU32" s="35">
        <f>IF(ISBLANK($A32),,ROUNDDOWN(R32*AS6*1.024,))</f>
        <v>0</v>
      </c>
      <c r="AV32" s="35">
        <f t="shared" si="2"/>
        <v>0</v>
      </c>
      <c r="AW32" s="35">
        <f>IF(ISBLANK($A32),,ROUNDDOWN(V32*AS6*1.024,))</f>
        <v>0</v>
      </c>
      <c r="AX32" s="35">
        <f>IF(ISBLANK($A32),,ROUNDDOWN(X32*AS6*1.024,))</f>
        <v>0</v>
      </c>
    </row>
    <row r="33" spans="1:50">
      <c r="A33" s="35" t="s">
        <v>502</v>
      </c>
      <c r="C33" s="35" t="s">
        <v>333</v>
      </c>
      <c r="D33" s="35" t="s">
        <v>453</v>
      </c>
      <c r="E33" s="35" t="s">
        <v>73</v>
      </c>
      <c r="F33" s="154">
        <v>8</v>
      </c>
      <c r="G33" s="154">
        <v>34</v>
      </c>
      <c r="H33" s="154">
        <v>34</v>
      </c>
      <c r="I33" s="176">
        <v>136</v>
      </c>
      <c r="J33" s="154">
        <f t="shared" si="3"/>
        <v>0</v>
      </c>
      <c r="K33" s="154" t="s">
        <v>343</v>
      </c>
      <c r="L33" s="154"/>
      <c r="M33" s="154"/>
      <c r="N33" s="154"/>
      <c r="O33" s="154"/>
      <c r="P33" s="154"/>
      <c r="Q33" s="154"/>
      <c r="R33" s="154"/>
      <c r="S33" s="154"/>
      <c r="T33" s="154"/>
      <c r="U33" s="154"/>
      <c r="V33" s="154"/>
      <c r="W33" s="154"/>
      <c r="X33" s="154"/>
      <c r="Y33" s="154"/>
      <c r="Z33" s="154"/>
      <c r="AA33" s="154"/>
      <c r="AB33" s="154"/>
      <c r="AC33" s="154"/>
      <c r="AD33" s="154"/>
      <c r="AE33" s="154"/>
      <c r="AF33" s="180"/>
      <c r="AG33" s="180"/>
      <c r="AH33" s="154"/>
      <c r="AI33" s="154"/>
      <c r="AJ33" s="154" t="s">
        <v>346</v>
      </c>
      <c r="AK33" s="152" t="s">
        <v>347</v>
      </c>
      <c r="AL33" s="154"/>
      <c r="AO33" s="35">
        <f t="shared" si="0"/>
        <v>34.816000000000003</v>
      </c>
      <c r="AP33" s="35">
        <f t="shared" si="1"/>
        <v>34.816000000000003</v>
      </c>
      <c r="AQ33" s="35">
        <f>IF(ISBLANK($A33),,ROUNDDOWN(I33*AS6*1.024,))</f>
        <v>125</v>
      </c>
      <c r="AR33" s="35">
        <f>IF(ISBLANK($A33),,ROUNDDOWN(L33*AS6*1.024,))</f>
        <v>0</v>
      </c>
      <c r="AS33" s="35">
        <f>IF(ISBLANK($A33),,ROUNDDOWN(N33*AS6*1.024,))</f>
        <v>0</v>
      </c>
      <c r="AT33" s="35">
        <f>IF(ISBLANK($A33),,ROUNDDOWN(P33*AS6*1.024,))</f>
        <v>0</v>
      </c>
      <c r="AU33" s="35">
        <f>IF(ISBLANK($A33),,ROUNDDOWN(R33*AS6*1.024,))</f>
        <v>0</v>
      </c>
      <c r="AV33" s="35">
        <f t="shared" si="2"/>
        <v>0</v>
      </c>
      <c r="AW33" s="35">
        <f>IF(ISBLANK($A33),,ROUNDDOWN(V33*AS6*1.024,))</f>
        <v>0</v>
      </c>
      <c r="AX33" s="35">
        <f>IF(ISBLANK($A33),,ROUNDDOWN(X33*AS6*1.024,))</f>
        <v>0</v>
      </c>
    </row>
    <row r="34" spans="1:50">
      <c r="A34" s="35" t="s">
        <v>503</v>
      </c>
      <c r="C34" s="35" t="s">
        <v>333</v>
      </c>
      <c r="D34" s="35" t="s">
        <v>453</v>
      </c>
      <c r="E34" s="35" t="s">
        <v>73</v>
      </c>
      <c r="F34" s="154">
        <v>8</v>
      </c>
      <c r="G34" s="154">
        <v>34</v>
      </c>
      <c r="H34" s="154">
        <v>34</v>
      </c>
      <c r="I34" s="176">
        <v>136</v>
      </c>
      <c r="J34" s="154">
        <f t="shared" si="3"/>
        <v>0</v>
      </c>
      <c r="K34" s="154" t="s">
        <v>335</v>
      </c>
      <c r="L34" s="154"/>
      <c r="M34" s="154"/>
      <c r="N34" s="154"/>
      <c r="O34" s="154"/>
      <c r="P34" s="154"/>
      <c r="Q34" s="154"/>
      <c r="R34" s="154"/>
      <c r="S34" s="154"/>
      <c r="T34" s="154"/>
      <c r="U34" s="154"/>
      <c r="V34" s="154"/>
      <c r="W34" s="154"/>
      <c r="X34" s="154"/>
      <c r="Y34" s="154"/>
      <c r="Z34" s="154"/>
      <c r="AA34" s="154"/>
      <c r="AB34" s="154"/>
      <c r="AC34" s="154"/>
      <c r="AD34" s="154"/>
      <c r="AE34" s="154"/>
      <c r="AF34" s="180"/>
      <c r="AG34" s="180"/>
      <c r="AH34" s="154"/>
      <c r="AI34" s="154"/>
      <c r="AJ34" s="154" t="s">
        <v>346</v>
      </c>
      <c r="AK34" s="152" t="s">
        <v>347</v>
      </c>
      <c r="AL34" s="154"/>
      <c r="AO34" s="35">
        <f t="shared" si="0"/>
        <v>34.816000000000003</v>
      </c>
      <c r="AP34" s="35">
        <f t="shared" si="1"/>
        <v>34.816000000000003</v>
      </c>
      <c r="AQ34" s="35">
        <f>IF(ISBLANK($A34),,ROUNDDOWN(I34*AS6*1.024,))</f>
        <v>125</v>
      </c>
      <c r="AR34" s="35">
        <f>IF(ISBLANK($A34),,ROUNDDOWN(L34*AS6*1.024,))</f>
        <v>0</v>
      </c>
      <c r="AS34" s="35">
        <f>IF(ISBLANK($A34),,ROUNDDOWN(N34*AS6*1.024,))</f>
        <v>0</v>
      </c>
      <c r="AT34" s="35">
        <f>IF(ISBLANK($A34),,ROUNDDOWN(P34*AS6*1.024,))</f>
        <v>0</v>
      </c>
      <c r="AU34" s="35">
        <f>IF(ISBLANK($A34),,ROUNDDOWN(R34*AS6*1.024,))</f>
        <v>0</v>
      </c>
      <c r="AV34" s="35">
        <f t="shared" si="2"/>
        <v>0</v>
      </c>
      <c r="AW34" s="35">
        <f>IF(ISBLANK($A34),,ROUNDDOWN(V34*AS6*1.024,))</f>
        <v>0</v>
      </c>
      <c r="AX34" s="35">
        <f>IF(ISBLANK($A34),,ROUNDDOWN(X34*AS6*1.024,))</f>
        <v>0</v>
      </c>
    </row>
    <row r="35" spans="1:50">
      <c r="A35" s="35" t="s">
        <v>504</v>
      </c>
      <c r="C35" s="35" t="s">
        <v>333</v>
      </c>
      <c r="D35" s="39" t="s">
        <v>362</v>
      </c>
      <c r="E35" s="156" t="s">
        <v>75</v>
      </c>
      <c r="F35" s="154">
        <v>4</v>
      </c>
      <c r="G35" s="154">
        <v>4</v>
      </c>
      <c r="H35" s="154">
        <v>0</v>
      </c>
      <c r="I35" s="154">
        <v>100</v>
      </c>
      <c r="J35" s="154">
        <f t="shared" si="3"/>
        <v>4</v>
      </c>
      <c r="K35" s="154" t="s">
        <v>337</v>
      </c>
      <c r="L35" s="154"/>
      <c r="M35" s="154"/>
      <c r="N35" s="154"/>
      <c r="O35" s="154"/>
      <c r="P35" s="154"/>
      <c r="Q35" s="154"/>
      <c r="R35" s="154"/>
      <c r="S35" s="154"/>
      <c r="T35" s="154"/>
      <c r="U35" s="154"/>
      <c r="V35" s="154"/>
      <c r="W35" s="154"/>
      <c r="X35" s="154"/>
      <c r="Y35" s="154"/>
      <c r="Z35" s="154"/>
      <c r="AA35" s="154"/>
      <c r="AB35" s="154"/>
      <c r="AC35" s="154"/>
      <c r="AD35" s="154"/>
      <c r="AE35" s="154"/>
      <c r="AF35" s="180"/>
      <c r="AG35" s="180"/>
      <c r="AH35" s="154"/>
      <c r="AI35" s="154"/>
      <c r="AJ35" s="154" t="s">
        <v>328</v>
      </c>
      <c r="AK35" s="154" t="s">
        <v>329</v>
      </c>
      <c r="AL35" s="154"/>
      <c r="AO35" s="35">
        <f t="shared" si="0"/>
        <v>4.0960000000000001</v>
      </c>
      <c r="AP35" s="35">
        <f t="shared" si="1"/>
        <v>0</v>
      </c>
      <c r="AQ35" s="35">
        <f>IF(ISBLANK($A35),,ROUNDDOWN(I35*AS6*1.024,))</f>
        <v>92</v>
      </c>
      <c r="AR35" s="35">
        <f>IF(ISBLANK($A35),,ROUNDDOWN(L35*AS6*1.024,))</f>
        <v>0</v>
      </c>
      <c r="AS35" s="35">
        <f>IF(ISBLANK($A35),,ROUNDDOWN(N35*AS6*1.024,))</f>
        <v>0</v>
      </c>
      <c r="AT35" s="35">
        <f>IF(ISBLANK($A35),,ROUNDDOWN(P35*AS6*1.024,))</f>
        <v>0</v>
      </c>
      <c r="AU35" s="35">
        <f>IF(ISBLANK($A35),,ROUNDDOWN(R35*AS6*1.024,))</f>
        <v>0</v>
      </c>
      <c r="AV35" s="35">
        <f t="shared" si="2"/>
        <v>0</v>
      </c>
      <c r="AW35" s="35">
        <f>IF(ISBLANK($A35),,ROUNDDOWN(V35*AS6*1.024,))</f>
        <v>0</v>
      </c>
      <c r="AX35" s="35">
        <f>IF(ISBLANK($A35),,ROUNDDOWN(X35*AS6*1.024,))</f>
        <v>0</v>
      </c>
    </row>
    <row r="36" spans="1:50">
      <c r="A36" s="35" t="s">
        <v>505</v>
      </c>
      <c r="C36" s="35" t="s">
        <v>333</v>
      </c>
      <c r="D36" s="39" t="s">
        <v>362</v>
      </c>
      <c r="E36" s="156" t="s">
        <v>79</v>
      </c>
      <c r="F36" s="154">
        <v>4</v>
      </c>
      <c r="G36" s="154">
        <v>16</v>
      </c>
      <c r="H36" s="154">
        <v>0</v>
      </c>
      <c r="I36" s="152">
        <v>110</v>
      </c>
      <c r="J36" s="154">
        <f t="shared" si="3"/>
        <v>16</v>
      </c>
      <c r="K36" s="154" t="s">
        <v>343</v>
      </c>
      <c r="L36" s="154"/>
      <c r="M36" s="154"/>
      <c r="N36" s="154"/>
      <c r="O36" s="154"/>
      <c r="P36" s="154"/>
      <c r="Q36" s="154"/>
      <c r="R36" s="154"/>
      <c r="S36" s="154"/>
      <c r="T36" s="154"/>
      <c r="U36" s="154"/>
      <c r="V36" s="154"/>
      <c r="W36" s="154"/>
      <c r="X36" s="154"/>
      <c r="Y36" s="154"/>
      <c r="Z36" s="154"/>
      <c r="AA36" s="154"/>
      <c r="AB36" s="154"/>
      <c r="AC36" s="154"/>
      <c r="AD36" s="154"/>
      <c r="AE36" s="154"/>
      <c r="AF36" s="180"/>
      <c r="AG36" s="180"/>
      <c r="AH36" s="154"/>
      <c r="AI36" s="154"/>
      <c r="AJ36" s="154" t="s">
        <v>328</v>
      </c>
      <c r="AK36" s="154" t="s">
        <v>329</v>
      </c>
      <c r="AL36" s="154"/>
      <c r="AO36" s="35">
        <f t="shared" si="0"/>
        <v>16.384</v>
      </c>
      <c r="AP36" s="35">
        <f t="shared" si="1"/>
        <v>0</v>
      </c>
      <c r="AQ36" s="35">
        <f>IF(ISBLANK($A36),,ROUNDDOWN(I36*AS6*1.024,))</f>
        <v>101</v>
      </c>
      <c r="AR36" s="35">
        <f>IF(ISBLANK($A36),,ROUNDDOWN(L36*AS6*1.024,))</f>
        <v>0</v>
      </c>
      <c r="AS36" s="35">
        <f>IF(ISBLANK($A36),,ROUNDDOWN(N36*AS6*1.024,))</f>
        <v>0</v>
      </c>
      <c r="AT36" s="35">
        <f>IF(ISBLANK($A36),,ROUNDDOWN(P36*AS6*1.024,))</f>
        <v>0</v>
      </c>
      <c r="AU36" s="35">
        <f>IF(ISBLANK($A36),,ROUNDDOWN(R36*AS6*1.024,))</f>
        <v>0</v>
      </c>
      <c r="AV36" s="35">
        <f t="shared" si="2"/>
        <v>0</v>
      </c>
      <c r="AW36" s="35">
        <f>IF(ISBLANK($A36),,ROUNDDOWN(V36*AS6*1.024,))</f>
        <v>0</v>
      </c>
      <c r="AX36" s="35">
        <f>IF(ISBLANK($A36),,ROUNDDOWN(X36*AS6*1.024,))</f>
        <v>0</v>
      </c>
    </row>
    <row r="37" spans="1:50">
      <c r="A37" s="35" t="s">
        <v>364</v>
      </c>
      <c r="C37" s="35" t="s">
        <v>333</v>
      </c>
      <c r="D37" s="39" t="s">
        <v>362</v>
      </c>
      <c r="E37" s="156" t="s">
        <v>77</v>
      </c>
      <c r="F37" s="154">
        <v>4</v>
      </c>
      <c r="G37" s="154">
        <v>14</v>
      </c>
      <c r="H37" s="154">
        <v>0</v>
      </c>
      <c r="I37" s="154">
        <v>100</v>
      </c>
      <c r="J37" s="154">
        <f t="shared" si="3"/>
        <v>14</v>
      </c>
      <c r="K37" s="152" t="s">
        <v>337</v>
      </c>
      <c r="L37" s="154"/>
      <c r="M37" s="154"/>
      <c r="N37" s="154"/>
      <c r="O37" s="154"/>
      <c r="P37" s="154"/>
      <c r="Q37" s="154"/>
      <c r="R37" s="154"/>
      <c r="S37" s="154"/>
      <c r="T37" s="154"/>
      <c r="U37" s="154"/>
      <c r="V37" s="154"/>
      <c r="W37" s="154"/>
      <c r="X37" s="154"/>
      <c r="Y37" s="154"/>
      <c r="Z37" s="154"/>
      <c r="AA37" s="154"/>
      <c r="AB37" s="154"/>
      <c r="AC37" s="154"/>
      <c r="AD37" s="154"/>
      <c r="AE37" s="154"/>
      <c r="AF37" s="180"/>
      <c r="AG37" s="180"/>
      <c r="AH37" s="154"/>
      <c r="AI37" s="154"/>
      <c r="AJ37" s="154" t="s">
        <v>328</v>
      </c>
      <c r="AK37" s="154" t="s">
        <v>329</v>
      </c>
      <c r="AL37" s="154"/>
      <c r="AO37" s="35">
        <f t="shared" si="0"/>
        <v>14.336</v>
      </c>
      <c r="AP37" s="35">
        <f t="shared" si="1"/>
        <v>0</v>
      </c>
      <c r="AQ37" s="35">
        <f>IF(ISBLANK($A37),,ROUNDDOWN(I37*AS6*1.024,))</f>
        <v>92</v>
      </c>
      <c r="AR37" s="35">
        <f>IF(ISBLANK($A37),,ROUNDDOWN(L37*AS6*1.024,))</f>
        <v>0</v>
      </c>
      <c r="AS37" s="35">
        <f>IF(ISBLANK($A37),,ROUNDDOWN(N37*AS6*1.024,))</f>
        <v>0</v>
      </c>
      <c r="AT37" s="35">
        <f>IF(ISBLANK($A37),,ROUNDDOWN(P37*AS6*1.024,))</f>
        <v>0</v>
      </c>
      <c r="AU37" s="35">
        <f>IF(ISBLANK($A37),,ROUNDDOWN(R37*AS6*1.024,))</f>
        <v>0</v>
      </c>
      <c r="AV37" s="35">
        <f t="shared" si="2"/>
        <v>0</v>
      </c>
      <c r="AW37" s="35">
        <f>IF(ISBLANK($A37),,ROUNDDOWN(V37*AS6*1.024,))</f>
        <v>0</v>
      </c>
      <c r="AX37" s="35">
        <f>IF(ISBLANK($A37),,ROUNDDOWN(X37*AS6*1.024,))</f>
        <v>0</v>
      </c>
    </row>
    <row r="38" spans="1:50">
      <c r="A38" s="35" t="s">
        <v>365</v>
      </c>
      <c r="B38" s="154"/>
      <c r="C38" s="35" t="s">
        <v>333</v>
      </c>
      <c r="D38" s="35" t="s">
        <v>453</v>
      </c>
      <c r="E38" s="35" t="s">
        <v>81</v>
      </c>
      <c r="F38" s="154">
        <v>9</v>
      </c>
      <c r="G38" s="154">
        <v>12</v>
      </c>
      <c r="H38" s="154">
        <v>0</v>
      </c>
      <c r="I38" s="154">
        <v>56</v>
      </c>
      <c r="J38" s="154">
        <f t="shared" si="3"/>
        <v>12</v>
      </c>
      <c r="K38" s="154" t="s">
        <v>335</v>
      </c>
      <c r="L38" s="154"/>
      <c r="M38" s="154"/>
      <c r="N38" s="154"/>
      <c r="O38" s="154"/>
      <c r="P38" s="154"/>
      <c r="Q38" s="154"/>
      <c r="R38" s="154"/>
      <c r="S38" s="154"/>
      <c r="T38" s="154"/>
      <c r="U38" s="154"/>
      <c r="V38" s="154"/>
      <c r="W38" s="154"/>
      <c r="X38" s="154"/>
      <c r="Y38" s="154"/>
      <c r="Z38" s="154">
        <v>50</v>
      </c>
      <c r="AA38" s="154" t="s">
        <v>366</v>
      </c>
      <c r="AB38" s="154"/>
      <c r="AC38" s="154"/>
      <c r="AD38" s="154"/>
      <c r="AE38" s="154"/>
      <c r="AF38" s="180"/>
      <c r="AG38" s="180"/>
      <c r="AH38" s="154"/>
      <c r="AI38" s="154"/>
      <c r="AJ38" s="154" t="s">
        <v>328</v>
      </c>
      <c r="AK38" s="154" t="s">
        <v>329</v>
      </c>
      <c r="AL38" s="154"/>
      <c r="AO38" s="35">
        <f t="shared" si="0"/>
        <v>12.288</v>
      </c>
      <c r="AP38" s="35">
        <f t="shared" si="1"/>
        <v>0</v>
      </c>
      <c r="AQ38" s="35">
        <f>IF(ISBLANK($A38),,ROUNDDOWN(I38*AS6*1.024,))</f>
        <v>51</v>
      </c>
      <c r="AR38" s="35">
        <f>IF(ISBLANK($A38),,ROUNDDOWN(L38*AS6*1.024,))</f>
        <v>0</v>
      </c>
      <c r="AS38" s="35">
        <f>IF(ISBLANK($A38),,ROUNDDOWN(N38*AS6*1.024,))</f>
        <v>0</v>
      </c>
      <c r="AT38" s="35">
        <f>IF(ISBLANK($A38),,ROUNDDOWN(P38*AS6*1.024,))</f>
        <v>0</v>
      </c>
      <c r="AU38" s="35">
        <f>IF(ISBLANK($A38),,ROUNDDOWN(R38*AS6*1.024,))</f>
        <v>0</v>
      </c>
      <c r="AV38" s="35">
        <f t="shared" si="2"/>
        <v>0</v>
      </c>
      <c r="AW38" s="35">
        <f>IF(ISBLANK($A38),,ROUNDDOWN(V38*AS6*1.024,))</f>
        <v>0</v>
      </c>
      <c r="AX38" s="35">
        <f>IF(ISBLANK($A38),,ROUNDDOWN(X38*AS6*1.024,))</f>
        <v>0</v>
      </c>
    </row>
    <row r="39" spans="1:50">
      <c r="A39" s="35" t="s">
        <v>367</v>
      </c>
      <c r="C39" s="35" t="s">
        <v>333</v>
      </c>
      <c r="D39" s="35" t="s">
        <v>453</v>
      </c>
      <c r="E39" s="35" t="s">
        <v>81</v>
      </c>
      <c r="F39" s="154">
        <v>9</v>
      </c>
      <c r="G39" s="154">
        <v>12</v>
      </c>
      <c r="H39" s="154">
        <v>0</v>
      </c>
      <c r="I39" s="177">
        <v>56</v>
      </c>
      <c r="J39" s="154">
        <f t="shared" si="3"/>
        <v>12</v>
      </c>
      <c r="K39" s="154" t="s">
        <v>337</v>
      </c>
      <c r="L39" s="154"/>
      <c r="M39" s="154"/>
      <c r="N39" s="154"/>
      <c r="O39" s="154"/>
      <c r="P39" s="154"/>
      <c r="Q39" s="154"/>
      <c r="R39" s="154"/>
      <c r="S39" s="154"/>
      <c r="T39" s="154"/>
      <c r="U39" s="154"/>
      <c r="V39" s="154"/>
      <c r="W39" s="154"/>
      <c r="X39" s="154"/>
      <c r="Y39" s="154"/>
      <c r="Z39" s="154">
        <v>50</v>
      </c>
      <c r="AA39" s="154" t="s">
        <v>366</v>
      </c>
      <c r="AB39" s="154"/>
      <c r="AC39" s="154"/>
      <c r="AD39" s="154"/>
      <c r="AE39" s="154"/>
      <c r="AF39" s="180"/>
      <c r="AG39" s="180"/>
      <c r="AH39" s="154"/>
      <c r="AI39" s="154"/>
      <c r="AJ39" s="154" t="s">
        <v>328</v>
      </c>
      <c r="AK39" s="154" t="s">
        <v>329</v>
      </c>
      <c r="AL39" s="154"/>
      <c r="AO39" s="35">
        <f t="shared" si="0"/>
        <v>12.288</v>
      </c>
      <c r="AP39" s="35">
        <f t="shared" si="1"/>
        <v>0</v>
      </c>
      <c r="AQ39" s="35">
        <f>IF(ISBLANK($A39),,ROUNDDOWN(I39*AS6*1.024,))</f>
        <v>51</v>
      </c>
      <c r="AR39" s="35">
        <f>IF(ISBLANK($A39),,ROUNDDOWN(L39*AS6*1.024,))</f>
        <v>0</v>
      </c>
      <c r="AS39" s="35">
        <f>IF(ISBLANK($A39),,ROUNDDOWN(N39*AS6*1.024,))</f>
        <v>0</v>
      </c>
      <c r="AT39" s="35">
        <f>IF(ISBLANK($A39),,ROUNDDOWN(P39*AS6*1.024,))</f>
        <v>0</v>
      </c>
      <c r="AU39" s="35">
        <f>IF(ISBLANK($A39),,ROUNDDOWN(R39*AS6*1.024,))</f>
        <v>0</v>
      </c>
      <c r="AV39" s="35">
        <f t="shared" si="2"/>
        <v>0</v>
      </c>
      <c r="AW39" s="35">
        <f>IF(ISBLANK($A39),,ROUNDDOWN(V39*AS6*1.024,))</f>
        <v>0</v>
      </c>
      <c r="AX39" s="35">
        <f>IF(ISBLANK($A39),,ROUNDDOWN(X39*AS6*1.024,))</f>
        <v>0</v>
      </c>
    </row>
    <row r="40" spans="1:50">
      <c r="A40" s="35" t="s">
        <v>506</v>
      </c>
      <c r="C40" s="35" t="s">
        <v>333</v>
      </c>
      <c r="D40" s="35" t="s">
        <v>453</v>
      </c>
      <c r="E40" s="35" t="s">
        <v>81</v>
      </c>
      <c r="F40" s="154">
        <v>9</v>
      </c>
      <c r="G40" s="154">
        <v>12</v>
      </c>
      <c r="H40" s="154">
        <v>0</v>
      </c>
      <c r="I40" s="177">
        <v>56</v>
      </c>
      <c r="J40" s="154">
        <f t="shared" si="3"/>
        <v>12</v>
      </c>
      <c r="K40" s="154" t="s">
        <v>343</v>
      </c>
      <c r="L40" s="154"/>
      <c r="M40" s="154"/>
      <c r="N40" s="154"/>
      <c r="O40" s="154"/>
      <c r="P40" s="154"/>
      <c r="Q40" s="154"/>
      <c r="R40" s="154"/>
      <c r="S40" s="154"/>
      <c r="T40" s="154"/>
      <c r="U40" s="154"/>
      <c r="V40" s="154"/>
      <c r="W40" s="154"/>
      <c r="X40" s="154"/>
      <c r="Y40" s="154"/>
      <c r="Z40" s="154">
        <v>50</v>
      </c>
      <c r="AA40" s="154" t="s">
        <v>366</v>
      </c>
      <c r="AB40" s="154"/>
      <c r="AC40" s="154"/>
      <c r="AD40" s="154"/>
      <c r="AE40" s="154"/>
      <c r="AF40" s="180"/>
      <c r="AG40" s="180"/>
      <c r="AH40" s="154"/>
      <c r="AI40" s="154"/>
      <c r="AJ40" s="154" t="s">
        <v>328</v>
      </c>
      <c r="AK40" s="154" t="s">
        <v>329</v>
      </c>
      <c r="AL40" s="154"/>
      <c r="AO40" s="35">
        <f t="shared" si="0"/>
        <v>12.288</v>
      </c>
      <c r="AP40" s="35">
        <f t="shared" si="1"/>
        <v>0</v>
      </c>
      <c r="AQ40" s="35">
        <f>IF(ISBLANK($A40),,ROUNDDOWN(I40*AS6*1.024,))</f>
        <v>51</v>
      </c>
      <c r="AR40" s="35">
        <f>IF(ISBLANK($A40),,ROUNDDOWN(L40*AS6*1.024,))</f>
        <v>0</v>
      </c>
      <c r="AS40" s="35">
        <f>IF(ISBLANK($A40),,ROUNDDOWN(N40*AS6*1.024,))</f>
        <v>0</v>
      </c>
      <c r="AT40" s="35">
        <f>IF(ISBLANK($A40),,ROUNDDOWN(P40*AS6*1.024,))</f>
        <v>0</v>
      </c>
      <c r="AU40" s="35">
        <f>IF(ISBLANK($A40),,ROUNDDOWN(R40*AS6*1.024,))</f>
        <v>0</v>
      </c>
      <c r="AV40" s="35">
        <f t="shared" si="2"/>
        <v>0</v>
      </c>
      <c r="AW40" s="35">
        <f>IF(ISBLANK($A40),,ROUNDDOWN(V40*AS6*1.024,))</f>
        <v>0</v>
      </c>
      <c r="AX40" s="35">
        <f>IF(ISBLANK($A40),,ROUNDDOWN(X40*AS6*1.024,))</f>
        <v>0</v>
      </c>
    </row>
    <row r="41" spans="1:50">
      <c r="A41" s="35" t="s">
        <v>507</v>
      </c>
      <c r="C41" s="35" t="s">
        <v>333</v>
      </c>
      <c r="D41" s="35" t="s">
        <v>453</v>
      </c>
      <c r="E41" s="35" t="s">
        <v>81</v>
      </c>
      <c r="F41" s="154">
        <v>9</v>
      </c>
      <c r="G41" s="154">
        <v>12</v>
      </c>
      <c r="H41" s="154">
        <v>0</v>
      </c>
      <c r="I41" s="177">
        <v>56</v>
      </c>
      <c r="J41" s="154">
        <f t="shared" si="3"/>
        <v>12</v>
      </c>
      <c r="K41" s="154" t="s">
        <v>335</v>
      </c>
      <c r="L41" s="154"/>
      <c r="M41" s="154"/>
      <c r="N41" s="154"/>
      <c r="O41" s="154"/>
      <c r="P41" s="154"/>
      <c r="Q41" s="154"/>
      <c r="R41" s="154"/>
      <c r="S41" s="154"/>
      <c r="T41" s="154"/>
      <c r="U41" s="154"/>
      <c r="V41" s="154"/>
      <c r="W41" s="154"/>
      <c r="X41" s="154"/>
      <c r="Y41" s="154"/>
      <c r="Z41" s="154">
        <v>50</v>
      </c>
      <c r="AA41" s="154" t="s">
        <v>366</v>
      </c>
      <c r="AB41" s="154"/>
      <c r="AC41" s="154"/>
      <c r="AD41" s="154"/>
      <c r="AE41" s="154"/>
      <c r="AF41" s="180"/>
      <c r="AG41" s="180"/>
      <c r="AH41" s="154"/>
      <c r="AI41" s="154"/>
      <c r="AJ41" s="154" t="s">
        <v>328</v>
      </c>
      <c r="AK41" s="154" t="s">
        <v>329</v>
      </c>
      <c r="AL41" s="154"/>
      <c r="AO41" s="35">
        <f t="shared" si="0"/>
        <v>12.288</v>
      </c>
      <c r="AP41" s="35">
        <f t="shared" si="1"/>
        <v>0</v>
      </c>
      <c r="AQ41" s="35">
        <f>IF(ISBLANK($A41),,ROUNDDOWN(I41*AS6*1.024,))</f>
        <v>51</v>
      </c>
      <c r="AR41" s="35">
        <f>IF(ISBLANK($A41),,ROUNDDOWN(L41*AS6*1.024,))</f>
        <v>0</v>
      </c>
      <c r="AS41" s="35">
        <f>IF(ISBLANK($A41),,ROUNDDOWN(N41*AS6*1.024,))</f>
        <v>0</v>
      </c>
      <c r="AT41" s="35">
        <f>IF(ISBLANK($A41),,ROUNDDOWN(P41*AS6*1.024,))</f>
        <v>0</v>
      </c>
      <c r="AU41" s="35">
        <f>IF(ISBLANK($A41),,ROUNDDOWN(R41*AS6*1.024,))</f>
        <v>0</v>
      </c>
      <c r="AV41" s="35">
        <f t="shared" si="2"/>
        <v>0</v>
      </c>
      <c r="AW41" s="35">
        <f>IF(ISBLANK($A41),,ROUNDDOWN(V41*AS6*1.024,))</f>
        <v>0</v>
      </c>
      <c r="AX41" s="35">
        <f>IF(ISBLANK($A41),,ROUNDDOWN(X41*AS6*1.024,))</f>
        <v>0</v>
      </c>
    </row>
    <row r="42" spans="1:50">
      <c r="A42" s="35" t="s">
        <v>368</v>
      </c>
      <c r="C42" s="35" t="s">
        <v>333</v>
      </c>
      <c r="D42" s="35" t="s">
        <v>453</v>
      </c>
      <c r="E42" s="35" t="s">
        <v>369</v>
      </c>
      <c r="F42" s="154">
        <v>4</v>
      </c>
      <c r="G42" s="154">
        <v>4</v>
      </c>
      <c r="H42" s="154">
        <v>0</v>
      </c>
      <c r="I42" s="154">
        <v>41</v>
      </c>
      <c r="J42" s="154">
        <f>G42-H42</f>
        <v>4</v>
      </c>
      <c r="K42" s="154" t="s">
        <v>343</v>
      </c>
      <c r="L42" s="154"/>
      <c r="M42" s="154"/>
      <c r="N42" s="154"/>
      <c r="O42" s="154"/>
      <c r="P42" s="154"/>
      <c r="Q42" s="154"/>
      <c r="R42" s="154"/>
      <c r="S42" s="154"/>
      <c r="T42" s="154"/>
      <c r="U42" s="154"/>
      <c r="V42" s="154"/>
      <c r="W42" s="154"/>
      <c r="X42" s="154"/>
      <c r="Y42" s="154"/>
      <c r="Z42" s="154"/>
      <c r="AA42" s="154"/>
      <c r="AB42" s="154"/>
      <c r="AC42" s="154"/>
      <c r="AD42" s="154"/>
      <c r="AE42" s="154"/>
      <c r="AF42" s="180"/>
      <c r="AG42" s="180"/>
      <c r="AH42" s="154"/>
      <c r="AI42" s="154"/>
      <c r="AJ42" s="154" t="s">
        <v>328</v>
      </c>
      <c r="AK42" s="154" t="s">
        <v>329</v>
      </c>
      <c r="AL42" s="154"/>
      <c r="AO42" s="35">
        <f t="shared" si="0"/>
        <v>4.0960000000000001</v>
      </c>
      <c r="AP42" s="35">
        <f t="shared" si="1"/>
        <v>0</v>
      </c>
      <c r="AQ42" s="35">
        <f>IF(ISBLANK($A42),,ROUNDDOWN(I42*AS6*1.024,))</f>
        <v>37</v>
      </c>
      <c r="AR42" s="35">
        <f>IF(ISBLANK($A42),,ROUNDDOWN(L42*AS6*1.024,))</f>
        <v>0</v>
      </c>
      <c r="AS42" s="35">
        <f>IF(ISBLANK($A42),,ROUNDDOWN(N42*AS6*1.024,))</f>
        <v>0</v>
      </c>
      <c r="AT42" s="35">
        <f>IF(ISBLANK($A42),,ROUNDDOWN(P42*AS6*1.024,))</f>
        <v>0</v>
      </c>
      <c r="AU42" s="35">
        <f>IF(ISBLANK($A42),,ROUNDDOWN(R42*AS6*1.024,))</f>
        <v>0</v>
      </c>
      <c r="AV42" s="35">
        <f t="shared" si="2"/>
        <v>0</v>
      </c>
      <c r="AW42" s="35">
        <f>IF(ISBLANK($A42),,ROUNDDOWN(V42*AS6*1.024,))</f>
        <v>0</v>
      </c>
      <c r="AX42" s="35">
        <f>IF(ISBLANK($A42),,ROUNDDOWN(X42*AS6*1.024,))</f>
        <v>0</v>
      </c>
    </row>
    <row r="43" spans="1:50">
      <c r="A43" s="35" t="s">
        <v>370</v>
      </c>
      <c r="C43" s="35" t="s">
        <v>333</v>
      </c>
      <c r="D43" s="35" t="s">
        <v>453</v>
      </c>
      <c r="E43" s="35" t="s">
        <v>371</v>
      </c>
      <c r="F43" s="154">
        <v>4</v>
      </c>
      <c r="G43" s="154">
        <v>4</v>
      </c>
      <c r="H43" s="154">
        <v>0</v>
      </c>
      <c r="I43" s="154">
        <v>41</v>
      </c>
      <c r="J43" s="154">
        <f>G43-H43</f>
        <v>4</v>
      </c>
      <c r="K43" s="154" t="s">
        <v>343</v>
      </c>
      <c r="L43" s="154"/>
      <c r="M43" s="154"/>
      <c r="N43" s="154"/>
      <c r="O43" s="154"/>
      <c r="P43" s="154"/>
      <c r="Q43" s="154"/>
      <c r="R43" s="154"/>
      <c r="S43" s="154"/>
      <c r="T43" s="154"/>
      <c r="U43" s="154"/>
      <c r="V43" s="154"/>
      <c r="W43" s="154"/>
      <c r="X43" s="154"/>
      <c r="Y43" s="36"/>
      <c r="Z43" s="36"/>
      <c r="AA43" s="36"/>
      <c r="AB43" s="36"/>
      <c r="AC43" s="36"/>
      <c r="AD43" s="36"/>
      <c r="AE43" s="36"/>
      <c r="AF43" s="36"/>
      <c r="AG43" s="36"/>
      <c r="AH43" s="36"/>
      <c r="AI43" s="36"/>
      <c r="AJ43" s="36" t="s">
        <v>328</v>
      </c>
      <c r="AK43" s="36" t="s">
        <v>329</v>
      </c>
      <c r="AL43" s="36"/>
      <c r="AM43" s="42"/>
      <c r="AN43" s="42"/>
      <c r="AO43" s="42">
        <f t="shared" si="0"/>
        <v>4.0960000000000001</v>
      </c>
      <c r="AP43" s="42">
        <f t="shared" si="1"/>
        <v>0</v>
      </c>
      <c r="AQ43" s="42">
        <f>IF(ISBLANK($A43),,ROUNDDOWN(I43*AS6*1.024,))</f>
        <v>37</v>
      </c>
      <c r="AR43" s="42">
        <f>IF(ISBLANK($A43),,ROUNDDOWN(L43*AS6*1.024,))</f>
        <v>0</v>
      </c>
      <c r="AS43" s="42">
        <f>IF(ISBLANK($A43),,ROUNDDOWN(N43*AS6*1.024,))</f>
        <v>0</v>
      </c>
      <c r="AT43" s="42">
        <f>IF(ISBLANK($A43),,ROUNDDOWN(P43*AS6*1.024,))</f>
        <v>0</v>
      </c>
      <c r="AU43" s="42">
        <f>IF(ISBLANK($A43),,ROUNDDOWN(R43*AS6*1.024,))</f>
        <v>0</v>
      </c>
      <c r="AV43" s="42">
        <f t="shared" si="2"/>
        <v>0</v>
      </c>
      <c r="AW43" s="42">
        <f>IF(ISBLANK($A43),,ROUNDDOWN(V43*AS6*1.024,))</f>
        <v>0</v>
      </c>
      <c r="AX43" s="42">
        <f>IF(ISBLANK($A43),,ROUNDDOWN(X43*AS6*1.024,))</f>
        <v>0</v>
      </c>
    </row>
    <row r="44" spans="1:50">
      <c r="A44" s="43"/>
      <c r="B44" s="43"/>
      <c r="C44" s="43"/>
      <c r="D44" s="43"/>
      <c r="E44" s="43"/>
      <c r="F44" s="44">
        <f>SUM(F8:F43)</f>
        <v>226</v>
      </c>
      <c r="G44" s="44">
        <f>SUM(G8:G43)</f>
        <v>588</v>
      </c>
      <c r="H44" s="44">
        <f>SUM(H8:H43)</f>
        <v>359.25</v>
      </c>
      <c r="I44" s="44">
        <f>SUM(I8:I43)</f>
        <v>3451</v>
      </c>
      <c r="J44" s="44"/>
      <c r="K44" s="44"/>
      <c r="L44" s="44">
        <f>SUM(L8:L43)</f>
        <v>130</v>
      </c>
      <c r="M44" s="44"/>
      <c r="N44" s="44">
        <f>SUM(N8:N43)</f>
        <v>2500</v>
      </c>
      <c r="O44" s="44"/>
      <c r="P44" s="44">
        <f>SUM(P8:P43)</f>
        <v>3750</v>
      </c>
      <c r="Q44" s="44"/>
      <c r="R44" s="44">
        <f>SUM(R8:R43)</f>
        <v>530</v>
      </c>
      <c r="S44" s="44"/>
      <c r="T44" s="44">
        <f>SUM(T8:T43)</f>
        <v>300</v>
      </c>
      <c r="U44" s="44"/>
      <c r="V44" s="44">
        <f>SUM(V8:V43)</f>
        <v>0</v>
      </c>
      <c r="W44" s="44"/>
      <c r="X44" s="44">
        <f>SUM(X8:X43)</f>
        <v>11375</v>
      </c>
      <c r="Z44" s="44">
        <f>SUM(Z8:Z43)</f>
        <v>200</v>
      </c>
      <c r="AB44" s="44">
        <f>SUM(AB8:AB43)</f>
        <v>50</v>
      </c>
      <c r="AD44" s="44">
        <f>SUM(AD8:AD43)</f>
        <v>170</v>
      </c>
      <c r="AF44" s="44">
        <f>SUM(AF8:AF43)</f>
        <v>0</v>
      </c>
      <c r="AH44" s="44">
        <f>SUM(AH8:AH43)</f>
        <v>3700</v>
      </c>
      <c r="AK44" s="154" t="s">
        <v>508</v>
      </c>
      <c r="AL44" s="154">
        <v>2</v>
      </c>
    </row>
    <row r="46" spans="1:50">
      <c r="F46" s="154"/>
      <c r="G46" s="154"/>
      <c r="H46" s="154"/>
      <c r="I46" s="154"/>
      <c r="J46" s="154"/>
      <c r="K46" s="154"/>
      <c r="L46" s="154"/>
      <c r="M46" s="154"/>
      <c r="N46" s="154"/>
      <c r="O46" s="154"/>
      <c r="P46" s="154"/>
      <c r="Q46" s="154"/>
      <c r="R46" s="154"/>
      <c r="S46" s="154"/>
      <c r="T46" s="154"/>
      <c r="U46" s="154"/>
      <c r="V46" s="154"/>
      <c r="W46" s="154"/>
      <c r="X46" s="154"/>
    </row>
    <row r="47" spans="1:50">
      <c r="A47" s="229" t="s">
        <v>373</v>
      </c>
      <c r="B47" s="229"/>
      <c r="C47" s="229"/>
      <c r="D47" s="229"/>
      <c r="E47" s="62" t="s">
        <v>509</v>
      </c>
      <c r="F47" s="153">
        <f>112-1</f>
        <v>111</v>
      </c>
      <c r="G47" s="153">
        <f>7*(128-8)</f>
        <v>840</v>
      </c>
      <c r="H47" s="222" t="s">
        <v>651</v>
      </c>
      <c r="I47" s="222"/>
      <c r="J47" s="222"/>
      <c r="K47" s="222"/>
      <c r="L47" s="222"/>
      <c r="M47" s="222"/>
      <c r="N47" s="222"/>
      <c r="O47" s="222"/>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row>
    <row r="48" spans="1:50">
      <c r="A48" s="229"/>
      <c r="B48" s="229"/>
      <c r="C48" s="229"/>
      <c r="D48" s="229"/>
      <c r="E48" s="62" t="s">
        <v>510</v>
      </c>
      <c r="F48" s="153">
        <f>144-1</f>
        <v>143</v>
      </c>
      <c r="G48" s="153">
        <f>6*(256-8)</f>
        <v>1488</v>
      </c>
      <c r="H48" s="222"/>
      <c r="I48" s="222"/>
      <c r="J48" s="222"/>
      <c r="K48" s="222"/>
      <c r="L48" s="222"/>
      <c r="M48" s="222"/>
      <c r="N48" s="222"/>
      <c r="O48" s="222"/>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row>
    <row r="49" spans="1:50" ht="18.600000000000001" customHeight="1">
      <c r="A49" s="153"/>
      <c r="B49" s="153"/>
      <c r="C49" s="153"/>
      <c r="D49" s="153"/>
      <c r="E49" s="15" t="s">
        <v>511</v>
      </c>
      <c r="F49" s="153">
        <f>128-1</f>
        <v>127</v>
      </c>
      <c r="G49" s="153">
        <v>1504</v>
      </c>
      <c r="H49" s="223"/>
      <c r="I49" s="223"/>
      <c r="J49" s="223"/>
      <c r="K49" s="223"/>
      <c r="L49" s="223"/>
      <c r="M49" s="223"/>
      <c r="N49" s="223"/>
      <c r="O49" s="22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row>
    <row r="50" spans="1:50" ht="23.45" customHeight="1">
      <c r="A50" s="229"/>
      <c r="B50" s="229"/>
      <c r="C50" s="229"/>
      <c r="D50" s="229"/>
      <c r="E50" s="15" t="s">
        <v>512</v>
      </c>
      <c r="F50" s="153">
        <f>128-1</f>
        <v>127</v>
      </c>
      <c r="G50" s="153">
        <f>6*(128-8)+1*(384-8)</f>
        <v>1096</v>
      </c>
      <c r="H50" s="223"/>
      <c r="I50" s="223"/>
      <c r="J50" s="223"/>
      <c r="K50" s="223"/>
      <c r="L50" s="223"/>
      <c r="M50" s="223"/>
      <c r="N50" s="223"/>
      <c r="O50" s="22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row>
    <row r="51" spans="1:50" s="194" customFormat="1" ht="15">
      <c r="A51" s="191"/>
      <c r="B51" s="191"/>
      <c r="C51" s="191"/>
      <c r="D51" s="191"/>
      <c r="E51" s="192"/>
      <c r="F51" s="191"/>
      <c r="G51" s="191"/>
      <c r="H51" s="193"/>
      <c r="I51" s="193"/>
      <c r="J51" s="193"/>
      <c r="K51" s="193"/>
      <c r="L51" s="193"/>
      <c r="M51" s="193"/>
      <c r="N51" s="193"/>
      <c r="O51" s="193"/>
    </row>
    <row r="52" spans="1:50" s="194" customFormat="1" ht="15">
      <c r="A52" s="227" t="s">
        <v>717</v>
      </c>
      <c r="B52" s="228"/>
      <c r="C52" s="228"/>
      <c r="D52" s="228"/>
      <c r="E52" s="199">
        <v>1</v>
      </c>
      <c r="F52" s="191"/>
      <c r="G52" s="191"/>
      <c r="H52" s="193"/>
      <c r="I52" s="193"/>
      <c r="J52" s="193"/>
      <c r="K52" s="193"/>
      <c r="L52" s="193"/>
      <c r="M52" s="193"/>
      <c r="N52" s="193"/>
      <c r="O52" s="193"/>
    </row>
    <row r="53" spans="1:50" s="194" customFormat="1" ht="15">
      <c r="A53" s="191"/>
      <c r="B53" s="191"/>
      <c r="C53" s="191"/>
      <c r="D53" s="191"/>
      <c r="E53" s="192"/>
      <c r="F53" s="191"/>
      <c r="G53" s="191"/>
      <c r="H53" s="193"/>
      <c r="I53" s="193"/>
      <c r="J53" s="193"/>
      <c r="K53" s="193"/>
      <c r="L53" s="193"/>
      <c r="M53" s="193"/>
      <c r="N53" s="193"/>
      <c r="O53" s="193"/>
    </row>
    <row r="54" spans="1:50">
      <c r="A54" s="7" t="s">
        <v>380</v>
      </c>
    </row>
    <row r="55" spans="1:50">
      <c r="A55" s="35" t="s">
        <v>381</v>
      </c>
      <c r="C55" s="35" t="s">
        <v>333</v>
      </c>
      <c r="D55" s="35" t="s">
        <v>453</v>
      </c>
      <c r="E55" s="35" t="s">
        <v>10</v>
      </c>
      <c r="F55" s="154">
        <v>12</v>
      </c>
      <c r="G55" s="154">
        <v>48</v>
      </c>
      <c r="H55" s="154">
        <v>0</v>
      </c>
      <c r="I55" s="157">
        <v>71</v>
      </c>
      <c r="J55" s="154">
        <f t="shared" ref="J55:J81" si="4">G55-H55</f>
        <v>48</v>
      </c>
      <c r="K55" s="154"/>
      <c r="AJ55" s="154" t="s">
        <v>328</v>
      </c>
      <c r="AK55" s="154" t="s">
        <v>329</v>
      </c>
      <c r="AL55" s="154"/>
      <c r="AO55" s="35">
        <f t="shared" ref="AO55:AO81" si="5">IF(ISBLANK($A55),,G55*1.024)</f>
        <v>49.152000000000001</v>
      </c>
      <c r="AP55" s="35">
        <f t="shared" ref="AP55:AP81" si="6">IF(ISBLANK($A55),,H55*1.024)</f>
        <v>0</v>
      </c>
      <c r="AQ55" s="35">
        <f>IF(ISBLANK($A55),,ROUNDDOWN(I55*AS6*1.024,))</f>
        <v>65</v>
      </c>
      <c r="AR55" s="35">
        <f>IF(ISBLANK($A55),,ROUNDDOWN(L55*AS6*1.024,))</f>
        <v>0</v>
      </c>
      <c r="AS55" s="35">
        <f>IF(ISBLANK($A55),,ROUNDDOWN(N55*AS6*1.024,))</f>
        <v>0</v>
      </c>
      <c r="AT55" s="35">
        <f>IF(ISBLANK($A55),,ROUNDDOWN(P55*AS6*1.024,))</f>
        <v>0</v>
      </c>
      <c r="AU55" s="35">
        <f>IF(ISBLANK($A55),,ROUNDDOWN(R55*AS6*1.024,))</f>
        <v>0</v>
      </c>
      <c r="AV55" s="115">
        <f t="shared" ref="AV55:AV81" si="7">IF(ISBLANK($A55),,ROUNDDOWN(T55*AS$6*1.024,))</f>
        <v>0</v>
      </c>
      <c r="AW55" s="35">
        <f>IF(ISBLANK($A55),,ROUNDDOWN(V55*AS6*1.024,))</f>
        <v>0</v>
      </c>
      <c r="AX55" s="35">
        <f>IF(ISBLANK($A55),,ROUNDDOWN(X55*AS6*1.024,))</f>
        <v>0</v>
      </c>
    </row>
    <row r="56" spans="1:50">
      <c r="A56" s="35" t="s">
        <v>382</v>
      </c>
      <c r="C56" s="35" t="s">
        <v>333</v>
      </c>
      <c r="D56" s="39" t="s">
        <v>362</v>
      </c>
      <c r="E56" s="156" t="s">
        <v>75</v>
      </c>
      <c r="F56" s="154">
        <v>4</v>
      </c>
      <c r="G56" s="154">
        <v>4</v>
      </c>
      <c r="H56" s="154">
        <v>0</v>
      </c>
      <c r="I56" s="154">
        <v>100</v>
      </c>
      <c r="J56" s="154">
        <f t="shared" si="4"/>
        <v>4</v>
      </c>
      <c r="K56" s="154"/>
      <c r="AJ56" s="154" t="s">
        <v>328</v>
      </c>
      <c r="AK56" s="154" t="s">
        <v>329</v>
      </c>
      <c r="AL56" s="154"/>
      <c r="AO56" s="35">
        <f t="shared" si="5"/>
        <v>4.0960000000000001</v>
      </c>
      <c r="AP56" s="35">
        <f t="shared" si="6"/>
        <v>0</v>
      </c>
      <c r="AQ56" s="35">
        <f>IF(ISBLANK($A56),,ROUNDDOWN(I56*AS6*1.024,))</f>
        <v>92</v>
      </c>
      <c r="AR56" s="35">
        <f>IF(ISBLANK($A56),,ROUNDDOWN(L56*AS6*1.024,))</f>
        <v>0</v>
      </c>
      <c r="AS56" s="35">
        <f>IF(ISBLANK($A56),,ROUNDDOWN(N56*AS6*1.024,))</f>
        <v>0</v>
      </c>
      <c r="AT56" s="35">
        <f>IF(ISBLANK($A56),,ROUNDDOWN(P56*AS6*1.024,))</f>
        <v>0</v>
      </c>
      <c r="AU56" s="35">
        <f>IF(ISBLANK($A56),,ROUNDDOWN(R56*AS6*1.024,))</f>
        <v>0</v>
      </c>
      <c r="AV56" s="115">
        <f t="shared" si="7"/>
        <v>0</v>
      </c>
      <c r="AW56" s="35">
        <f>IF(ISBLANK($A56),,ROUNDDOWN(V56*AS6*1.024,))</f>
        <v>0</v>
      </c>
      <c r="AX56" s="35">
        <f>IF(ISBLANK($A56),,ROUNDDOWN(X56*AS6*1.024,))</f>
        <v>0</v>
      </c>
    </row>
    <row r="57" spans="1:50">
      <c r="A57" s="35" t="s">
        <v>383</v>
      </c>
      <c r="C57" s="35" t="s">
        <v>333</v>
      </c>
      <c r="D57" s="39" t="s">
        <v>362</v>
      </c>
      <c r="E57" s="156" t="s">
        <v>79</v>
      </c>
      <c r="F57" s="154">
        <v>4</v>
      </c>
      <c r="G57" s="154">
        <v>16</v>
      </c>
      <c r="H57" s="154">
        <v>0</v>
      </c>
      <c r="I57" s="154">
        <v>100</v>
      </c>
      <c r="J57" s="154">
        <f t="shared" si="4"/>
        <v>16</v>
      </c>
      <c r="K57" s="154"/>
      <c r="AJ57" s="154" t="s">
        <v>328</v>
      </c>
      <c r="AK57" s="154" t="s">
        <v>329</v>
      </c>
      <c r="AL57" s="154"/>
      <c r="AO57" s="35">
        <f t="shared" si="5"/>
        <v>16.384</v>
      </c>
      <c r="AP57" s="35">
        <f t="shared" si="6"/>
        <v>0</v>
      </c>
      <c r="AQ57" s="35">
        <f>IF(ISBLANK($A57),,ROUNDDOWN(I57*AS6*1.024,))</f>
        <v>92</v>
      </c>
      <c r="AR57" s="35">
        <f>IF(ISBLANK($A57),,ROUNDDOWN(L57*AS6*1.024,))</f>
        <v>0</v>
      </c>
      <c r="AS57" s="35">
        <f>IF(ISBLANK($A57),,ROUNDDOWN(N57*AS6*1.024,))</f>
        <v>0</v>
      </c>
      <c r="AT57" s="35">
        <f>IF(ISBLANK($A57),,ROUNDDOWN(P57*AS6*1.024,))</f>
        <v>0</v>
      </c>
      <c r="AU57" s="35">
        <f>IF(ISBLANK($A57),,ROUNDDOWN(R57*AS6*1.024,))</f>
        <v>0</v>
      </c>
      <c r="AV57" s="115">
        <f t="shared" si="7"/>
        <v>0</v>
      </c>
      <c r="AW57" s="35">
        <f>IF(ISBLANK($A57),,ROUNDDOWN(V57*AS6*1.024,))</f>
        <v>0</v>
      </c>
      <c r="AX57" s="35">
        <f>IF(ISBLANK($A57),,ROUNDDOWN(X57*AS6*1.024,))</f>
        <v>0</v>
      </c>
    </row>
    <row r="58" spans="1:50">
      <c r="A58" s="35" t="s">
        <v>384</v>
      </c>
      <c r="C58" s="35" t="s">
        <v>333</v>
      </c>
      <c r="D58" s="39" t="s">
        <v>362</v>
      </c>
      <c r="E58" s="156" t="s">
        <v>79</v>
      </c>
      <c r="F58" s="154">
        <v>4</v>
      </c>
      <c r="G58" s="154">
        <v>16</v>
      </c>
      <c r="H58" s="154">
        <v>0</v>
      </c>
      <c r="I58" s="154">
        <v>100</v>
      </c>
      <c r="J58" s="154">
        <f t="shared" si="4"/>
        <v>16</v>
      </c>
      <c r="K58" s="154"/>
      <c r="AJ58" s="154" t="s">
        <v>328</v>
      </c>
      <c r="AK58" s="154" t="s">
        <v>329</v>
      </c>
      <c r="AL58" s="154"/>
      <c r="AO58" s="35">
        <f t="shared" si="5"/>
        <v>16.384</v>
      </c>
      <c r="AP58" s="35">
        <f t="shared" si="6"/>
        <v>0</v>
      </c>
      <c r="AQ58" s="35">
        <f>IF(ISBLANK($A58),,ROUNDDOWN(I58*AS6*1.024,))</f>
        <v>92</v>
      </c>
      <c r="AR58" s="35">
        <f>IF(ISBLANK($A58),,ROUNDDOWN(L58*AS6*1.024,))</f>
        <v>0</v>
      </c>
      <c r="AS58" s="35">
        <f>IF(ISBLANK($A58),,ROUNDDOWN(N58*AS6*1.024,))</f>
        <v>0</v>
      </c>
      <c r="AT58" s="35">
        <f>IF(ISBLANK($A58),,ROUNDDOWN(P58*AS6*1.024,))</f>
        <v>0</v>
      </c>
      <c r="AU58" s="35">
        <f>IF(ISBLANK($A58),,ROUNDDOWN(R58*AS6*1.024,))</f>
        <v>0</v>
      </c>
      <c r="AV58" s="115">
        <f t="shared" si="7"/>
        <v>0</v>
      </c>
      <c r="AW58" s="35">
        <f>IF(ISBLANK($A58),,ROUNDDOWN(V58*AS6*1.024,))</f>
        <v>0</v>
      </c>
      <c r="AX58" s="35">
        <f>IF(ISBLANK($A58),,ROUNDDOWN(X58*AS6*1.024,))</f>
        <v>0</v>
      </c>
    </row>
    <row r="59" spans="1:50">
      <c r="A59" s="35" t="s">
        <v>494</v>
      </c>
      <c r="C59" s="35" t="s">
        <v>333</v>
      </c>
      <c r="D59" s="39" t="s">
        <v>362</v>
      </c>
      <c r="E59" s="156" t="s">
        <v>79</v>
      </c>
      <c r="F59" s="154">
        <v>4</v>
      </c>
      <c r="G59" s="154">
        <v>16</v>
      </c>
      <c r="H59" s="154">
        <v>0</v>
      </c>
      <c r="I59" s="154">
        <v>100</v>
      </c>
      <c r="J59" s="154">
        <f t="shared" si="4"/>
        <v>16</v>
      </c>
      <c r="K59" s="154"/>
      <c r="AJ59" s="154" t="s">
        <v>328</v>
      </c>
      <c r="AK59" s="154" t="s">
        <v>329</v>
      </c>
      <c r="AL59" s="154"/>
      <c r="AO59" s="35">
        <f t="shared" si="5"/>
        <v>16.384</v>
      </c>
      <c r="AP59" s="35">
        <f t="shared" si="6"/>
        <v>0</v>
      </c>
      <c r="AQ59" s="35">
        <f>IF(ISBLANK($A59),,ROUNDDOWN(I59*AS6*1.024,))</f>
        <v>92</v>
      </c>
      <c r="AR59" s="35">
        <f>IF(ISBLANK($A59),,ROUNDDOWN(L59*AS6*1.024,))</f>
        <v>0</v>
      </c>
      <c r="AS59" s="35">
        <f>IF(ISBLANK($A59),,ROUNDDOWN(N59*AS6*1.024,))</f>
        <v>0</v>
      </c>
      <c r="AT59" s="35">
        <f>IF(ISBLANK($A59),,ROUNDDOWN(P59*AS6*1.024,))</f>
        <v>0</v>
      </c>
      <c r="AU59" s="35">
        <f>IF(ISBLANK($A59),,ROUNDDOWN(R59*AS6*1.024,))</f>
        <v>0</v>
      </c>
      <c r="AV59" s="115">
        <f t="shared" si="7"/>
        <v>0</v>
      </c>
      <c r="AW59" s="35">
        <f>IF(ISBLANK($A59),,ROUNDDOWN(V59*AS6*1.024,))</f>
        <v>0</v>
      </c>
      <c r="AX59" s="35">
        <f>IF(ISBLANK($A59),,ROUNDDOWN(X59*AS6*1.024,))</f>
        <v>0</v>
      </c>
    </row>
    <row r="60" spans="1:50">
      <c r="A60" s="35" t="s">
        <v>495</v>
      </c>
      <c r="C60" s="35" t="s">
        <v>333</v>
      </c>
      <c r="D60" s="39" t="s">
        <v>362</v>
      </c>
      <c r="E60" s="156" t="s">
        <v>79</v>
      </c>
      <c r="F60" s="154">
        <v>4</v>
      </c>
      <c r="G60" s="154">
        <v>16</v>
      </c>
      <c r="H60" s="154">
        <v>0</v>
      </c>
      <c r="I60" s="154">
        <v>100</v>
      </c>
      <c r="J60" s="154">
        <f t="shared" si="4"/>
        <v>16</v>
      </c>
      <c r="K60" s="154"/>
      <c r="AJ60" s="154" t="s">
        <v>328</v>
      </c>
      <c r="AK60" s="154" t="s">
        <v>329</v>
      </c>
      <c r="AL60" s="154"/>
      <c r="AO60" s="35">
        <f t="shared" si="5"/>
        <v>16.384</v>
      </c>
      <c r="AP60" s="35">
        <f t="shared" si="6"/>
        <v>0</v>
      </c>
      <c r="AQ60" s="35">
        <f>IF(ISBLANK($A60),,ROUNDDOWN(I60*AS6*1.024,))</f>
        <v>92</v>
      </c>
      <c r="AR60" s="35">
        <f>IF(ISBLANK($A60),,ROUNDDOWN(L60*AS6*1.024,))</f>
        <v>0</v>
      </c>
      <c r="AS60" s="35">
        <f>IF(ISBLANK($A60),,ROUNDDOWN(N60*AS6*1.024,))</f>
        <v>0</v>
      </c>
      <c r="AT60" s="35">
        <f>IF(ISBLANK($A60),,ROUNDDOWN(P60*AS6*1.024,))</f>
        <v>0</v>
      </c>
      <c r="AU60" s="35">
        <f>IF(ISBLANK($A60),,ROUNDDOWN(R60*AS6*1.024,))</f>
        <v>0</v>
      </c>
      <c r="AV60" s="115">
        <f t="shared" si="7"/>
        <v>0</v>
      </c>
      <c r="AW60" s="35">
        <f>IF(ISBLANK($A60),,ROUNDDOWN(V60*AS6*1.024,))</f>
        <v>0</v>
      </c>
      <c r="AX60" s="35">
        <f>IF(ISBLANK($A60),,ROUNDDOWN(X60*AS6*1.024,))</f>
        <v>0</v>
      </c>
    </row>
    <row r="61" spans="1:50">
      <c r="A61" s="35" t="s">
        <v>513</v>
      </c>
      <c r="C61" s="35" t="s">
        <v>333</v>
      </c>
      <c r="D61" s="39" t="s">
        <v>362</v>
      </c>
      <c r="E61" s="156" t="s">
        <v>79</v>
      </c>
      <c r="F61" s="154">
        <v>4</v>
      </c>
      <c r="G61" s="154">
        <v>16</v>
      </c>
      <c r="H61" s="154">
        <v>0</v>
      </c>
      <c r="I61" s="154">
        <v>100</v>
      </c>
      <c r="J61" s="154">
        <f t="shared" si="4"/>
        <v>16</v>
      </c>
      <c r="K61" s="154"/>
      <c r="AJ61" s="154" t="s">
        <v>328</v>
      </c>
      <c r="AK61" s="154" t="s">
        <v>329</v>
      </c>
      <c r="AL61" s="154"/>
      <c r="AO61" s="35">
        <f t="shared" si="5"/>
        <v>16.384</v>
      </c>
      <c r="AP61" s="35">
        <f t="shared" si="6"/>
        <v>0</v>
      </c>
      <c r="AQ61" s="35">
        <f>IF(ISBLANK($A61),,ROUNDDOWN(I61*AS6*1.024,))</f>
        <v>92</v>
      </c>
      <c r="AR61" s="35">
        <f>IF(ISBLANK($A61),,ROUNDDOWN(L61*AS6*1.024,))</f>
        <v>0</v>
      </c>
      <c r="AS61" s="35">
        <f>IF(ISBLANK($A61),,ROUNDDOWN(N61*AS6*1.024,))</f>
        <v>0</v>
      </c>
      <c r="AT61" s="35">
        <f>IF(ISBLANK($A61),,ROUNDDOWN(P61*AS6*1.024,))</f>
        <v>0</v>
      </c>
      <c r="AU61" s="35">
        <f>IF(ISBLANK($A61),,ROUNDDOWN(R61*AS6*1.024,))</f>
        <v>0</v>
      </c>
      <c r="AV61" s="115">
        <f t="shared" si="7"/>
        <v>0</v>
      </c>
      <c r="AW61" s="35">
        <f>IF(ISBLANK($A61),,ROUNDDOWN(V61*AS6*1.024,))</f>
        <v>0</v>
      </c>
      <c r="AX61" s="35">
        <f>IF(ISBLANK($A61),,ROUNDDOWN(X61*AS6*1.024,))</f>
        <v>0</v>
      </c>
    </row>
    <row r="62" spans="1:50">
      <c r="A62" s="35" t="s">
        <v>514</v>
      </c>
      <c r="C62" s="35" t="s">
        <v>333</v>
      </c>
      <c r="D62" s="39" t="s">
        <v>362</v>
      </c>
      <c r="E62" s="156" t="s">
        <v>79</v>
      </c>
      <c r="F62" s="154">
        <v>4</v>
      </c>
      <c r="G62" s="154">
        <v>16</v>
      </c>
      <c r="H62" s="154">
        <v>0</v>
      </c>
      <c r="I62" s="154">
        <v>100</v>
      </c>
      <c r="J62" s="154">
        <f t="shared" si="4"/>
        <v>16</v>
      </c>
      <c r="K62" s="154"/>
      <c r="AJ62" s="154" t="s">
        <v>328</v>
      </c>
      <c r="AK62" s="154" t="s">
        <v>329</v>
      </c>
      <c r="AL62" s="154"/>
      <c r="AO62" s="35">
        <f t="shared" si="5"/>
        <v>16.384</v>
      </c>
      <c r="AP62" s="35">
        <f t="shared" si="6"/>
        <v>0</v>
      </c>
      <c r="AQ62" s="35">
        <f>IF(ISBLANK($A62),,ROUNDDOWN(I62*AS6*1.024,))</f>
        <v>92</v>
      </c>
      <c r="AR62" s="35">
        <f>IF(ISBLANK($A62),,ROUNDDOWN(L62*AS6*1.024,))</f>
        <v>0</v>
      </c>
      <c r="AS62" s="35">
        <f>IF(ISBLANK($A62),,ROUNDDOWN(N62*AS6*1.024,))</f>
        <v>0</v>
      </c>
      <c r="AT62" s="35">
        <f>IF(ISBLANK($A62),,ROUNDDOWN(P62*AS6*1.024,))</f>
        <v>0</v>
      </c>
      <c r="AU62" s="35">
        <f>IF(ISBLANK($A62),,ROUNDDOWN(R62*AS6*1.024,))</f>
        <v>0</v>
      </c>
      <c r="AV62" s="115">
        <f t="shared" si="7"/>
        <v>0</v>
      </c>
      <c r="AW62" s="35">
        <f>IF(ISBLANK($A62),,ROUNDDOWN(V62*AS6*1.024,))</f>
        <v>0</v>
      </c>
      <c r="AX62" s="35">
        <f>IF(ISBLANK($A62),,ROUNDDOWN(X62*AS6*1.024,))</f>
        <v>0</v>
      </c>
    </row>
    <row r="63" spans="1:50">
      <c r="A63" s="35" t="s">
        <v>515</v>
      </c>
      <c r="C63" s="35" t="s">
        <v>333</v>
      </c>
      <c r="D63" s="39" t="s">
        <v>362</v>
      </c>
      <c r="E63" s="156" t="s">
        <v>79</v>
      </c>
      <c r="F63" s="154">
        <v>4</v>
      </c>
      <c r="G63" s="154">
        <v>16</v>
      </c>
      <c r="H63" s="154">
        <v>0</v>
      </c>
      <c r="I63" s="154">
        <v>100</v>
      </c>
      <c r="J63" s="154">
        <f t="shared" si="4"/>
        <v>16</v>
      </c>
      <c r="K63" s="154"/>
      <c r="AJ63" s="154" t="s">
        <v>328</v>
      </c>
      <c r="AK63" s="154" t="s">
        <v>329</v>
      </c>
      <c r="AL63" s="154"/>
      <c r="AO63" s="35">
        <f t="shared" si="5"/>
        <v>16.384</v>
      </c>
      <c r="AP63" s="35">
        <f t="shared" si="6"/>
        <v>0</v>
      </c>
      <c r="AQ63" s="35">
        <f>IF(ISBLANK($A63),,ROUNDDOWN(I63*AS6*1.024,))</f>
        <v>92</v>
      </c>
      <c r="AR63" s="35">
        <f>IF(ISBLANK($A63),,ROUNDDOWN(L63*AS6*1.024,))</f>
        <v>0</v>
      </c>
      <c r="AS63" s="35">
        <f>IF(ISBLANK($A63),,ROUNDDOWN(N63*AS6*1.024,))</f>
        <v>0</v>
      </c>
      <c r="AT63" s="35">
        <f>IF(ISBLANK($A63),,ROUNDDOWN(P63*AS6*1.024,))</f>
        <v>0</v>
      </c>
      <c r="AU63" s="35">
        <f>IF(ISBLANK($A63),,ROUNDDOWN(R63*AS6*1.024,))</f>
        <v>0</v>
      </c>
      <c r="AV63" s="115">
        <f t="shared" si="7"/>
        <v>0</v>
      </c>
      <c r="AW63" s="35">
        <f>IF(ISBLANK($A63),,ROUNDDOWN(V63*AS6*1.024,))</f>
        <v>0</v>
      </c>
      <c r="AX63" s="35">
        <f>IF(ISBLANK($A63),,ROUNDDOWN(X63*AS6*1.024,))</f>
        <v>0</v>
      </c>
    </row>
    <row r="64" spans="1:50">
      <c r="A64" s="35" t="s">
        <v>385</v>
      </c>
      <c r="C64" s="35" t="s">
        <v>333</v>
      </c>
      <c r="D64" s="39" t="s">
        <v>362</v>
      </c>
      <c r="E64" s="156" t="s">
        <v>77</v>
      </c>
      <c r="F64" s="154">
        <v>4</v>
      </c>
      <c r="G64" s="154">
        <v>14</v>
      </c>
      <c r="H64" s="154">
        <v>0</v>
      </c>
      <c r="I64" s="154">
        <v>100</v>
      </c>
      <c r="J64" s="154">
        <f t="shared" si="4"/>
        <v>14</v>
      </c>
      <c r="K64" s="154"/>
      <c r="AJ64" s="154" t="s">
        <v>328</v>
      </c>
      <c r="AK64" s="154" t="s">
        <v>329</v>
      </c>
      <c r="AL64" s="154"/>
      <c r="AO64" s="35">
        <f t="shared" si="5"/>
        <v>14.336</v>
      </c>
      <c r="AP64" s="35">
        <f t="shared" si="6"/>
        <v>0</v>
      </c>
      <c r="AQ64" s="35">
        <f>IF(ISBLANK($A64),,ROUNDDOWN(I64*AS6*1.024,))</f>
        <v>92</v>
      </c>
      <c r="AR64" s="35">
        <f>IF(ISBLANK($A64),,ROUNDDOWN(L64*AS6*1.024,))</f>
        <v>0</v>
      </c>
      <c r="AS64" s="35">
        <f>IF(ISBLANK($A64),,ROUNDDOWN(N64*AS6*1.024,))</f>
        <v>0</v>
      </c>
      <c r="AT64" s="35">
        <f>IF(ISBLANK($A64),,ROUNDDOWN(P64*AS6*1.024,))</f>
        <v>0</v>
      </c>
      <c r="AU64" s="35">
        <f>IF(ISBLANK($A64),,ROUNDDOWN(R64*AS6*1.024,))</f>
        <v>0</v>
      </c>
      <c r="AV64" s="115">
        <f t="shared" si="7"/>
        <v>0</v>
      </c>
      <c r="AW64" s="35">
        <f>IF(ISBLANK($A64),,ROUNDDOWN(V64*AS6*1.024,))</f>
        <v>0</v>
      </c>
      <c r="AX64" s="35">
        <f>IF(ISBLANK($A64),,ROUNDDOWN(X64*AS6*1.024,))</f>
        <v>0</v>
      </c>
    </row>
    <row r="65" spans="1:50">
      <c r="A65" s="35" t="s">
        <v>516</v>
      </c>
      <c r="C65" s="35" t="s">
        <v>333</v>
      </c>
      <c r="D65" s="39" t="s">
        <v>362</v>
      </c>
      <c r="E65" s="156" t="s">
        <v>79</v>
      </c>
      <c r="F65" s="154">
        <v>4</v>
      </c>
      <c r="G65" s="154">
        <v>16</v>
      </c>
      <c r="H65" s="154">
        <v>0</v>
      </c>
      <c r="I65" s="154">
        <v>100</v>
      </c>
      <c r="J65" s="154">
        <f t="shared" si="4"/>
        <v>16</v>
      </c>
      <c r="K65" s="154"/>
      <c r="AJ65" s="154" t="s">
        <v>328</v>
      </c>
      <c r="AK65" s="154" t="s">
        <v>329</v>
      </c>
      <c r="AL65" s="154"/>
      <c r="AO65" s="35">
        <f t="shared" si="5"/>
        <v>16.384</v>
      </c>
      <c r="AP65" s="35">
        <f t="shared" si="6"/>
        <v>0</v>
      </c>
      <c r="AQ65" s="35">
        <f>IF(ISBLANK($A65),,ROUNDDOWN(I65*AS6*1.024,))</f>
        <v>92</v>
      </c>
      <c r="AR65" s="35">
        <f>IF(ISBLANK($A65),,ROUNDDOWN(L65*AS6*1.024,))</f>
        <v>0</v>
      </c>
      <c r="AS65" s="35">
        <f>IF(ISBLANK($A65),,ROUNDDOWN(N65*AS6*1.024,))</f>
        <v>0</v>
      </c>
      <c r="AT65" s="35">
        <f>IF(ISBLANK($A65),,ROUNDDOWN(P65*AS6*1.024,))</f>
        <v>0</v>
      </c>
      <c r="AU65" s="35">
        <f>IF(ISBLANK($A65),,ROUNDDOWN(R65*AS6*1.024,))</f>
        <v>0</v>
      </c>
      <c r="AV65" s="115">
        <f t="shared" si="7"/>
        <v>0</v>
      </c>
      <c r="AW65" s="35">
        <f>IF(ISBLANK($A65),,ROUNDDOWN(V65*AS6*1.024,))</f>
        <v>0</v>
      </c>
      <c r="AX65" s="35">
        <v>6</v>
      </c>
    </row>
    <row r="66" spans="1:50">
      <c r="A66" s="35" t="s">
        <v>386</v>
      </c>
      <c r="C66" s="35" t="s">
        <v>333</v>
      </c>
      <c r="D66" s="35" t="s">
        <v>453</v>
      </c>
      <c r="E66" s="35" t="s">
        <v>110</v>
      </c>
      <c r="F66" s="154">
        <v>6</v>
      </c>
      <c r="G66" s="154">
        <v>20</v>
      </c>
      <c r="H66" s="154">
        <v>0</v>
      </c>
      <c r="I66" s="154">
        <v>201</v>
      </c>
      <c r="J66" s="154">
        <f t="shared" si="4"/>
        <v>20</v>
      </c>
      <c r="K66" s="154"/>
      <c r="AJ66" s="154" t="s">
        <v>328</v>
      </c>
      <c r="AK66" s="154" t="s">
        <v>329</v>
      </c>
      <c r="AL66" s="154"/>
      <c r="AO66" s="35">
        <f t="shared" si="5"/>
        <v>20.48</v>
      </c>
      <c r="AP66" s="35">
        <f t="shared" si="6"/>
        <v>0</v>
      </c>
      <c r="AQ66" s="35">
        <f>IF(ISBLANK($A66),,ROUNDDOWN(I66*AS6*1.024,))</f>
        <v>185</v>
      </c>
      <c r="AR66" s="35">
        <f>IF(ISBLANK($A66),,ROUNDDOWN(L66*AS6*1.024,))</f>
        <v>0</v>
      </c>
      <c r="AS66" s="35">
        <f>IF(ISBLANK($A66),,ROUNDDOWN(N66*AS6*1.024,))</f>
        <v>0</v>
      </c>
      <c r="AT66" s="35">
        <f>IF(ISBLANK($A66),,ROUNDDOWN(P66*AS6*1.024,))</f>
        <v>0</v>
      </c>
      <c r="AU66" s="35">
        <f>IF(ISBLANK($A66),,ROUNDDOWN(R66*AS6*1.024,))</f>
        <v>0</v>
      </c>
      <c r="AV66" s="115">
        <f t="shared" si="7"/>
        <v>0</v>
      </c>
      <c r="AW66" s="35">
        <f>IF(ISBLANK($A66),,ROUNDDOWN(V66*AS6*1.024,))</f>
        <v>0</v>
      </c>
      <c r="AX66" s="35">
        <f>IF(ISBLANK($A66),,ROUNDDOWN(X66*AS6*1.024,))</f>
        <v>0</v>
      </c>
    </row>
    <row r="67" spans="1:50">
      <c r="A67" s="35" t="s">
        <v>387</v>
      </c>
      <c r="C67" s="35" t="s">
        <v>333</v>
      </c>
      <c r="D67" s="35" t="s">
        <v>453</v>
      </c>
      <c r="E67" s="35" t="s">
        <v>110</v>
      </c>
      <c r="F67" s="154">
        <v>6</v>
      </c>
      <c r="G67" s="154">
        <v>20</v>
      </c>
      <c r="H67" s="154">
        <v>0</v>
      </c>
      <c r="I67" s="177">
        <v>201</v>
      </c>
      <c r="J67" s="154">
        <f t="shared" si="4"/>
        <v>20</v>
      </c>
      <c r="K67" s="154"/>
      <c r="AJ67" s="154" t="s">
        <v>328</v>
      </c>
      <c r="AK67" s="154" t="s">
        <v>329</v>
      </c>
      <c r="AL67" s="154"/>
      <c r="AO67" s="35">
        <f t="shared" si="5"/>
        <v>20.48</v>
      </c>
      <c r="AP67" s="35">
        <f t="shared" si="6"/>
        <v>0</v>
      </c>
      <c r="AQ67" s="35">
        <f>IF(ISBLANK($A67),,ROUNDDOWN(I67*AS6*1.024,))</f>
        <v>185</v>
      </c>
      <c r="AR67" s="35">
        <f>IF(ISBLANK($A67),,ROUNDDOWN(L67*AS6*1.024,))</f>
        <v>0</v>
      </c>
      <c r="AS67" s="35">
        <f>IF(ISBLANK($A67),,ROUNDDOWN(N67*AS6*1.024,))</f>
        <v>0</v>
      </c>
      <c r="AT67" s="35">
        <f>IF(ISBLANK($A67),,ROUNDDOWN(P67*AS6*1.024,))</f>
        <v>0</v>
      </c>
      <c r="AU67" s="35">
        <f>IF(ISBLANK($A67),,ROUNDDOWN(R67*AS6*1.024,))</f>
        <v>0</v>
      </c>
      <c r="AV67" s="115">
        <f t="shared" si="7"/>
        <v>0</v>
      </c>
      <c r="AW67" s="35">
        <f>IF(ISBLANK($A67),,ROUNDDOWN(V67*AS6*1.024,))</f>
        <v>0</v>
      </c>
      <c r="AX67" s="35">
        <f>IF(ISBLANK($A67),,ROUNDDOWN(X67*AS6*1.024,))</f>
        <v>0</v>
      </c>
    </row>
    <row r="68" spans="1:50">
      <c r="A68" s="35" t="s">
        <v>496</v>
      </c>
      <c r="C68" s="35" t="s">
        <v>333</v>
      </c>
      <c r="D68" s="35" t="s">
        <v>453</v>
      </c>
      <c r="E68" s="35" t="s">
        <v>110</v>
      </c>
      <c r="F68" s="154">
        <v>6</v>
      </c>
      <c r="G68" s="154">
        <v>20</v>
      </c>
      <c r="H68" s="154">
        <v>0</v>
      </c>
      <c r="I68" s="177">
        <v>201</v>
      </c>
      <c r="J68" s="154">
        <f t="shared" si="4"/>
        <v>20</v>
      </c>
      <c r="K68" s="154"/>
      <c r="AJ68" s="154" t="s">
        <v>328</v>
      </c>
      <c r="AK68" s="154" t="s">
        <v>329</v>
      </c>
      <c r="AL68" s="154"/>
      <c r="AO68" s="35">
        <f t="shared" si="5"/>
        <v>20.48</v>
      </c>
      <c r="AP68" s="35">
        <f t="shared" si="6"/>
        <v>0</v>
      </c>
      <c r="AQ68" s="35">
        <f>IF(ISBLANK($A68),,ROUNDDOWN(I68*AS6*1.024,))</f>
        <v>185</v>
      </c>
      <c r="AR68" s="35">
        <f>IF(ISBLANK($A68),,ROUNDDOWN(L68*AS6*1.024,))</f>
        <v>0</v>
      </c>
      <c r="AS68" s="35">
        <f>IF(ISBLANK($A68),,ROUNDDOWN(N68*AS6*1.024,))</f>
        <v>0</v>
      </c>
      <c r="AT68" s="35">
        <f>IF(ISBLANK($A68),,ROUNDDOWN(P68*AS6*1.024,))</f>
        <v>0</v>
      </c>
      <c r="AU68" s="35">
        <f>IF(ISBLANK($A68),,ROUNDDOWN(R68*AS6*1.024,))</f>
        <v>0</v>
      </c>
      <c r="AV68" s="115">
        <f t="shared" si="7"/>
        <v>0</v>
      </c>
      <c r="AW68" s="35">
        <f>IF(ISBLANK($A68),,ROUNDDOWN(V68*AS6*1.024,))</f>
        <v>0</v>
      </c>
      <c r="AX68" s="35">
        <f>IF(ISBLANK($A68),,ROUNDDOWN(X68*AS6*1.024,))</f>
        <v>0</v>
      </c>
    </row>
    <row r="69" spans="1:50">
      <c r="A69" s="35" t="s">
        <v>497</v>
      </c>
      <c r="C69" s="35" t="s">
        <v>333</v>
      </c>
      <c r="D69" s="35" t="s">
        <v>453</v>
      </c>
      <c r="E69" s="35" t="s">
        <v>110</v>
      </c>
      <c r="F69" s="154">
        <v>6</v>
      </c>
      <c r="G69" s="154">
        <v>20</v>
      </c>
      <c r="H69" s="154">
        <v>0</v>
      </c>
      <c r="I69" s="177">
        <v>201</v>
      </c>
      <c r="J69" s="154">
        <f t="shared" si="4"/>
        <v>20</v>
      </c>
      <c r="K69" s="154"/>
      <c r="AJ69" s="154" t="s">
        <v>328</v>
      </c>
      <c r="AK69" s="154" t="s">
        <v>329</v>
      </c>
      <c r="AL69" s="154"/>
      <c r="AO69" s="35">
        <f t="shared" si="5"/>
        <v>20.48</v>
      </c>
      <c r="AP69" s="35">
        <f t="shared" si="6"/>
        <v>0</v>
      </c>
      <c r="AQ69" s="35">
        <f>IF(ISBLANK($A69),,ROUNDDOWN(I69*AS6*1.024,))</f>
        <v>185</v>
      </c>
      <c r="AR69" s="35">
        <f>IF(ISBLANK($A69),,ROUNDDOWN(L69*AS6*1.024,))</f>
        <v>0</v>
      </c>
      <c r="AS69" s="35">
        <f>IF(ISBLANK($A69),,ROUNDDOWN(N69*AS6*1.024,))</f>
        <v>0</v>
      </c>
      <c r="AT69" s="35">
        <f>IF(ISBLANK($A69),,ROUNDDOWN(P69*AS6*1.024,))</f>
        <v>0</v>
      </c>
      <c r="AU69" s="35">
        <f>IF(ISBLANK($A69),,ROUNDDOWN(R69*AS6*1.024,))</f>
        <v>0</v>
      </c>
      <c r="AV69" s="115">
        <f t="shared" si="7"/>
        <v>0</v>
      </c>
      <c r="AW69" s="35">
        <f>IF(ISBLANK($A69),,ROUNDDOWN(V69*AS6*1.024,))</f>
        <v>0</v>
      </c>
      <c r="AX69" s="35">
        <f>IF(ISBLANK($A69),,ROUNDDOWN(X69*AS6*1.024,))</f>
        <v>0</v>
      </c>
    </row>
    <row r="70" spans="1:50">
      <c r="A70" s="35" t="s">
        <v>388</v>
      </c>
      <c r="C70" s="35" t="s">
        <v>333</v>
      </c>
      <c r="D70" s="35" t="s">
        <v>453</v>
      </c>
      <c r="E70" s="35" t="s">
        <v>30</v>
      </c>
      <c r="F70" s="154">
        <v>2</v>
      </c>
      <c r="G70" s="154">
        <v>4</v>
      </c>
      <c r="H70" s="154">
        <v>0</v>
      </c>
      <c r="I70" s="154">
        <v>41</v>
      </c>
      <c r="J70" s="154">
        <f t="shared" si="4"/>
        <v>4</v>
      </c>
      <c r="K70" s="154"/>
      <c r="AJ70" s="154" t="s">
        <v>328</v>
      </c>
      <c r="AK70" s="154" t="s">
        <v>329</v>
      </c>
      <c r="AL70" s="154"/>
      <c r="AO70" s="35">
        <f t="shared" si="5"/>
        <v>4.0960000000000001</v>
      </c>
      <c r="AP70" s="35">
        <f t="shared" si="6"/>
        <v>0</v>
      </c>
      <c r="AQ70" s="35">
        <f>IF(ISBLANK($A70),,ROUNDDOWN(I70*AS6*1.024,))</f>
        <v>37</v>
      </c>
      <c r="AR70" s="35">
        <f>IF(ISBLANK($A70),,ROUNDDOWN(L70*AS6*1.024,))</f>
        <v>0</v>
      </c>
      <c r="AS70" s="35">
        <f>IF(ISBLANK($A70),,ROUNDDOWN(N70*AS6*1.024,))</f>
        <v>0</v>
      </c>
      <c r="AT70" s="35">
        <f>IF(ISBLANK($A70),,ROUNDDOWN(P70*AS6*1.024,))</f>
        <v>0</v>
      </c>
      <c r="AU70" s="35">
        <f>IF(ISBLANK($A70),,ROUNDDOWN(R70*AS6*1.024,))</f>
        <v>0</v>
      </c>
      <c r="AV70" s="115">
        <f t="shared" si="7"/>
        <v>0</v>
      </c>
      <c r="AW70" s="35">
        <f>IF(ISBLANK($A70),,ROUNDDOWN(V70*AS6*1.024,))</f>
        <v>0</v>
      </c>
      <c r="AX70" s="35">
        <f>IF(ISBLANK($A70),,ROUNDDOWN(X70*AS6*1.024,))</f>
        <v>0</v>
      </c>
    </row>
    <row r="71" spans="1:50">
      <c r="A71" s="35" t="s">
        <v>389</v>
      </c>
      <c r="C71" s="35" t="s">
        <v>333</v>
      </c>
      <c r="D71" s="35" t="s">
        <v>453</v>
      </c>
      <c r="E71" s="35" t="s">
        <v>22</v>
      </c>
      <c r="F71" s="154">
        <v>2</v>
      </c>
      <c r="G71" s="154">
        <v>4</v>
      </c>
      <c r="H71" s="154">
        <v>0</v>
      </c>
      <c r="I71" s="154">
        <v>31</v>
      </c>
      <c r="J71" s="154">
        <f t="shared" si="4"/>
        <v>4</v>
      </c>
      <c r="K71" s="154"/>
      <c r="AJ71" s="154" t="s">
        <v>328</v>
      </c>
      <c r="AK71" s="154" t="s">
        <v>329</v>
      </c>
      <c r="AL71" s="154"/>
      <c r="AO71" s="35">
        <f t="shared" si="5"/>
        <v>4.0960000000000001</v>
      </c>
      <c r="AP71" s="35">
        <f t="shared" si="6"/>
        <v>0</v>
      </c>
      <c r="AQ71" s="35">
        <f>IF(ISBLANK($A71),,ROUNDDOWN(I71*AS6*1.024,))</f>
        <v>28</v>
      </c>
      <c r="AR71" s="35">
        <f>IF(ISBLANK($A71),,ROUNDDOWN(L71*AS6*1.024,))</f>
        <v>0</v>
      </c>
      <c r="AS71" s="35">
        <f>IF(ISBLANK($A71),,ROUNDDOWN(N71*AS6*1.024,))</f>
        <v>0</v>
      </c>
      <c r="AT71" s="35">
        <f>IF(ISBLANK($A71),,ROUNDDOWN(P71*AS6*1.024,))</f>
        <v>0</v>
      </c>
      <c r="AU71" s="35">
        <f>IF(ISBLANK($A71),,ROUNDDOWN(R71*AS6*1.024,))</f>
        <v>0</v>
      </c>
      <c r="AV71" s="115">
        <f t="shared" si="7"/>
        <v>0</v>
      </c>
      <c r="AW71" s="35">
        <f>IF(ISBLANK($A71),,ROUNDDOWN(V71*AS6*1.024,))</f>
        <v>0</v>
      </c>
      <c r="AX71" s="35">
        <f>IF(ISBLANK($A71),,ROUNDDOWN(X71*AS6*1.024,))</f>
        <v>0</v>
      </c>
    </row>
    <row r="72" spans="1:50">
      <c r="A72" s="35" t="s">
        <v>390</v>
      </c>
      <c r="C72" s="35" t="s">
        <v>333</v>
      </c>
      <c r="D72" s="35" t="s">
        <v>453</v>
      </c>
      <c r="E72" s="35" t="s">
        <v>26</v>
      </c>
      <c r="F72" s="154">
        <v>4</v>
      </c>
      <c r="G72" s="154">
        <v>4</v>
      </c>
      <c r="H72" s="154">
        <v>0</v>
      </c>
      <c r="I72" s="154">
        <v>31</v>
      </c>
      <c r="J72" s="154">
        <f t="shared" si="4"/>
        <v>4</v>
      </c>
      <c r="K72" s="154"/>
      <c r="AJ72" s="154" t="s">
        <v>328</v>
      </c>
      <c r="AK72" s="154" t="s">
        <v>329</v>
      </c>
      <c r="AL72" s="154"/>
      <c r="AO72" s="35">
        <f t="shared" si="5"/>
        <v>4.0960000000000001</v>
      </c>
      <c r="AP72" s="35">
        <f t="shared" si="6"/>
        <v>0</v>
      </c>
      <c r="AQ72" s="35">
        <f>IF(ISBLANK($A72),,ROUNDDOWN(I72*AS6*1.024,))</f>
        <v>28</v>
      </c>
      <c r="AR72" s="35">
        <f>IF(ISBLANK($A72),,ROUNDDOWN(L72*AS6*1.024,))</f>
        <v>0</v>
      </c>
      <c r="AS72" s="35">
        <f>IF(ISBLANK($A72),,ROUNDDOWN(N72*AS6*1.024,))</f>
        <v>0</v>
      </c>
      <c r="AT72" s="35">
        <f>IF(ISBLANK($A72),,ROUNDDOWN(P72*AS6*1.024,))</f>
        <v>0</v>
      </c>
      <c r="AU72" s="35">
        <f>IF(ISBLANK($A72),,ROUNDDOWN(R72*AS6*1.024,))</f>
        <v>0</v>
      </c>
      <c r="AV72" s="115">
        <f t="shared" si="7"/>
        <v>0</v>
      </c>
      <c r="AW72" s="35">
        <f>IF(ISBLANK($A72),,ROUNDDOWN(V72*AS6*1.024,))</f>
        <v>0</v>
      </c>
      <c r="AX72" s="35">
        <f>IF(ISBLANK($A72),,ROUNDDOWN(X72*AS6*1.024,))</f>
        <v>0</v>
      </c>
    </row>
    <row r="73" spans="1:50" ht="15">
      <c r="A73" s="35" t="s">
        <v>391</v>
      </c>
      <c r="C73" s="35" t="s">
        <v>333</v>
      </c>
      <c r="D73" s="35" t="s">
        <v>453</v>
      </c>
      <c r="E73" s="35" t="s">
        <v>38</v>
      </c>
      <c r="F73" s="154">
        <v>6</v>
      </c>
      <c r="G73" s="154">
        <v>7</v>
      </c>
      <c r="H73" s="154">
        <v>0</v>
      </c>
      <c r="I73" s="152">
        <v>111</v>
      </c>
      <c r="J73" s="154">
        <f t="shared" si="4"/>
        <v>7</v>
      </c>
      <c r="K73" s="40"/>
      <c r="L73" s="154"/>
      <c r="M73" s="154"/>
      <c r="N73" s="40"/>
      <c r="O73" s="41"/>
      <c r="P73" s="154"/>
      <c r="Q73" s="154"/>
      <c r="R73" s="154"/>
      <c r="S73" s="154"/>
      <c r="T73" s="154"/>
      <c r="U73" s="154"/>
      <c r="V73" s="154"/>
      <c r="X73" s="154"/>
      <c r="Z73" s="154"/>
      <c r="AA73" s="154"/>
      <c r="AB73" s="154"/>
      <c r="AC73" s="154"/>
      <c r="AD73" s="154"/>
      <c r="AE73" s="154"/>
      <c r="AF73" s="180"/>
      <c r="AG73" s="180"/>
      <c r="AH73" s="154"/>
      <c r="AI73" s="154"/>
      <c r="AJ73" s="154" t="s">
        <v>328</v>
      </c>
      <c r="AK73" s="154" t="s">
        <v>329</v>
      </c>
      <c r="AL73" s="154" t="s">
        <v>329</v>
      </c>
      <c r="AO73" s="35">
        <f t="shared" si="5"/>
        <v>7.1680000000000001</v>
      </c>
      <c r="AP73" s="35">
        <f t="shared" si="6"/>
        <v>0</v>
      </c>
      <c r="AQ73" s="35">
        <f>IF(ISBLANK($A73),,ROUNDDOWN(I73*AS6*1.024,))</f>
        <v>102</v>
      </c>
      <c r="AR73" s="35">
        <f>IF(ISBLANK($A73),,ROUNDDOWN(L73*AS6*1.024,))</f>
        <v>0</v>
      </c>
      <c r="AS73" s="35">
        <f>IF(ISBLANK($A73),,ROUNDDOWN(N73*AS6*1.024,))</f>
        <v>0</v>
      </c>
      <c r="AT73" s="35">
        <f>IF(ISBLANK($A73),,ROUNDDOWN(P73*AS6*1.024,))</f>
        <v>0</v>
      </c>
      <c r="AU73" s="35">
        <f>IF(ISBLANK($A73),,ROUNDDOWN(R73*AS6*1.024,))</f>
        <v>0</v>
      </c>
      <c r="AV73" s="115">
        <f t="shared" si="7"/>
        <v>0</v>
      </c>
      <c r="AW73" s="35">
        <f>IF(ISBLANK($A73),,ROUNDDOWN(V73*AS6*1.024,))</f>
        <v>0</v>
      </c>
      <c r="AX73" s="35">
        <f>IF(ISBLANK($A73),,ROUNDDOWN(X73*AS6*1.024,))</f>
        <v>0</v>
      </c>
    </row>
    <row r="74" spans="1:50" ht="15">
      <c r="A74" s="35" t="s">
        <v>517</v>
      </c>
      <c r="C74" s="35" t="s">
        <v>333</v>
      </c>
      <c r="D74" s="35" t="s">
        <v>453</v>
      </c>
      <c r="E74" s="35" t="s">
        <v>38</v>
      </c>
      <c r="F74" s="154">
        <v>6</v>
      </c>
      <c r="G74" s="154">
        <v>7</v>
      </c>
      <c r="H74" s="154">
        <v>0</v>
      </c>
      <c r="I74" s="152">
        <v>111</v>
      </c>
      <c r="J74" s="154">
        <f t="shared" si="4"/>
        <v>7</v>
      </c>
      <c r="K74" s="40"/>
      <c r="L74" s="154"/>
      <c r="M74" s="154"/>
      <c r="N74" s="40"/>
      <c r="O74" s="41"/>
      <c r="P74" s="154"/>
      <c r="Q74" s="154"/>
      <c r="R74" s="154"/>
      <c r="S74" s="154"/>
      <c r="T74" s="154"/>
      <c r="U74" s="154"/>
      <c r="V74" s="154"/>
      <c r="X74" s="154"/>
      <c r="Z74" s="154"/>
      <c r="AA74" s="154"/>
      <c r="AB74" s="154"/>
      <c r="AC74" s="154"/>
      <c r="AD74" s="154"/>
      <c r="AE74" s="154"/>
      <c r="AF74" s="180"/>
      <c r="AG74" s="180"/>
      <c r="AH74" s="154"/>
      <c r="AI74" s="154"/>
      <c r="AJ74" s="154" t="s">
        <v>328</v>
      </c>
      <c r="AK74" s="154" t="s">
        <v>329</v>
      </c>
      <c r="AL74" s="154"/>
      <c r="AO74" s="35">
        <f t="shared" si="5"/>
        <v>7.1680000000000001</v>
      </c>
      <c r="AP74" s="35">
        <f t="shared" si="6"/>
        <v>0</v>
      </c>
      <c r="AQ74" s="35">
        <f>IF(ISBLANK($A74),,ROUNDDOWN(I74*AS6*1.024,))</f>
        <v>102</v>
      </c>
      <c r="AR74" s="35">
        <f>IF(ISBLANK($A74),,ROUNDDOWN(L74*AS6*1.024,))</f>
        <v>0</v>
      </c>
      <c r="AS74" s="35">
        <f>IF(ISBLANK($A74),,ROUNDDOWN(N74*AS6*1.024,))</f>
        <v>0</v>
      </c>
      <c r="AT74" s="35">
        <f>IF(ISBLANK($A74),,ROUNDDOWN(P74*AS6*1.024,))</f>
        <v>0</v>
      </c>
      <c r="AU74" s="35">
        <f>IF(ISBLANK($A74),,ROUNDDOWN(R74*AS6*1.024,))</f>
        <v>0</v>
      </c>
      <c r="AV74" s="115">
        <f t="shared" si="7"/>
        <v>0</v>
      </c>
      <c r="AW74" s="35">
        <f>IF(ISBLANK($A74),,ROUNDDOWN(V74*AS6*1.024,))</f>
        <v>0</v>
      </c>
      <c r="AX74" s="35">
        <f>IF(ISBLANK($A74),,ROUNDDOWN(X74*AS6*1.024,))</f>
        <v>0</v>
      </c>
    </row>
    <row r="75" spans="1:50" ht="15">
      <c r="A75" s="156" t="s">
        <v>392</v>
      </c>
      <c r="B75" s="156"/>
      <c r="C75" s="156"/>
      <c r="D75" s="35" t="s">
        <v>453</v>
      </c>
      <c r="E75" s="156" t="s">
        <v>49</v>
      </c>
      <c r="F75" s="152">
        <v>2</v>
      </c>
      <c r="G75" s="152">
        <v>2</v>
      </c>
      <c r="H75" s="152">
        <v>0</v>
      </c>
      <c r="I75" s="152">
        <v>16</v>
      </c>
      <c r="J75" s="154">
        <f t="shared" si="4"/>
        <v>2</v>
      </c>
      <c r="K75" s="40"/>
      <c r="L75" s="154"/>
      <c r="M75" s="154"/>
      <c r="N75" s="40"/>
      <c r="O75" s="41"/>
      <c r="P75" s="154"/>
      <c r="Q75" s="154"/>
      <c r="R75" s="154"/>
      <c r="S75" s="154"/>
      <c r="T75" s="154"/>
      <c r="U75" s="154"/>
      <c r="V75" s="154"/>
      <c r="X75" s="154"/>
      <c r="Z75" s="154"/>
      <c r="AA75" s="154"/>
      <c r="AB75" s="154"/>
      <c r="AC75" s="154"/>
      <c r="AD75" s="154"/>
      <c r="AE75" s="154"/>
      <c r="AF75" s="180"/>
      <c r="AG75" s="180"/>
      <c r="AH75" s="154"/>
      <c r="AI75" s="154"/>
      <c r="AJ75" s="154" t="s">
        <v>328</v>
      </c>
      <c r="AK75" s="154" t="s">
        <v>329</v>
      </c>
      <c r="AL75" s="154"/>
      <c r="AO75" s="35">
        <f t="shared" si="5"/>
        <v>2.048</v>
      </c>
      <c r="AP75" s="35">
        <f t="shared" si="6"/>
        <v>0</v>
      </c>
      <c r="AQ75" s="35">
        <f>IF(ISBLANK($A75),,ROUNDDOWN(I75*AS6*1.024,))</f>
        <v>14</v>
      </c>
      <c r="AR75" s="35">
        <f>IF(ISBLANK($A75),,ROUNDDOWN(L75*AS6*1.024,))</f>
        <v>0</v>
      </c>
      <c r="AS75" s="35">
        <f>IF(ISBLANK($A75),,ROUNDDOWN(N75*AS6*1.024,))</f>
        <v>0</v>
      </c>
      <c r="AT75" s="35">
        <f>IF(ISBLANK($A75),,ROUNDDOWN(P75*AS6*1.024,))</f>
        <v>0</v>
      </c>
      <c r="AU75" s="35">
        <f>IF(ISBLANK($A75),,ROUNDDOWN(R75*AS6*1.024,))</f>
        <v>0</v>
      </c>
      <c r="AV75" s="115">
        <f t="shared" si="7"/>
        <v>0</v>
      </c>
      <c r="AW75" s="35">
        <f>IF(ISBLANK($A75),,ROUNDDOWN(V75*AS6*1.024,))</f>
        <v>0</v>
      </c>
      <c r="AX75" s="35">
        <f>IF(ISBLANK($A75),,ROUNDDOWN(X75*AS6*1.024,))</f>
        <v>0</v>
      </c>
    </row>
    <row r="76" spans="1:50" ht="15">
      <c r="A76" s="156" t="s">
        <v>393</v>
      </c>
      <c r="B76" s="156"/>
      <c r="C76" s="156"/>
      <c r="D76" s="35" t="s">
        <v>453</v>
      </c>
      <c r="E76" s="156" t="s">
        <v>49</v>
      </c>
      <c r="F76" s="152">
        <v>2</v>
      </c>
      <c r="G76" s="152">
        <v>2</v>
      </c>
      <c r="H76" s="152">
        <v>0</v>
      </c>
      <c r="I76" s="152">
        <v>16</v>
      </c>
      <c r="J76" s="154">
        <f t="shared" si="4"/>
        <v>2</v>
      </c>
      <c r="K76" s="40"/>
      <c r="L76" s="154"/>
      <c r="M76" s="154"/>
      <c r="N76" s="40"/>
      <c r="O76" s="41"/>
      <c r="P76" s="154"/>
      <c r="Q76" s="154"/>
      <c r="R76" s="154"/>
      <c r="S76" s="154"/>
      <c r="T76" s="154"/>
      <c r="U76" s="154"/>
      <c r="V76" s="154"/>
      <c r="X76" s="154"/>
      <c r="Z76" s="154"/>
      <c r="AA76" s="154"/>
      <c r="AB76" s="154"/>
      <c r="AC76" s="154"/>
      <c r="AD76" s="154"/>
      <c r="AE76" s="154"/>
      <c r="AF76" s="180"/>
      <c r="AG76" s="180"/>
      <c r="AH76" s="154"/>
      <c r="AI76" s="154"/>
      <c r="AJ76" s="154" t="s">
        <v>328</v>
      </c>
      <c r="AK76" s="154" t="s">
        <v>329</v>
      </c>
      <c r="AL76" s="154"/>
      <c r="AO76" s="35">
        <f t="shared" si="5"/>
        <v>2.048</v>
      </c>
      <c r="AP76" s="35">
        <f t="shared" si="6"/>
        <v>0</v>
      </c>
      <c r="AQ76" s="35">
        <f>IF(ISBLANK($A76),,ROUNDDOWN(I76*AS6*1.024,))</f>
        <v>14</v>
      </c>
      <c r="AR76" s="35">
        <f>IF(ISBLANK($A76),,ROUNDDOWN(L76*AS6*1.024,))</f>
        <v>0</v>
      </c>
      <c r="AS76" s="35">
        <f>IF(ISBLANK($A76),,ROUNDDOWN(N76*AS6*1.024,))</f>
        <v>0</v>
      </c>
      <c r="AT76" s="35">
        <f>IF(ISBLANK($A76),,ROUNDDOWN(P76*AS6*1.024,))</f>
        <v>0</v>
      </c>
      <c r="AU76" s="35">
        <f>IF(ISBLANK($A76),,ROUNDDOWN(R76*AS6*1.024,))</f>
        <v>0</v>
      </c>
      <c r="AV76" s="115">
        <f t="shared" si="7"/>
        <v>0</v>
      </c>
      <c r="AW76" s="35">
        <f>IF(ISBLANK($A76),,ROUNDDOWN(V76*AS6*1.024,))</f>
        <v>0</v>
      </c>
      <c r="AX76" s="35">
        <f>IF(ISBLANK($A76),,ROUNDDOWN(X76*AS6*1.024,))</f>
        <v>0</v>
      </c>
    </row>
    <row r="77" spans="1:50" ht="15">
      <c r="A77" s="156" t="s">
        <v>394</v>
      </c>
      <c r="B77" s="156"/>
      <c r="C77" s="156" t="s">
        <v>333</v>
      </c>
      <c r="D77" s="35" t="s">
        <v>453</v>
      </c>
      <c r="E77" s="156" t="s">
        <v>53</v>
      </c>
      <c r="F77" s="152">
        <v>6</v>
      </c>
      <c r="G77" s="152">
        <v>5</v>
      </c>
      <c r="H77" s="152">
        <v>0</v>
      </c>
      <c r="I77" s="152">
        <v>41</v>
      </c>
      <c r="J77" s="154">
        <f t="shared" si="4"/>
        <v>5</v>
      </c>
      <c r="K77" s="40"/>
      <c r="L77" s="154"/>
      <c r="M77" s="154"/>
      <c r="N77" s="40"/>
      <c r="O77" s="41"/>
      <c r="P77" s="154"/>
      <c r="Q77" s="154"/>
      <c r="R77" s="154"/>
      <c r="S77" s="154"/>
      <c r="T77" s="154"/>
      <c r="U77" s="154"/>
      <c r="V77" s="154"/>
      <c r="X77" s="154"/>
      <c r="Z77" s="154"/>
      <c r="AA77" s="154"/>
      <c r="AB77" s="154"/>
      <c r="AC77" s="154"/>
      <c r="AD77" s="154"/>
      <c r="AE77" s="154"/>
      <c r="AF77" s="180"/>
      <c r="AG77" s="180"/>
      <c r="AH77" s="154"/>
      <c r="AI77" s="154"/>
      <c r="AJ77" s="154" t="s">
        <v>328</v>
      </c>
      <c r="AK77" s="154" t="s">
        <v>329</v>
      </c>
      <c r="AL77" s="154"/>
      <c r="AO77" s="35">
        <f t="shared" si="5"/>
        <v>5.12</v>
      </c>
      <c r="AP77" s="35">
        <f t="shared" si="6"/>
        <v>0</v>
      </c>
      <c r="AQ77" s="35">
        <f>IF(ISBLANK($A77),,ROUNDDOWN(I77*AS6*1.024,))</f>
        <v>37</v>
      </c>
      <c r="AR77" s="35">
        <f>IF(ISBLANK($A77),,ROUNDDOWN(L77*AS6*1.024,))</f>
        <v>0</v>
      </c>
      <c r="AS77" s="35">
        <f>IF(ISBLANK($A77),,ROUNDDOWN(N77*AS6*1.024,))</f>
        <v>0</v>
      </c>
      <c r="AT77" s="35">
        <f>IF(ISBLANK($A77),,ROUNDDOWN(P77*AS6*1.024,))</f>
        <v>0</v>
      </c>
      <c r="AU77" s="35">
        <f>IF(ISBLANK($A77),,ROUNDDOWN(R77*AS6*1.024,))</f>
        <v>0</v>
      </c>
      <c r="AV77" s="115">
        <f t="shared" si="7"/>
        <v>0</v>
      </c>
      <c r="AW77" s="35">
        <f>IF(ISBLANK($A77),,ROUNDDOWN(V77*AS6*1.024,))</f>
        <v>0</v>
      </c>
      <c r="AX77" s="35">
        <f>IF(ISBLANK($A77),,ROUNDDOWN(X77*AS6*1.024,))</f>
        <v>0</v>
      </c>
    </row>
    <row r="78" spans="1:50" ht="15">
      <c r="A78" s="156" t="s">
        <v>395</v>
      </c>
      <c r="B78" s="156"/>
      <c r="C78" s="156"/>
      <c r="D78" s="35" t="s">
        <v>453</v>
      </c>
      <c r="E78" s="156" t="s">
        <v>57</v>
      </c>
      <c r="F78" s="152">
        <v>2</v>
      </c>
      <c r="G78" s="152">
        <v>2</v>
      </c>
      <c r="H78" s="152">
        <v>0</v>
      </c>
      <c r="I78" s="152">
        <v>31</v>
      </c>
      <c r="J78" s="152">
        <f t="shared" si="4"/>
        <v>2</v>
      </c>
      <c r="K78" s="40"/>
      <c r="L78" s="154"/>
      <c r="M78" s="154"/>
      <c r="N78" s="40"/>
      <c r="O78" s="41"/>
      <c r="P78" s="154"/>
      <c r="Q78" s="154"/>
      <c r="R78" s="154"/>
      <c r="S78" s="154"/>
      <c r="T78" s="154"/>
      <c r="U78" s="154"/>
      <c r="V78" s="154"/>
      <c r="X78" s="154"/>
      <c r="Y78" s="115"/>
      <c r="Z78" s="114"/>
      <c r="AA78" s="114"/>
      <c r="AB78" s="114"/>
      <c r="AC78" s="114"/>
      <c r="AD78" s="114"/>
      <c r="AE78" s="114"/>
      <c r="AF78" s="114"/>
      <c r="AG78" s="114"/>
      <c r="AH78" s="114"/>
      <c r="AI78" s="114"/>
      <c r="AJ78" s="114" t="s">
        <v>328</v>
      </c>
      <c r="AK78" s="114" t="s">
        <v>329</v>
      </c>
      <c r="AL78" s="114"/>
      <c r="AM78" s="115"/>
      <c r="AN78" s="115"/>
      <c r="AO78" s="115">
        <f t="shared" si="5"/>
        <v>2.048</v>
      </c>
      <c r="AP78" s="115">
        <f t="shared" si="6"/>
        <v>0</v>
      </c>
      <c r="AQ78" s="115">
        <f>IF(ISBLANK($A78),,ROUNDDOWN(I78*AS$6*1.024,))</f>
        <v>28</v>
      </c>
      <c r="AR78" s="115">
        <f>IF(ISBLANK($A78),,ROUNDDOWN(L78*AS$6*1.024,))</f>
        <v>0</v>
      </c>
      <c r="AS78" s="115">
        <f>IF(ISBLANK($A78),,ROUNDDOWN(N78*AS$6*1.024,))</f>
        <v>0</v>
      </c>
      <c r="AT78" s="115">
        <f>IF(ISBLANK($A78),,ROUNDDOWN(P78*AS$6*1.024,))</f>
        <v>0</v>
      </c>
      <c r="AU78" s="115">
        <f>IF(ISBLANK($A78),,ROUNDDOWN(R78*AS$6*1.024,))</f>
        <v>0</v>
      </c>
      <c r="AV78" s="115">
        <f t="shared" si="7"/>
        <v>0</v>
      </c>
      <c r="AW78" s="115">
        <f>IF(ISBLANK($A78),,ROUNDDOWN(V78*AS$6*1.024,))</f>
        <v>0</v>
      </c>
      <c r="AX78" s="115">
        <f>IF(ISBLANK($A78),,ROUNDDOWN(X78*AS$6*1.024,))</f>
        <v>0</v>
      </c>
    </row>
    <row r="79" spans="1:50" s="3" customFormat="1" ht="13.5" customHeight="1">
      <c r="A79" s="156" t="s">
        <v>396</v>
      </c>
      <c r="B79" s="156"/>
      <c r="C79" s="156"/>
      <c r="D79" s="156" t="s">
        <v>397</v>
      </c>
      <c r="E79" s="156" t="s">
        <v>398</v>
      </c>
      <c r="F79" s="152">
        <v>4</v>
      </c>
      <c r="G79" s="152">
        <v>16</v>
      </c>
      <c r="H79" s="152">
        <v>0</v>
      </c>
      <c r="I79" s="152">
        <v>150</v>
      </c>
      <c r="J79" s="152">
        <f t="shared" si="4"/>
        <v>16</v>
      </c>
      <c r="K79" s="152" t="s">
        <v>126</v>
      </c>
      <c r="L79" s="152"/>
      <c r="M79" s="152"/>
      <c r="N79" s="1"/>
      <c r="O79"/>
      <c r="P79" s="152"/>
      <c r="Q79" s="152"/>
      <c r="R79" s="152"/>
      <c r="S79" s="152"/>
      <c r="T79" s="152"/>
      <c r="U79" s="152"/>
      <c r="V79" s="152">
        <v>3000</v>
      </c>
      <c r="W79" s="152" t="s">
        <v>126</v>
      </c>
      <c r="X79" s="152"/>
      <c r="Y79" s="101"/>
      <c r="Z79" s="101"/>
      <c r="AA79" s="101"/>
      <c r="AB79" s="101"/>
      <c r="AC79" s="101"/>
      <c r="AD79" s="101"/>
      <c r="AE79" s="101"/>
      <c r="AF79" s="101"/>
      <c r="AG79" s="101"/>
      <c r="AH79" s="101"/>
      <c r="AI79" s="101"/>
      <c r="AJ79" s="102"/>
      <c r="AK79" s="102"/>
      <c r="AL79" s="102"/>
      <c r="AM79" s="156"/>
      <c r="AN79" s="156"/>
      <c r="AO79" s="156">
        <f t="shared" si="5"/>
        <v>16.384</v>
      </c>
      <c r="AP79" s="156">
        <f t="shared" si="6"/>
        <v>0</v>
      </c>
      <c r="AQ79" s="35">
        <f>IF(ISBLANK($A79),,ROUNDDOWN(I79*AS$6*1.024,))</f>
        <v>138</v>
      </c>
      <c r="AR79" s="35">
        <f>IF(ISBLANK($A79),,ROUNDDOWN(L79*AS$6*1.024,))</f>
        <v>0</v>
      </c>
      <c r="AS79" s="35">
        <f>IF(ISBLANK($A79),,ROUNDDOWN(N79*AS$6*1.024,))</f>
        <v>0</v>
      </c>
      <c r="AT79" s="35">
        <f>IF(ISBLANK($A79),,ROUNDDOWN(P79*AS$6*1.024,))</f>
        <v>0</v>
      </c>
      <c r="AU79" s="35">
        <f>IF(ISBLANK($A79),,ROUNDDOWN(R79*AS$6*1.024,))</f>
        <v>0</v>
      </c>
      <c r="AV79" s="115">
        <f t="shared" si="7"/>
        <v>0</v>
      </c>
      <c r="AW79" s="35">
        <f>IF(ISBLANK($A79),,ROUNDDOWN(V79*AS$6*1.024,))</f>
        <v>2764</v>
      </c>
      <c r="AX79" s="35">
        <f>IF(ISBLANK($A79),,ROUNDDOWN(X79*AS$6*1.024,))</f>
        <v>0</v>
      </c>
    </row>
    <row r="80" spans="1:50" s="3" customFormat="1" ht="13.5" customHeight="1">
      <c r="A80" s="156" t="s">
        <v>399</v>
      </c>
      <c r="B80" s="156"/>
      <c r="C80" s="156"/>
      <c r="D80" s="156" t="s">
        <v>397</v>
      </c>
      <c r="E80" s="156" t="s">
        <v>400</v>
      </c>
      <c r="F80" s="152">
        <v>4</v>
      </c>
      <c r="G80" s="152">
        <v>4</v>
      </c>
      <c r="H80" s="152">
        <v>0</v>
      </c>
      <c r="I80" s="152">
        <v>21</v>
      </c>
      <c r="J80" s="152">
        <f t="shared" si="4"/>
        <v>4</v>
      </c>
      <c r="K80" s="152" t="s">
        <v>126</v>
      </c>
      <c r="L80" s="152"/>
      <c r="M80" s="152"/>
      <c r="N80" s="1"/>
      <c r="O80"/>
      <c r="P80" s="152"/>
      <c r="Q80" s="152"/>
      <c r="R80" s="152"/>
      <c r="S80" s="152"/>
      <c r="T80" s="152"/>
      <c r="U80" s="152"/>
      <c r="V80" s="152">
        <v>0</v>
      </c>
      <c r="W80" s="152" t="s">
        <v>126</v>
      </c>
      <c r="X80" s="152"/>
      <c r="Y80" s="101"/>
      <c r="Z80" s="101"/>
      <c r="AA80" s="101"/>
      <c r="AB80" s="101"/>
      <c r="AC80" s="101"/>
      <c r="AD80" s="101"/>
      <c r="AE80" s="101"/>
      <c r="AF80" s="101"/>
      <c r="AG80" s="101"/>
      <c r="AH80" s="101"/>
      <c r="AI80" s="101"/>
      <c r="AJ80" s="102"/>
      <c r="AK80" s="102"/>
      <c r="AL80" s="102"/>
      <c r="AM80" s="101"/>
      <c r="AN80" s="101"/>
      <c r="AO80" s="101">
        <f t="shared" si="5"/>
        <v>4.0960000000000001</v>
      </c>
      <c r="AP80" s="101">
        <f t="shared" si="6"/>
        <v>0</v>
      </c>
      <c r="AQ80" s="115">
        <f>IF(ISBLANK($A80),,ROUNDDOWN(I80*AS$6*1.024,))</f>
        <v>19</v>
      </c>
      <c r="AR80" s="115">
        <f>IF(ISBLANK($A80),,ROUNDDOWN(L80*AS$6*1.024,))</f>
        <v>0</v>
      </c>
      <c r="AS80" s="115">
        <f>IF(ISBLANK($A80),,ROUNDDOWN(N80*AS$6*1.024,))</f>
        <v>0</v>
      </c>
      <c r="AT80" s="115">
        <f>IF(ISBLANK($A80),,ROUNDDOWN(P80*AS$6*1.024,))</f>
        <v>0</v>
      </c>
      <c r="AU80" s="115">
        <f>IF(ISBLANK($A80),,ROUNDDOWN(R80*AS$6*1.024,))</f>
        <v>0</v>
      </c>
      <c r="AV80" s="115">
        <f t="shared" si="7"/>
        <v>0</v>
      </c>
      <c r="AW80" s="115">
        <f>IF(ISBLANK($A80),,ROUNDDOWN(V80*AS$6*1.024,))</f>
        <v>0</v>
      </c>
      <c r="AX80" s="115">
        <f>IF(ISBLANK($A80),,ROUNDDOWN(X80*AS$6*1.024,))</f>
        <v>0</v>
      </c>
    </row>
    <row r="81" spans="1:50" s="13" customFormat="1" ht="13.5" customHeight="1">
      <c r="A81" s="13" t="s">
        <v>693</v>
      </c>
      <c r="C81" s="13" t="s">
        <v>333</v>
      </c>
      <c r="D81" s="42" t="s">
        <v>453</v>
      </c>
      <c r="E81" s="182" t="s">
        <v>694</v>
      </c>
      <c r="F81" s="186">
        <f>IF(OR(E52=1,E52=2,E52=3,E52=4),VLOOKUP(E52,A150:F155,2,FALSE),VLOOKUP(1,A150:F155,2,FALSE))</f>
        <v>8</v>
      </c>
      <c r="G81" s="186">
        <f>IF(OR(E52=1,E52=2,E52=3,E52=4),VLOOKUP(E52,A150:F155,3,FALSE),VLOOKUP(1,A150:F155,3,FALSE))</f>
        <v>24</v>
      </c>
      <c r="H81" s="8">
        <v>0</v>
      </c>
      <c r="I81" s="8">
        <v>71</v>
      </c>
      <c r="J81" s="8">
        <f t="shared" si="4"/>
        <v>24</v>
      </c>
      <c r="K81" s="36"/>
      <c r="L81" s="8"/>
      <c r="M81" s="8"/>
      <c r="N81" s="134"/>
      <c r="O81" s="133"/>
      <c r="P81" s="8"/>
      <c r="Q81" s="8"/>
      <c r="R81" s="8"/>
      <c r="S81" s="8"/>
      <c r="T81" s="8"/>
      <c r="U81" s="8"/>
      <c r="V81" s="8"/>
      <c r="W81" s="8"/>
      <c r="X81" s="8"/>
      <c r="AF81" s="186">
        <f>IF(OR(E52=1,E52=2,E52=3,E52=4),VLOOKUP(E52,A150:F155,4,FALSE),VLOOKUP(1,A150:F155,4,FALSE))</f>
        <v>200</v>
      </c>
      <c r="AG81" s="36" t="s">
        <v>695</v>
      </c>
      <c r="AJ81" s="8" t="s">
        <v>328</v>
      </c>
      <c r="AK81" s="8" t="s">
        <v>329</v>
      </c>
      <c r="AL81" s="8"/>
      <c r="AO81" s="42">
        <f t="shared" si="5"/>
        <v>24.576000000000001</v>
      </c>
      <c r="AP81" s="13">
        <f t="shared" si="6"/>
        <v>0</v>
      </c>
      <c r="AQ81" s="42">
        <f>IF(ISBLANK($A81),,ROUNDDOWN(I81*AS$6*1.024,))</f>
        <v>65</v>
      </c>
      <c r="AR81" s="42">
        <f>IF(ISBLANK($A81),,ROUNDDOWN(L81*AS$6*1.024,))</f>
        <v>0</v>
      </c>
      <c r="AS81" s="42">
        <f>IF(ISBLANK($A81),,ROUNDDOWN(N81*AS$6*1.024,))</f>
        <v>0</v>
      </c>
      <c r="AT81" s="42">
        <f>IF(ISBLANK($A81),,ROUNDDOWN(P81*AS$6*1.024,))</f>
        <v>0</v>
      </c>
      <c r="AU81" s="42">
        <f>IF(ISBLANK($A81),,ROUNDDOWN(R81*AS$6*1.024,))</f>
        <v>0</v>
      </c>
      <c r="AV81" s="42">
        <f t="shared" si="7"/>
        <v>0</v>
      </c>
      <c r="AW81" s="42">
        <f>IF(ISBLANK($A81),,ROUNDDOWN(V81*AS$6*1.024,))</f>
        <v>0</v>
      </c>
      <c r="AX81" s="42">
        <f>IF(ISBLANK($A81),,ROUNDDOWN(X81*AS$6*1.024,))</f>
        <v>0</v>
      </c>
    </row>
    <row r="82" spans="1:50">
      <c r="A82" s="43"/>
      <c r="B82" s="43"/>
      <c r="C82" s="43"/>
      <c r="D82" s="43"/>
      <c r="E82" s="43"/>
      <c r="F82" s="44">
        <f>SUM(F55:F81)+F44</f>
        <v>350</v>
      </c>
      <c r="G82" s="44">
        <f>SUM(G55:G81)+G44</f>
        <v>943</v>
      </c>
      <c r="H82" s="44">
        <f>SUM(H55:H81)+H44</f>
        <v>359.25</v>
      </c>
      <c r="I82" s="44">
        <f>SUM(I55:I81)+I44</f>
        <v>5997</v>
      </c>
      <c r="J82" s="44"/>
      <c r="K82" s="44"/>
      <c r="L82" s="44">
        <f>SUM(L55:L81)+L44</f>
        <v>130</v>
      </c>
      <c r="M82" s="44"/>
      <c r="N82" s="44">
        <f>SUM(N55:N81)+N44</f>
        <v>2500</v>
      </c>
      <c r="O82" s="44"/>
      <c r="P82" s="44">
        <f>SUM(P55:P81)+P44</f>
        <v>3750</v>
      </c>
      <c r="Q82" s="44"/>
      <c r="R82" s="44">
        <f>SUM(R55:R81)+R44</f>
        <v>530</v>
      </c>
      <c r="S82" s="44"/>
      <c r="T82" s="44">
        <f>SUM(T55:T81)+T44</f>
        <v>300</v>
      </c>
      <c r="U82" s="44"/>
      <c r="V82" s="44">
        <f>SUM(V55:V81)+V44</f>
        <v>3000</v>
      </c>
      <c r="W82" s="44"/>
      <c r="X82" s="44">
        <f>SUM(X55:X81)+X44</f>
        <v>11375</v>
      </c>
      <c r="Z82" s="44">
        <f>SUM(Z55:Z81)+Z44</f>
        <v>200</v>
      </c>
      <c r="AB82" s="44">
        <f>SUM(AB55:AB81)+AB44</f>
        <v>50</v>
      </c>
      <c r="AD82" s="44">
        <f>SUM(AD55:AD81)+AD44</f>
        <v>170</v>
      </c>
      <c r="AF82" s="44">
        <f>SUM(AF55:AF81)+AF44</f>
        <v>200</v>
      </c>
      <c r="AH82" s="44">
        <f>SUM(AH55:AH81)+AH44</f>
        <v>3700</v>
      </c>
      <c r="AK82" s="154" t="s">
        <v>702</v>
      </c>
      <c r="AL82" s="154">
        <f>3</f>
        <v>3</v>
      </c>
    </row>
    <row r="84" spans="1:50">
      <c r="A84" s="7" t="s">
        <v>401</v>
      </c>
      <c r="F84" s="154"/>
      <c r="G84" s="154"/>
      <c r="H84" s="154"/>
      <c r="I84" s="154"/>
      <c r="J84" s="154"/>
      <c r="K84" s="154"/>
      <c r="L84" s="154"/>
      <c r="M84" s="154"/>
      <c r="N84" s="154"/>
      <c r="O84" s="154"/>
      <c r="P84" s="154"/>
      <c r="Q84" s="154"/>
      <c r="R84" s="154"/>
      <c r="S84" s="154"/>
      <c r="T84" s="154"/>
      <c r="U84" s="154"/>
      <c r="V84" s="154"/>
      <c r="W84" s="154"/>
      <c r="X84" s="154"/>
      <c r="Z84" s="154"/>
      <c r="AK84" s="154"/>
      <c r="AL84" s="154"/>
    </row>
    <row r="85" spans="1:50" s="3" customFormat="1" ht="13.5" customHeight="1">
      <c r="A85" s="156" t="s">
        <v>402</v>
      </c>
      <c r="B85" s="156"/>
      <c r="C85" s="156" t="s">
        <v>69</v>
      </c>
      <c r="D85" s="156" t="s">
        <v>403</v>
      </c>
      <c r="E85" s="156" t="s">
        <v>404</v>
      </c>
      <c r="F85" s="152">
        <v>2</v>
      </c>
      <c r="G85" s="152">
        <v>8</v>
      </c>
      <c r="H85" s="152">
        <v>0</v>
      </c>
      <c r="I85" s="152">
        <v>200</v>
      </c>
      <c r="J85" s="154">
        <v>0</v>
      </c>
      <c r="K85" s="1" t="s">
        <v>405</v>
      </c>
      <c r="L85" s="152"/>
      <c r="M85" s="152"/>
      <c r="N85" s="1"/>
      <c r="O85"/>
      <c r="P85" s="152"/>
      <c r="Q85" s="152"/>
      <c r="R85" s="152"/>
      <c r="S85" s="152"/>
      <c r="T85" s="152"/>
      <c r="U85" s="152"/>
      <c r="V85" s="152"/>
      <c r="W85" s="152"/>
      <c r="X85" s="152"/>
      <c r="Y85" s="156"/>
      <c r="Z85" s="156"/>
      <c r="AA85" s="156"/>
      <c r="AB85" s="156"/>
      <c r="AC85" s="156"/>
      <c r="AD85" s="156"/>
      <c r="AE85" s="156"/>
      <c r="AF85" s="156"/>
      <c r="AG85" s="156"/>
      <c r="AH85" s="156"/>
      <c r="AI85" s="156"/>
      <c r="AJ85" s="152" t="s">
        <v>406</v>
      </c>
      <c r="AK85" s="152" t="s">
        <v>329</v>
      </c>
      <c r="AL85" s="152"/>
      <c r="AM85" s="156"/>
      <c r="AN85" s="156"/>
      <c r="AO85" s="156">
        <f t="shared" ref="AO85:AO95" si="8">IF(ISBLANK($A85),,G85*1.024)</f>
        <v>8.1920000000000002</v>
      </c>
      <c r="AP85" s="156">
        <f t="shared" ref="AP85:AP95" si="9">IF(ISBLANK($A85),,H85*1.024)</f>
        <v>0</v>
      </c>
      <c r="AQ85" s="156">
        <f t="shared" ref="AQ85:AQ95" si="10">IF(ISBLANK($A85),,ROUNDDOWN(I85*$AS$6*1.024,))</f>
        <v>184</v>
      </c>
      <c r="AR85" s="156">
        <f t="shared" ref="AR85:AR95" si="11">IF(ISBLANK($A85),,ROUNDDOWN(L85*$AS$6*1.024,))</f>
        <v>0</v>
      </c>
      <c r="AS85" s="156">
        <f t="shared" ref="AS85:AS95" si="12">IF(ISBLANK($A85),,ROUNDDOWN(N85*$AS$6*1.024,))</f>
        <v>0</v>
      </c>
      <c r="AT85" s="156">
        <f t="shared" ref="AT85:AT95" si="13">IF(ISBLANK($A85),,ROUNDDOWN(P85*$AS$6*1.024,))</f>
        <v>0</v>
      </c>
      <c r="AU85" s="156">
        <f t="shared" ref="AU85:AU95" si="14">IF(ISBLANK($A85),,ROUNDDOWN(R85*$AS$6*1.024,))</f>
        <v>0</v>
      </c>
      <c r="AV85" s="156">
        <f t="shared" ref="AV85:AV95" si="15">IF(ISBLANK($A85),,ROUNDDOWN(V85*$AS$6*1.024,))</f>
        <v>0</v>
      </c>
      <c r="AW85" s="156">
        <f t="shared" ref="AW85:AW95" si="16">IF(ISBLANK($A85),,ROUNDDOWN(X85*$AS$6*1.024,))</f>
        <v>0</v>
      </c>
      <c r="AX85" s="115">
        <f t="shared" ref="AX85:AX95" si="17">IF(ISBLANK($A85),,ROUNDDOWN(X85*AS$6*1.024,))</f>
        <v>0</v>
      </c>
    </row>
    <row r="86" spans="1:50" s="3" customFormat="1" ht="13.5" customHeight="1">
      <c r="A86" s="156" t="s">
        <v>407</v>
      </c>
      <c r="B86" s="156"/>
      <c r="C86" s="156" t="s">
        <v>69</v>
      </c>
      <c r="D86" s="156" t="s">
        <v>403</v>
      </c>
      <c r="E86" s="156" t="s">
        <v>408</v>
      </c>
      <c r="F86" s="152">
        <v>4</v>
      </c>
      <c r="G86" s="152">
        <v>8</v>
      </c>
      <c r="H86" s="152">
        <v>0</v>
      </c>
      <c r="I86" s="152">
        <v>220</v>
      </c>
      <c r="J86" s="152">
        <v>0</v>
      </c>
      <c r="K86" s="1" t="s">
        <v>405</v>
      </c>
      <c r="L86" s="152"/>
      <c r="M86" s="152"/>
      <c r="N86" s="1"/>
      <c r="O86"/>
      <c r="P86" s="152"/>
      <c r="Q86" s="152"/>
      <c r="R86" s="152"/>
      <c r="S86" s="152"/>
      <c r="T86" s="152"/>
      <c r="U86" s="152"/>
      <c r="V86" s="152"/>
      <c r="W86" s="152"/>
      <c r="X86" s="152"/>
      <c r="Y86" s="156"/>
      <c r="Z86" s="156"/>
      <c r="AA86" s="156"/>
      <c r="AB86" s="156"/>
      <c r="AC86" s="156"/>
      <c r="AD86" s="156"/>
      <c r="AE86" s="156"/>
      <c r="AF86" s="156"/>
      <c r="AG86" s="156"/>
      <c r="AH86" s="156"/>
      <c r="AI86" s="156"/>
      <c r="AJ86" s="152" t="s">
        <v>406</v>
      </c>
      <c r="AK86" s="152" t="s">
        <v>329</v>
      </c>
      <c r="AL86" s="152"/>
      <c r="AM86" s="156"/>
      <c r="AN86" s="156"/>
      <c r="AO86" s="156">
        <f t="shared" si="8"/>
        <v>8.1920000000000002</v>
      </c>
      <c r="AP86" s="156">
        <f t="shared" si="9"/>
        <v>0</v>
      </c>
      <c r="AQ86" s="156">
        <f t="shared" si="10"/>
        <v>202</v>
      </c>
      <c r="AR86" s="156">
        <f t="shared" si="11"/>
        <v>0</v>
      </c>
      <c r="AS86" s="156">
        <f t="shared" si="12"/>
        <v>0</v>
      </c>
      <c r="AT86" s="156">
        <f t="shared" si="13"/>
        <v>0</v>
      </c>
      <c r="AU86" s="156">
        <f t="shared" si="14"/>
        <v>0</v>
      </c>
      <c r="AV86" s="156">
        <f t="shared" si="15"/>
        <v>0</v>
      </c>
      <c r="AW86" s="156">
        <f t="shared" si="16"/>
        <v>0</v>
      </c>
      <c r="AX86" s="115">
        <f t="shared" si="17"/>
        <v>0</v>
      </c>
    </row>
    <row r="87" spans="1:50" s="3" customFormat="1" ht="13.5" customHeight="1">
      <c r="A87" s="156" t="s">
        <v>409</v>
      </c>
      <c r="B87" s="156"/>
      <c r="C87" s="156" t="s">
        <v>69</v>
      </c>
      <c r="D87" s="156" t="s">
        <v>403</v>
      </c>
      <c r="E87" s="156" t="s">
        <v>410</v>
      </c>
      <c r="F87" s="152">
        <v>4</v>
      </c>
      <c r="G87" s="152">
        <v>8</v>
      </c>
      <c r="H87" s="152">
        <v>0</v>
      </c>
      <c r="I87" s="152">
        <v>220</v>
      </c>
      <c r="J87" s="152">
        <v>0</v>
      </c>
      <c r="K87" s="1" t="s">
        <v>405</v>
      </c>
      <c r="L87" s="152"/>
      <c r="M87" s="152"/>
      <c r="N87" s="1"/>
      <c r="O87"/>
      <c r="P87" s="152"/>
      <c r="Q87" s="152"/>
      <c r="R87" s="152"/>
      <c r="S87" s="152"/>
      <c r="T87" s="152"/>
      <c r="U87" s="152"/>
      <c r="V87" s="152"/>
      <c r="W87" s="152"/>
      <c r="X87" s="152"/>
      <c r="Y87" s="156"/>
      <c r="Z87" s="156"/>
      <c r="AA87" s="156"/>
      <c r="AB87" s="156"/>
      <c r="AC87" s="156"/>
      <c r="AD87" s="156"/>
      <c r="AE87" s="156"/>
      <c r="AF87" s="156"/>
      <c r="AG87" s="156"/>
      <c r="AH87" s="156"/>
      <c r="AI87" s="156"/>
      <c r="AJ87" s="152" t="s">
        <v>406</v>
      </c>
      <c r="AK87" s="152" t="s">
        <v>329</v>
      </c>
      <c r="AL87" s="152"/>
      <c r="AM87" s="156"/>
      <c r="AN87" s="156"/>
      <c r="AO87" s="156">
        <f t="shared" si="8"/>
        <v>8.1920000000000002</v>
      </c>
      <c r="AP87" s="156">
        <f t="shared" si="9"/>
        <v>0</v>
      </c>
      <c r="AQ87" s="156">
        <f t="shared" si="10"/>
        <v>202</v>
      </c>
      <c r="AR87" s="156">
        <f t="shared" si="11"/>
        <v>0</v>
      </c>
      <c r="AS87" s="156">
        <f t="shared" si="12"/>
        <v>0</v>
      </c>
      <c r="AT87" s="156">
        <f t="shared" si="13"/>
        <v>0</v>
      </c>
      <c r="AU87" s="156">
        <f t="shared" si="14"/>
        <v>0</v>
      </c>
      <c r="AV87" s="156">
        <f t="shared" si="15"/>
        <v>0</v>
      </c>
      <c r="AW87" s="156">
        <f t="shared" si="16"/>
        <v>0</v>
      </c>
      <c r="AX87" s="115">
        <f t="shared" si="17"/>
        <v>0</v>
      </c>
    </row>
    <row r="88" spans="1:50" s="3" customFormat="1" ht="13.5" customHeight="1">
      <c r="A88" s="156" t="s">
        <v>411</v>
      </c>
      <c r="B88" s="156"/>
      <c r="C88" s="156" t="s">
        <v>69</v>
      </c>
      <c r="D88" s="156" t="s">
        <v>403</v>
      </c>
      <c r="E88" s="156" t="s">
        <v>412</v>
      </c>
      <c r="F88" s="152">
        <v>4</v>
      </c>
      <c r="G88" s="152">
        <v>8</v>
      </c>
      <c r="H88" s="152">
        <v>0</v>
      </c>
      <c r="I88" s="152">
        <v>220</v>
      </c>
      <c r="J88" s="152">
        <v>0</v>
      </c>
      <c r="K88" s="1" t="s">
        <v>405</v>
      </c>
      <c r="L88" s="152"/>
      <c r="M88" s="152"/>
      <c r="N88" s="1"/>
      <c r="O88"/>
      <c r="P88" s="152"/>
      <c r="Q88" s="152"/>
      <c r="R88" s="152"/>
      <c r="S88" s="152"/>
      <c r="T88" s="152"/>
      <c r="U88" s="152"/>
      <c r="V88" s="152"/>
      <c r="W88" s="152"/>
      <c r="X88" s="152"/>
      <c r="Y88" s="156"/>
      <c r="Z88" s="156"/>
      <c r="AA88" s="156"/>
      <c r="AB88" s="156"/>
      <c r="AC88" s="156"/>
      <c r="AD88" s="156"/>
      <c r="AE88" s="156"/>
      <c r="AF88" s="156"/>
      <c r="AG88" s="156"/>
      <c r="AH88" s="156"/>
      <c r="AI88" s="156"/>
      <c r="AJ88" s="152" t="s">
        <v>406</v>
      </c>
      <c r="AK88" s="152" t="s">
        <v>329</v>
      </c>
      <c r="AL88" s="152"/>
      <c r="AM88" s="156"/>
      <c r="AN88" s="156"/>
      <c r="AO88" s="156">
        <f t="shared" si="8"/>
        <v>8.1920000000000002</v>
      </c>
      <c r="AP88" s="156">
        <f t="shared" si="9"/>
        <v>0</v>
      </c>
      <c r="AQ88" s="156">
        <f t="shared" si="10"/>
        <v>202</v>
      </c>
      <c r="AR88" s="156">
        <f t="shared" si="11"/>
        <v>0</v>
      </c>
      <c r="AS88" s="156">
        <f t="shared" si="12"/>
        <v>0</v>
      </c>
      <c r="AT88" s="156">
        <f t="shared" si="13"/>
        <v>0</v>
      </c>
      <c r="AU88" s="156">
        <f t="shared" si="14"/>
        <v>0</v>
      </c>
      <c r="AV88" s="156">
        <f t="shared" si="15"/>
        <v>0</v>
      </c>
      <c r="AW88" s="156">
        <f t="shared" si="16"/>
        <v>0</v>
      </c>
      <c r="AX88" s="115">
        <f t="shared" si="17"/>
        <v>0</v>
      </c>
    </row>
    <row r="89" spans="1:50" s="3" customFormat="1" ht="13.5" customHeight="1">
      <c r="A89" s="156" t="s">
        <v>413</v>
      </c>
      <c r="B89" s="156"/>
      <c r="C89" s="156" t="s">
        <v>69</v>
      </c>
      <c r="D89" s="156" t="s">
        <v>403</v>
      </c>
      <c r="E89" s="156" t="s">
        <v>414</v>
      </c>
      <c r="F89" s="152">
        <v>3</v>
      </c>
      <c r="G89" s="152">
        <v>4</v>
      </c>
      <c r="H89" s="152">
        <v>0</v>
      </c>
      <c r="I89" s="152">
        <v>50</v>
      </c>
      <c r="J89" s="152">
        <v>0</v>
      </c>
      <c r="K89" s="1" t="s">
        <v>405</v>
      </c>
      <c r="L89" s="152"/>
      <c r="M89" s="152"/>
      <c r="N89" s="1"/>
      <c r="O89"/>
      <c r="P89" s="152"/>
      <c r="Q89" s="152"/>
      <c r="R89" s="152"/>
      <c r="S89" s="152"/>
      <c r="T89" s="152"/>
      <c r="U89" s="152"/>
      <c r="V89" s="152"/>
      <c r="W89" s="152"/>
      <c r="X89" s="152"/>
      <c r="Y89" s="156"/>
      <c r="Z89" s="156"/>
      <c r="AA89" s="156"/>
      <c r="AB89" s="156"/>
      <c r="AC89" s="156"/>
      <c r="AD89" s="156"/>
      <c r="AE89" s="156"/>
      <c r="AF89" s="156"/>
      <c r="AG89" s="156"/>
      <c r="AH89" s="156"/>
      <c r="AI89" s="156"/>
      <c r="AJ89" s="152" t="s">
        <v>406</v>
      </c>
      <c r="AK89" s="152" t="s">
        <v>329</v>
      </c>
      <c r="AL89" s="152"/>
      <c r="AM89" s="156"/>
      <c r="AN89" s="156"/>
      <c r="AO89" s="156">
        <f t="shared" si="8"/>
        <v>4.0960000000000001</v>
      </c>
      <c r="AP89" s="156">
        <f t="shared" si="9"/>
        <v>0</v>
      </c>
      <c r="AQ89" s="156">
        <f t="shared" si="10"/>
        <v>46</v>
      </c>
      <c r="AR89" s="156">
        <f t="shared" si="11"/>
        <v>0</v>
      </c>
      <c r="AS89" s="156">
        <f t="shared" si="12"/>
        <v>0</v>
      </c>
      <c r="AT89" s="156">
        <f t="shared" si="13"/>
        <v>0</v>
      </c>
      <c r="AU89" s="156">
        <f t="shared" si="14"/>
        <v>0</v>
      </c>
      <c r="AV89" s="156">
        <f t="shared" si="15"/>
        <v>0</v>
      </c>
      <c r="AW89" s="156">
        <f t="shared" si="16"/>
        <v>0</v>
      </c>
      <c r="AX89" s="115">
        <f t="shared" si="17"/>
        <v>0</v>
      </c>
    </row>
    <row r="90" spans="1:50" s="3" customFormat="1" ht="13.5" customHeight="1">
      <c r="A90" s="156" t="s">
        <v>415</v>
      </c>
      <c r="B90" s="156"/>
      <c r="C90" s="156" t="s">
        <v>69</v>
      </c>
      <c r="D90" s="156" t="s">
        <v>403</v>
      </c>
      <c r="E90" s="156" t="s">
        <v>416</v>
      </c>
      <c r="F90" s="152">
        <v>3</v>
      </c>
      <c r="G90" s="152">
        <v>4</v>
      </c>
      <c r="H90" s="152">
        <v>0</v>
      </c>
      <c r="I90" s="152">
        <v>50</v>
      </c>
      <c r="J90" s="152">
        <v>0</v>
      </c>
      <c r="K90" s="152" t="s">
        <v>405</v>
      </c>
      <c r="L90" s="152"/>
      <c r="M90" s="152"/>
      <c r="N90" s="1"/>
      <c r="O90"/>
      <c r="P90" s="152"/>
      <c r="Q90" s="152"/>
      <c r="R90" s="152"/>
      <c r="S90" s="152"/>
      <c r="T90" s="152"/>
      <c r="U90" s="152"/>
      <c r="V90" s="152"/>
      <c r="W90" s="152"/>
      <c r="X90" s="152"/>
      <c r="Y90" s="156"/>
      <c r="Z90" s="156"/>
      <c r="AA90" s="156"/>
      <c r="AB90" s="156"/>
      <c r="AC90" s="156"/>
      <c r="AD90" s="156"/>
      <c r="AE90" s="156"/>
      <c r="AF90" s="156"/>
      <c r="AG90" s="156"/>
      <c r="AH90" s="156"/>
      <c r="AI90" s="156"/>
      <c r="AJ90" s="152" t="s">
        <v>406</v>
      </c>
      <c r="AK90" s="152" t="s">
        <v>329</v>
      </c>
      <c r="AL90" s="152"/>
      <c r="AM90" s="156"/>
      <c r="AN90" s="156"/>
      <c r="AO90" s="156">
        <f t="shared" si="8"/>
        <v>4.0960000000000001</v>
      </c>
      <c r="AP90" s="156">
        <f t="shared" si="9"/>
        <v>0</v>
      </c>
      <c r="AQ90" s="156">
        <f t="shared" si="10"/>
        <v>46</v>
      </c>
      <c r="AR90" s="156">
        <f t="shared" si="11"/>
        <v>0</v>
      </c>
      <c r="AS90" s="156">
        <f t="shared" si="12"/>
        <v>0</v>
      </c>
      <c r="AT90" s="156">
        <f t="shared" si="13"/>
        <v>0</v>
      </c>
      <c r="AU90" s="156">
        <f t="shared" si="14"/>
        <v>0</v>
      </c>
      <c r="AV90" s="156">
        <f t="shared" si="15"/>
        <v>0</v>
      </c>
      <c r="AW90" s="156">
        <f t="shared" si="16"/>
        <v>0</v>
      </c>
      <c r="AX90" s="115">
        <f t="shared" si="17"/>
        <v>0</v>
      </c>
    </row>
    <row r="91" spans="1:50" s="3" customFormat="1" ht="13.5" customHeight="1">
      <c r="A91" s="156" t="s">
        <v>417</v>
      </c>
      <c r="B91" s="156"/>
      <c r="C91" s="156" t="s">
        <v>69</v>
      </c>
      <c r="D91" s="156" t="s">
        <v>403</v>
      </c>
      <c r="E91" s="156" t="s">
        <v>418</v>
      </c>
      <c r="F91" s="152">
        <v>16</v>
      </c>
      <c r="G91" s="152">
        <v>96</v>
      </c>
      <c r="H91" s="152">
        <v>0</v>
      </c>
      <c r="I91" s="152">
        <v>50</v>
      </c>
      <c r="J91" s="152">
        <v>0</v>
      </c>
      <c r="K91" s="152" t="s">
        <v>405</v>
      </c>
      <c r="L91" s="152"/>
      <c r="M91" s="152"/>
      <c r="N91" s="1"/>
      <c r="O91"/>
      <c r="P91" s="152"/>
      <c r="Q91" s="152"/>
      <c r="R91" s="152"/>
      <c r="S91" s="152"/>
      <c r="T91" s="152"/>
      <c r="U91" s="152"/>
      <c r="V91" s="152"/>
      <c r="W91" s="152"/>
      <c r="X91" s="152"/>
      <c r="Y91" s="156"/>
      <c r="Z91" s="156"/>
      <c r="AA91" s="156"/>
      <c r="AB91" s="156"/>
      <c r="AC91" s="156"/>
      <c r="AD91" s="156"/>
      <c r="AE91" s="156"/>
      <c r="AF91" s="156"/>
      <c r="AG91" s="156"/>
      <c r="AH91" s="156"/>
      <c r="AI91" s="156"/>
      <c r="AJ91" s="152" t="s">
        <v>419</v>
      </c>
      <c r="AK91" s="152"/>
      <c r="AL91" s="152"/>
      <c r="AM91" s="156"/>
      <c r="AN91" s="156"/>
      <c r="AO91" s="156">
        <f t="shared" si="8"/>
        <v>98.304000000000002</v>
      </c>
      <c r="AP91" s="156">
        <f t="shared" si="9"/>
        <v>0</v>
      </c>
      <c r="AQ91" s="156">
        <f t="shared" si="10"/>
        <v>46</v>
      </c>
      <c r="AR91" s="156">
        <f t="shared" si="11"/>
        <v>0</v>
      </c>
      <c r="AS91" s="156">
        <f t="shared" si="12"/>
        <v>0</v>
      </c>
      <c r="AT91" s="156">
        <f t="shared" si="13"/>
        <v>0</v>
      </c>
      <c r="AU91" s="156">
        <f t="shared" si="14"/>
        <v>0</v>
      </c>
      <c r="AV91" s="156">
        <f t="shared" si="15"/>
        <v>0</v>
      </c>
      <c r="AW91" s="156">
        <f t="shared" si="16"/>
        <v>0</v>
      </c>
      <c r="AX91" s="115">
        <f t="shared" si="17"/>
        <v>0</v>
      </c>
    </row>
    <row r="92" spans="1:50" s="3" customFormat="1" ht="13.5" customHeight="1">
      <c r="A92" s="156" t="s">
        <v>420</v>
      </c>
      <c r="B92" s="156"/>
      <c r="C92" s="156" t="s">
        <v>69</v>
      </c>
      <c r="D92" s="156" t="s">
        <v>403</v>
      </c>
      <c r="E92" s="156" t="s">
        <v>421</v>
      </c>
      <c r="F92" s="152">
        <v>16</v>
      </c>
      <c r="G92" s="152">
        <v>96</v>
      </c>
      <c r="H92" s="152">
        <v>0</v>
      </c>
      <c r="I92" s="152">
        <v>50</v>
      </c>
      <c r="J92" s="152">
        <v>0</v>
      </c>
      <c r="K92" s="152" t="s">
        <v>405</v>
      </c>
      <c r="L92" s="156"/>
      <c r="M92" s="156"/>
      <c r="N92" s="132"/>
      <c r="O92"/>
      <c r="P92" s="152"/>
      <c r="Q92" s="152"/>
      <c r="R92" s="152"/>
      <c r="S92" s="152"/>
      <c r="T92" s="152"/>
      <c r="U92" s="152"/>
      <c r="V92" s="152"/>
      <c r="W92" s="152"/>
      <c r="X92" s="152"/>
      <c r="Y92" s="156"/>
      <c r="Z92" s="156"/>
      <c r="AA92" s="156"/>
      <c r="AB92" s="156"/>
      <c r="AC92" s="156"/>
      <c r="AD92" s="156"/>
      <c r="AE92" s="156"/>
      <c r="AF92" s="156"/>
      <c r="AG92" s="156"/>
      <c r="AH92" s="156"/>
      <c r="AI92" s="156"/>
      <c r="AJ92" s="152" t="s">
        <v>419</v>
      </c>
      <c r="AK92" s="152"/>
      <c r="AL92" s="152"/>
      <c r="AM92" s="156"/>
      <c r="AN92" s="156"/>
      <c r="AO92" s="156">
        <f t="shared" si="8"/>
        <v>98.304000000000002</v>
      </c>
      <c r="AP92" s="156">
        <f t="shared" si="9"/>
        <v>0</v>
      </c>
      <c r="AQ92" s="156">
        <f t="shared" si="10"/>
        <v>46</v>
      </c>
      <c r="AR92" s="156">
        <f t="shared" si="11"/>
        <v>0</v>
      </c>
      <c r="AS92" s="156">
        <f t="shared" si="12"/>
        <v>0</v>
      </c>
      <c r="AT92" s="156">
        <f t="shared" si="13"/>
        <v>0</v>
      </c>
      <c r="AU92" s="156">
        <f t="shared" si="14"/>
        <v>0</v>
      </c>
      <c r="AV92" s="156">
        <f t="shared" si="15"/>
        <v>0</v>
      </c>
      <c r="AW92" s="156">
        <f t="shared" si="16"/>
        <v>0</v>
      </c>
      <c r="AX92" s="115">
        <f t="shared" si="17"/>
        <v>0</v>
      </c>
    </row>
    <row r="93" spans="1:50" s="3" customFormat="1" ht="13.5" customHeight="1">
      <c r="A93" s="101" t="s">
        <v>422</v>
      </c>
      <c r="B93" s="101"/>
      <c r="C93" s="101" t="s">
        <v>69</v>
      </c>
      <c r="D93" s="101" t="s">
        <v>403</v>
      </c>
      <c r="E93" s="101" t="s">
        <v>423</v>
      </c>
      <c r="F93" s="102">
        <v>16</v>
      </c>
      <c r="G93" s="102">
        <v>96</v>
      </c>
      <c r="H93" s="102">
        <v>0</v>
      </c>
      <c r="I93" s="102">
        <v>50</v>
      </c>
      <c r="J93" s="102">
        <v>0</v>
      </c>
      <c r="K93" s="102" t="s">
        <v>405</v>
      </c>
      <c r="L93" s="101"/>
      <c r="M93" s="101"/>
      <c r="N93" s="167"/>
      <c r="O93" s="168"/>
      <c r="P93" s="102"/>
      <c r="Q93" s="102"/>
      <c r="R93" s="102"/>
      <c r="S93" s="102"/>
      <c r="T93" s="102"/>
      <c r="U93" s="102"/>
      <c r="V93" s="102"/>
      <c r="W93" s="102"/>
      <c r="X93" s="102"/>
      <c r="Y93" s="101"/>
      <c r="Z93" s="101"/>
      <c r="AA93" s="101"/>
      <c r="AB93" s="101"/>
      <c r="AC93" s="101"/>
      <c r="AD93" s="101"/>
      <c r="AE93" s="101"/>
      <c r="AF93" s="101"/>
      <c r="AG93" s="101"/>
      <c r="AH93" s="101"/>
      <c r="AI93" s="101"/>
      <c r="AJ93" s="102" t="s">
        <v>419</v>
      </c>
      <c r="AK93" s="102"/>
      <c r="AL93" s="102"/>
      <c r="AM93" s="101"/>
      <c r="AN93" s="101"/>
      <c r="AO93" s="101">
        <f t="shared" si="8"/>
        <v>98.304000000000002</v>
      </c>
      <c r="AP93" s="101">
        <f t="shared" si="9"/>
        <v>0</v>
      </c>
      <c r="AQ93" s="101">
        <f t="shared" si="10"/>
        <v>46</v>
      </c>
      <c r="AR93" s="101">
        <f t="shared" si="11"/>
        <v>0</v>
      </c>
      <c r="AS93" s="101">
        <f t="shared" si="12"/>
        <v>0</v>
      </c>
      <c r="AT93" s="101">
        <f t="shared" si="13"/>
        <v>0</v>
      </c>
      <c r="AU93" s="101">
        <f t="shared" si="14"/>
        <v>0</v>
      </c>
      <c r="AV93" s="101">
        <f t="shared" si="15"/>
        <v>0</v>
      </c>
      <c r="AW93" s="101">
        <f t="shared" si="16"/>
        <v>0</v>
      </c>
      <c r="AX93" s="115">
        <f t="shared" si="17"/>
        <v>0</v>
      </c>
    </row>
    <row r="94" spans="1:50" s="156" customFormat="1" ht="13.5" customHeight="1">
      <c r="A94" s="156" t="s">
        <v>673</v>
      </c>
      <c r="C94" s="156" t="s">
        <v>674</v>
      </c>
      <c r="D94" s="156" t="s">
        <v>397</v>
      </c>
      <c r="E94" s="156" t="s">
        <v>675</v>
      </c>
      <c r="F94" s="164">
        <v>4</v>
      </c>
      <c r="G94" s="164">
        <v>4</v>
      </c>
      <c r="H94" s="164">
        <v>0</v>
      </c>
      <c r="I94" s="164">
        <v>25</v>
      </c>
      <c r="J94" s="164">
        <f>G94-H94</f>
        <v>4</v>
      </c>
      <c r="K94" s="165" t="s">
        <v>676</v>
      </c>
      <c r="N94" s="132"/>
      <c r="O94"/>
      <c r="P94" s="164"/>
      <c r="Q94" s="164"/>
      <c r="R94" s="164"/>
      <c r="S94" s="164"/>
      <c r="T94" s="164"/>
      <c r="U94" s="164"/>
      <c r="V94" s="164"/>
      <c r="W94" s="164"/>
      <c r="X94" s="164"/>
      <c r="AJ94" s="164" t="s">
        <v>328</v>
      </c>
      <c r="AK94" s="164" t="s">
        <v>329</v>
      </c>
      <c r="AL94" s="164"/>
      <c r="AO94" s="156">
        <f t="shared" si="8"/>
        <v>4.0960000000000001</v>
      </c>
      <c r="AP94" s="101">
        <f t="shared" si="9"/>
        <v>0</v>
      </c>
      <c r="AQ94" s="101">
        <f t="shared" si="10"/>
        <v>23</v>
      </c>
      <c r="AR94" s="101">
        <f t="shared" si="11"/>
        <v>0</v>
      </c>
      <c r="AS94" s="101">
        <f t="shared" si="12"/>
        <v>0</v>
      </c>
      <c r="AT94" s="101">
        <f t="shared" si="13"/>
        <v>0</v>
      </c>
      <c r="AU94" s="101">
        <f t="shared" si="14"/>
        <v>0</v>
      </c>
      <c r="AV94" s="101">
        <f t="shared" si="15"/>
        <v>0</v>
      </c>
      <c r="AW94" s="101">
        <f t="shared" si="16"/>
        <v>0</v>
      </c>
      <c r="AX94" s="115">
        <f t="shared" si="17"/>
        <v>0</v>
      </c>
    </row>
    <row r="95" spans="1:50" s="13" customFormat="1" ht="13.5" customHeight="1">
      <c r="A95" s="13" t="s">
        <v>677</v>
      </c>
      <c r="C95" s="13" t="s">
        <v>674</v>
      </c>
      <c r="D95" s="13" t="s">
        <v>397</v>
      </c>
      <c r="E95" s="13" t="s">
        <v>678</v>
      </c>
      <c r="F95" s="8">
        <v>4</v>
      </c>
      <c r="G95" s="8">
        <v>4</v>
      </c>
      <c r="H95" s="8">
        <v>0</v>
      </c>
      <c r="I95" s="8">
        <v>25</v>
      </c>
      <c r="J95" s="8">
        <f>G95-H95</f>
        <v>4</v>
      </c>
      <c r="K95" s="36" t="s">
        <v>676</v>
      </c>
      <c r="AJ95" s="8" t="s">
        <v>328</v>
      </c>
      <c r="AK95" s="8" t="s">
        <v>329</v>
      </c>
      <c r="AO95" s="13">
        <f t="shared" si="8"/>
        <v>4.0960000000000001</v>
      </c>
      <c r="AP95" s="101">
        <f t="shared" si="9"/>
        <v>0</v>
      </c>
      <c r="AQ95" s="101">
        <f t="shared" si="10"/>
        <v>23</v>
      </c>
      <c r="AR95" s="101">
        <f t="shared" si="11"/>
        <v>0</v>
      </c>
      <c r="AS95" s="101">
        <f t="shared" si="12"/>
        <v>0</v>
      </c>
      <c r="AT95" s="101">
        <f t="shared" si="13"/>
        <v>0</v>
      </c>
      <c r="AU95" s="101">
        <f t="shared" si="14"/>
        <v>0</v>
      </c>
      <c r="AV95" s="101">
        <f t="shared" si="15"/>
        <v>0</v>
      </c>
      <c r="AW95" s="101">
        <f t="shared" si="16"/>
        <v>0</v>
      </c>
      <c r="AX95" s="115">
        <f t="shared" si="17"/>
        <v>0</v>
      </c>
    </row>
    <row r="96" spans="1:50" s="3" customFormat="1">
      <c r="A96" s="156"/>
      <c r="B96" s="156"/>
      <c r="C96" s="156"/>
      <c r="D96" s="156"/>
      <c r="E96" s="156"/>
      <c r="F96" s="152">
        <f>SUM(F85:F95)+F82</f>
        <v>426</v>
      </c>
      <c r="G96" s="164">
        <f>SUM(G85:G95)+G82</f>
        <v>1279</v>
      </c>
      <c r="H96" s="164">
        <f>SUM(H85:H95)+H82</f>
        <v>359.25</v>
      </c>
      <c r="I96" s="164">
        <f>SUM(I85:I95)+I82</f>
        <v>7157</v>
      </c>
      <c r="J96" s="152"/>
      <c r="K96" s="152"/>
      <c r="L96" s="164">
        <f>SUM(L85:L95)+L82</f>
        <v>130</v>
      </c>
      <c r="M96" s="152"/>
      <c r="N96" s="164">
        <f>SUM(N85:N95)+N82</f>
        <v>2500</v>
      </c>
      <c r="O96" s="152"/>
      <c r="P96" s="164">
        <f>SUM(P85:P95)+P82</f>
        <v>3750</v>
      </c>
      <c r="Q96" s="152"/>
      <c r="R96" s="164">
        <f>SUM(R85:R95)+R82</f>
        <v>530</v>
      </c>
      <c r="S96" s="152"/>
      <c r="T96" s="164">
        <f>SUM(T85:T95)+T82</f>
        <v>300</v>
      </c>
      <c r="U96" s="152"/>
      <c r="V96" s="164">
        <f>SUM(V85:V95)+V82</f>
        <v>3000</v>
      </c>
      <c r="W96" s="152"/>
      <c r="X96" s="164">
        <f>SUM(X85:X95)+X82</f>
        <v>11375</v>
      </c>
      <c r="Y96" s="156"/>
      <c r="Z96" s="164">
        <f>SUM(Z85:Z95)+Z82</f>
        <v>200</v>
      </c>
      <c r="AA96" s="156"/>
      <c r="AB96" s="164">
        <f>SUM(AB85:AB95)+AB82</f>
        <v>50</v>
      </c>
      <c r="AC96" s="156"/>
      <c r="AD96" s="164">
        <f>SUM(AD85:AD95)+AD82</f>
        <v>170</v>
      </c>
      <c r="AE96" s="156"/>
      <c r="AF96" s="179">
        <f>SUM(AF85:AF95)+AF82</f>
        <v>200</v>
      </c>
      <c r="AG96" s="156"/>
      <c r="AH96" s="164">
        <f>SUM(AH85:AH95)+AH82</f>
        <v>3700</v>
      </c>
      <c r="AI96" s="156"/>
      <c r="AJ96" s="156"/>
      <c r="AK96" s="154" t="s">
        <v>703</v>
      </c>
      <c r="AL96" s="152">
        <f>3</f>
        <v>3</v>
      </c>
      <c r="AM96" s="156"/>
      <c r="AN96" s="156"/>
      <c r="AO96" s="156"/>
      <c r="AP96" s="156"/>
      <c r="AQ96" s="156"/>
      <c r="AR96" s="156"/>
      <c r="AS96" s="156"/>
      <c r="AT96" s="156"/>
      <c r="AU96" s="156"/>
      <c r="AV96" s="156"/>
      <c r="AW96" s="156"/>
      <c r="AX96" s="156"/>
    </row>
    <row r="97" spans="1:50">
      <c r="A97" s="38"/>
    </row>
    <row r="98" spans="1:50">
      <c r="A98" s="7" t="s">
        <v>424</v>
      </c>
    </row>
    <row r="99" spans="1:50">
      <c r="A99" s="156" t="s">
        <v>425</v>
      </c>
      <c r="B99" s="156"/>
      <c r="C99" s="156" t="s">
        <v>426</v>
      </c>
      <c r="D99" s="156" t="s">
        <v>427</v>
      </c>
      <c r="E99" s="156" t="s">
        <v>8</v>
      </c>
      <c r="F99" s="152">
        <v>2</v>
      </c>
      <c r="G99" s="152">
        <v>4</v>
      </c>
      <c r="H99" s="152">
        <v>4</v>
      </c>
      <c r="I99" s="152">
        <v>350</v>
      </c>
      <c r="J99" s="152">
        <f t="shared" ref="J99:J104" si="18">G99-H99</f>
        <v>0</v>
      </c>
      <c r="K99" s="154" t="s">
        <v>428</v>
      </c>
      <c r="L99" s="154"/>
      <c r="M99" s="154"/>
      <c r="N99" s="154"/>
      <c r="O99" s="154"/>
      <c r="P99" s="154"/>
      <c r="Q99" s="154"/>
      <c r="R99" s="154"/>
      <c r="S99" s="154"/>
      <c r="T99" s="154"/>
      <c r="U99" s="154"/>
      <c r="V99" s="154"/>
      <c r="Z99" s="154"/>
      <c r="AA99" s="154"/>
      <c r="AB99" s="154"/>
      <c r="AC99" s="154"/>
      <c r="AD99" s="154"/>
      <c r="AE99" s="154"/>
      <c r="AF99" s="180"/>
      <c r="AG99" s="180"/>
      <c r="AH99" s="154"/>
      <c r="AI99" s="154"/>
      <c r="AJ99" s="154" t="s">
        <v>328</v>
      </c>
      <c r="AK99" s="154" t="s">
        <v>329</v>
      </c>
      <c r="AL99" s="154"/>
      <c r="AO99" s="35">
        <f t="shared" ref="AO99:AO108" si="19">IF(ISBLANK($A99),,G99*1.024)</f>
        <v>4.0960000000000001</v>
      </c>
      <c r="AP99" s="35">
        <f t="shared" ref="AP99:AP108" si="20">IF(ISBLANK($A99),,H99*1.024)</f>
        <v>4.0960000000000001</v>
      </c>
      <c r="AQ99" s="35">
        <f>IF(ISBLANK($A99),,ROUNDDOWN(I99*AS6*1.024,))</f>
        <v>322</v>
      </c>
      <c r="AR99" s="35">
        <f>IF(ISBLANK($A99),,ROUNDDOWN(L99*AS6*1.024,))</f>
        <v>0</v>
      </c>
      <c r="AS99" s="35">
        <f>IF(ISBLANK($A99),,ROUNDDOWN(N99*AS6*1.024,))</f>
        <v>0</v>
      </c>
      <c r="AT99" s="35">
        <f>IF(ISBLANK($A99),,ROUNDDOWN(P99*AS6*1.024,))</f>
        <v>0</v>
      </c>
      <c r="AU99" s="35">
        <f>IF(ISBLANK($A99),,ROUNDDOWN(R99*AS6*1.024,))</f>
        <v>0</v>
      </c>
      <c r="AV99" s="115">
        <f t="shared" ref="AV99:AV108" si="21">IF(ISBLANK($A99),,ROUNDDOWN(T99*AS$6*1.024,))</f>
        <v>0</v>
      </c>
      <c r="AW99" s="35">
        <f>IF(ISBLANK($A99),,ROUNDDOWN(V99*AS6*1.024,))</f>
        <v>0</v>
      </c>
      <c r="AX99" s="35">
        <f>IF(ISBLANK($A99),,ROUNDDOWN(X99*AS6*1.024,))</f>
        <v>0</v>
      </c>
    </row>
    <row r="100" spans="1:50">
      <c r="A100" s="156" t="s">
        <v>429</v>
      </c>
      <c r="B100" s="156"/>
      <c r="C100" s="156" t="s">
        <v>426</v>
      </c>
      <c r="D100" s="156" t="s">
        <v>427</v>
      </c>
      <c r="E100" s="156" t="s">
        <v>430</v>
      </c>
      <c r="F100" s="152">
        <v>6</v>
      </c>
      <c r="G100" s="152">
        <v>10</v>
      </c>
      <c r="H100" s="152">
        <v>10</v>
      </c>
      <c r="I100" s="152">
        <v>100</v>
      </c>
      <c r="J100" s="152">
        <f t="shared" si="18"/>
        <v>0</v>
      </c>
      <c r="K100" s="154" t="s">
        <v>428</v>
      </c>
      <c r="L100" s="154"/>
      <c r="M100" s="154"/>
      <c r="N100" s="154">
        <v>200</v>
      </c>
      <c r="O100" s="154" t="s">
        <v>431</v>
      </c>
      <c r="P100" s="154"/>
      <c r="Q100" s="154"/>
      <c r="R100" s="154"/>
      <c r="S100" s="154"/>
      <c r="T100" s="154"/>
      <c r="U100" s="154"/>
      <c r="V100" s="154"/>
      <c r="Z100" s="154"/>
      <c r="AA100" s="154"/>
      <c r="AB100" s="154"/>
      <c r="AC100" s="154"/>
      <c r="AD100" s="154"/>
      <c r="AE100" s="154"/>
      <c r="AF100" s="180"/>
      <c r="AG100" s="180"/>
      <c r="AH100" s="154"/>
      <c r="AI100" s="154"/>
      <c r="AJ100" s="154" t="s">
        <v>328</v>
      </c>
      <c r="AK100" s="154" t="s">
        <v>329</v>
      </c>
      <c r="AL100" s="154"/>
      <c r="AO100" s="35">
        <f t="shared" si="19"/>
        <v>10.24</v>
      </c>
      <c r="AP100" s="35">
        <f t="shared" si="20"/>
        <v>10.24</v>
      </c>
      <c r="AQ100" s="35">
        <f>IF(ISBLANK($A100),,ROUNDDOWN(I100*AS6*1.024,))</f>
        <v>92</v>
      </c>
      <c r="AR100" s="35">
        <f>IF(ISBLANK($A100),,ROUNDDOWN(L100*AS6*1.024,))</f>
        <v>0</v>
      </c>
      <c r="AS100" s="35">
        <f>IF(ISBLANK($A100),,ROUNDDOWN(N100*AS6*1.024,))</f>
        <v>184</v>
      </c>
      <c r="AT100" s="35">
        <f>IF(ISBLANK($A100),,ROUNDDOWN(P100*AS6*1.024,))</f>
        <v>0</v>
      </c>
      <c r="AU100" s="35">
        <f>IF(ISBLANK($A100),,ROUNDDOWN(R100*AS6*1.024,))</f>
        <v>0</v>
      </c>
      <c r="AV100" s="115">
        <f t="shared" si="21"/>
        <v>0</v>
      </c>
      <c r="AW100" s="35">
        <f>IF(ISBLANK($A100),,ROUNDDOWN(V100*AS6*1.024,))</f>
        <v>0</v>
      </c>
      <c r="AX100" s="35">
        <f>IF(ISBLANK($A100),,ROUNDDOWN(X100*AS6*1.024,))</f>
        <v>0</v>
      </c>
    </row>
    <row r="101" spans="1:50">
      <c r="A101" s="156" t="s">
        <v>432</v>
      </c>
      <c r="B101" s="156"/>
      <c r="C101" s="156" t="s">
        <v>426</v>
      </c>
      <c r="D101" s="156" t="s">
        <v>427</v>
      </c>
      <c r="E101" s="156" t="s">
        <v>433</v>
      </c>
      <c r="F101" s="152">
        <v>8</v>
      </c>
      <c r="G101" s="152">
        <v>16</v>
      </c>
      <c r="H101" s="152">
        <v>16</v>
      </c>
      <c r="I101" s="152">
        <v>60</v>
      </c>
      <c r="J101" s="152">
        <f t="shared" si="18"/>
        <v>0</v>
      </c>
      <c r="K101" s="154" t="s">
        <v>434</v>
      </c>
      <c r="L101" s="154"/>
      <c r="M101" s="154"/>
      <c r="N101" s="154"/>
      <c r="O101" s="154"/>
      <c r="P101" s="154"/>
      <c r="Q101" s="154"/>
      <c r="R101" s="154"/>
      <c r="S101" s="154"/>
      <c r="T101" s="154"/>
      <c r="U101" s="154"/>
      <c r="V101" s="154"/>
      <c r="Z101" s="154"/>
      <c r="AA101" s="154"/>
      <c r="AB101" s="154"/>
      <c r="AC101" s="154"/>
      <c r="AD101" s="154"/>
      <c r="AE101" s="154"/>
      <c r="AF101" s="180"/>
      <c r="AG101" s="180"/>
      <c r="AH101" s="154"/>
      <c r="AI101" s="154"/>
      <c r="AJ101" s="154" t="s">
        <v>346</v>
      </c>
      <c r="AK101" s="152" t="s">
        <v>347</v>
      </c>
      <c r="AL101" s="154"/>
      <c r="AO101" s="35">
        <f t="shared" si="19"/>
        <v>16.384</v>
      </c>
      <c r="AP101" s="35">
        <f t="shared" si="20"/>
        <v>16.384</v>
      </c>
      <c r="AQ101" s="35">
        <f>IF(ISBLANK($A101),,ROUNDDOWN(I101*AS6*1.024,))</f>
        <v>55</v>
      </c>
      <c r="AR101" s="35">
        <f>IF(ISBLANK($A101),,ROUNDDOWN(L101*AS6*1.024,))</f>
        <v>0</v>
      </c>
      <c r="AS101" s="35">
        <f>IF(ISBLANK($A101),,ROUNDDOWN(N101*AS6*1.024,))</f>
        <v>0</v>
      </c>
      <c r="AT101" s="35">
        <f>IF(ISBLANK($A101),,ROUNDDOWN(P101*AS6*1.024,))</f>
        <v>0</v>
      </c>
      <c r="AU101" s="35">
        <f>IF(ISBLANK($A101),,ROUNDDOWN(R101*AS6*1.024,))</f>
        <v>0</v>
      </c>
      <c r="AV101" s="115">
        <f t="shared" si="21"/>
        <v>0</v>
      </c>
      <c r="AW101" s="35">
        <f>IF(ISBLANK($A101),,ROUNDDOWN(V101*AS6*1.024,))</f>
        <v>0</v>
      </c>
      <c r="AX101" s="35">
        <f>IF(ISBLANK($A101),,ROUNDDOWN(X101*AS6*1.024,))</f>
        <v>0</v>
      </c>
    </row>
    <row r="102" spans="1:50">
      <c r="A102" s="156" t="s">
        <v>435</v>
      </c>
      <c r="B102" s="156"/>
      <c r="C102" s="156" t="s">
        <v>426</v>
      </c>
      <c r="D102" s="156" t="s">
        <v>427</v>
      </c>
      <c r="E102" s="156" t="s">
        <v>436</v>
      </c>
      <c r="F102" s="152">
        <v>10</v>
      </c>
      <c r="G102" s="152">
        <v>10</v>
      </c>
      <c r="H102" s="152">
        <v>10</v>
      </c>
      <c r="I102" s="152">
        <v>40</v>
      </c>
      <c r="J102" s="152">
        <f t="shared" si="18"/>
        <v>0</v>
      </c>
      <c r="K102" s="154" t="s">
        <v>434</v>
      </c>
      <c r="L102" s="154"/>
      <c r="M102" s="154"/>
      <c r="N102" s="154"/>
      <c r="O102" s="154"/>
      <c r="P102" s="154"/>
      <c r="Q102" s="154"/>
      <c r="R102" s="154"/>
      <c r="S102" s="154"/>
      <c r="T102" s="154"/>
      <c r="U102" s="154"/>
      <c r="V102" s="154"/>
      <c r="Z102" s="154"/>
      <c r="AA102" s="154"/>
      <c r="AB102" s="154"/>
      <c r="AC102" s="154"/>
      <c r="AD102" s="154"/>
      <c r="AE102" s="154"/>
      <c r="AF102" s="180"/>
      <c r="AG102" s="180"/>
      <c r="AH102" s="154"/>
      <c r="AI102" s="154"/>
      <c r="AJ102" s="154" t="s">
        <v>346</v>
      </c>
      <c r="AK102" s="152" t="s">
        <v>347</v>
      </c>
      <c r="AL102" s="154"/>
      <c r="AO102" s="35">
        <f t="shared" si="19"/>
        <v>10.24</v>
      </c>
      <c r="AP102" s="35">
        <f t="shared" si="20"/>
        <v>10.24</v>
      </c>
      <c r="AQ102" s="35">
        <f>IF(ISBLANK($A102),,ROUNDDOWN(I102*AS6*1.024,))</f>
        <v>36</v>
      </c>
      <c r="AR102" s="35">
        <f>IF(ISBLANK($A102),,ROUNDDOWN(L102*AS6*1.024,))</f>
        <v>0</v>
      </c>
      <c r="AS102" s="35">
        <f>IF(ISBLANK($A102),,ROUNDDOWN(N102*AS6*1.024,))</f>
        <v>0</v>
      </c>
      <c r="AT102" s="35">
        <f>IF(ISBLANK($A102),,ROUNDDOWN(P102*AS6*1.024,))</f>
        <v>0</v>
      </c>
      <c r="AU102" s="35">
        <f>IF(ISBLANK($A102),,ROUNDDOWN(R102*AS6*1.024,))</f>
        <v>0</v>
      </c>
      <c r="AV102" s="115">
        <f t="shared" si="21"/>
        <v>0</v>
      </c>
      <c r="AW102" s="35">
        <f>IF(ISBLANK($A102),,ROUNDDOWN(V102*AS6*1.024,))</f>
        <v>0</v>
      </c>
      <c r="AX102" s="35">
        <f>IF(ISBLANK($A102),,ROUNDDOWN(X102*AS6*1.024,))</f>
        <v>0</v>
      </c>
    </row>
    <row r="103" spans="1:50">
      <c r="A103" s="156" t="s">
        <v>437</v>
      </c>
      <c r="B103" s="156"/>
      <c r="C103" s="156" t="s">
        <v>426</v>
      </c>
      <c r="D103" s="156" t="s">
        <v>427</v>
      </c>
      <c r="E103" s="156" t="s">
        <v>438</v>
      </c>
      <c r="F103" s="152">
        <v>4</v>
      </c>
      <c r="G103" s="152">
        <v>16</v>
      </c>
      <c r="H103" s="152">
        <v>0</v>
      </c>
      <c r="I103" s="152">
        <v>550</v>
      </c>
      <c r="J103" s="152">
        <f t="shared" si="18"/>
        <v>16</v>
      </c>
      <c r="K103" s="154" t="s">
        <v>439</v>
      </c>
      <c r="L103" s="154"/>
      <c r="M103" s="154"/>
      <c r="N103" s="154"/>
      <c r="O103" s="154"/>
      <c r="P103" s="154"/>
      <c r="Q103" s="154"/>
      <c r="R103" s="154"/>
      <c r="S103" s="154"/>
      <c r="T103" s="154"/>
      <c r="U103" s="154"/>
      <c r="V103" s="154"/>
      <c r="Z103" s="154"/>
      <c r="AA103" s="154"/>
      <c r="AB103" s="154"/>
      <c r="AC103" s="154"/>
      <c r="AD103" s="154"/>
      <c r="AE103" s="154"/>
      <c r="AF103" s="180"/>
      <c r="AG103" s="180"/>
      <c r="AH103" s="154"/>
      <c r="AI103" s="154"/>
      <c r="AJ103" s="154" t="s">
        <v>346</v>
      </c>
      <c r="AK103" s="152" t="s">
        <v>347</v>
      </c>
      <c r="AL103" s="154"/>
      <c r="AO103" s="35">
        <f t="shared" si="19"/>
        <v>16.384</v>
      </c>
      <c r="AP103" s="35">
        <f t="shared" si="20"/>
        <v>0</v>
      </c>
      <c r="AQ103" s="35">
        <f>IF(ISBLANK($A103),,ROUNDDOWN(I103*AS6*1.024,))</f>
        <v>506</v>
      </c>
      <c r="AR103" s="35">
        <f>IF(ISBLANK($A103),,ROUNDDOWN(L103*AS6*1.024,))</f>
        <v>0</v>
      </c>
      <c r="AS103" s="35">
        <f>IF(ISBLANK($A103),,ROUNDDOWN(N103*AS6*1.024,))</f>
        <v>0</v>
      </c>
      <c r="AT103" s="35">
        <f>IF(ISBLANK($A103),,ROUNDDOWN(P103*AS6*1.024,))</f>
        <v>0</v>
      </c>
      <c r="AU103" s="35">
        <f>IF(ISBLANK($A103),,ROUNDDOWN(R103*AS6*1.024,))</f>
        <v>0</v>
      </c>
      <c r="AV103" s="115">
        <f t="shared" si="21"/>
        <v>0</v>
      </c>
      <c r="AW103" s="35">
        <f>IF(ISBLANK($A103),,ROUNDDOWN(V103*AS6*1.024,))</f>
        <v>0</v>
      </c>
      <c r="AX103" s="35">
        <f>IF(ISBLANK($A103),,ROUNDDOWN(X103*AS6*1.024,))</f>
        <v>0</v>
      </c>
    </row>
    <row r="104" spans="1:50">
      <c r="A104" s="156" t="s">
        <v>440</v>
      </c>
      <c r="B104" s="156"/>
      <c r="C104" s="156" t="s">
        <v>426</v>
      </c>
      <c r="D104" s="156" t="s">
        <v>427</v>
      </c>
      <c r="E104" s="156" t="s">
        <v>441</v>
      </c>
      <c r="F104" s="152">
        <v>2</v>
      </c>
      <c r="G104" s="152">
        <v>4</v>
      </c>
      <c r="H104" s="152">
        <v>4</v>
      </c>
      <c r="I104" s="152">
        <v>40</v>
      </c>
      <c r="J104" s="152">
        <f t="shared" si="18"/>
        <v>0</v>
      </c>
      <c r="K104" s="154" t="s">
        <v>434</v>
      </c>
      <c r="L104" s="154"/>
      <c r="M104" s="154"/>
      <c r="N104" s="154"/>
      <c r="O104" s="154"/>
      <c r="P104" s="154"/>
      <c r="Q104" s="154"/>
      <c r="R104" s="154">
        <v>50</v>
      </c>
      <c r="S104" s="154" t="s">
        <v>442</v>
      </c>
      <c r="T104" s="154"/>
      <c r="U104" s="154"/>
      <c r="V104" s="154"/>
      <c r="Z104" s="154"/>
      <c r="AA104" s="154"/>
      <c r="AB104" s="154"/>
      <c r="AC104" s="154"/>
      <c r="AD104" s="154"/>
      <c r="AE104" s="154"/>
      <c r="AF104" s="180"/>
      <c r="AG104" s="180"/>
      <c r="AH104" s="154"/>
      <c r="AI104" s="154"/>
      <c r="AJ104" s="154" t="s">
        <v>328</v>
      </c>
      <c r="AK104" s="154" t="s">
        <v>329</v>
      </c>
      <c r="AL104" s="154"/>
      <c r="AO104" s="35">
        <f t="shared" si="19"/>
        <v>4.0960000000000001</v>
      </c>
      <c r="AP104" s="35">
        <f t="shared" si="20"/>
        <v>4.0960000000000001</v>
      </c>
      <c r="AQ104" s="35">
        <f>IF(ISBLANK($A104),,ROUNDDOWN(I104*AS6*1.024,))</f>
        <v>36</v>
      </c>
      <c r="AR104" s="35">
        <f>IF(ISBLANK($A104),,ROUNDDOWN(L104*AS6*1.024,))</f>
        <v>0</v>
      </c>
      <c r="AS104" s="35">
        <f>IF(ISBLANK($A104),,ROUNDDOWN(N104*AS6*1.024,))</f>
        <v>0</v>
      </c>
      <c r="AT104" s="35">
        <f>IF(ISBLANK($A104),,ROUNDDOWN(P104*AS6*1.024,))</f>
        <v>0</v>
      </c>
      <c r="AU104" s="35">
        <f>IF(ISBLANK($A104),,ROUNDDOWN(R104*AS6*1.024,))</f>
        <v>46</v>
      </c>
      <c r="AV104" s="115">
        <f t="shared" si="21"/>
        <v>0</v>
      </c>
      <c r="AW104" s="35">
        <f>IF(ISBLANK($A104),,ROUNDDOWN(V104*AS6*1.024,))</f>
        <v>0</v>
      </c>
      <c r="AX104" s="35">
        <f>IF(ISBLANK($A104),,ROUNDDOWN(X104*AS6*1.024,))</f>
        <v>0</v>
      </c>
    </row>
    <row r="105" spans="1:50">
      <c r="A105" s="35" t="s">
        <v>443</v>
      </c>
      <c r="C105" s="156" t="s">
        <v>444</v>
      </c>
      <c r="D105" s="35" t="s">
        <v>427</v>
      </c>
      <c r="E105" s="156" t="s">
        <v>45</v>
      </c>
      <c r="F105" s="154">
        <v>8</v>
      </c>
      <c r="G105" s="154">
        <v>32</v>
      </c>
      <c r="H105" s="152">
        <v>0</v>
      </c>
      <c r="I105" s="154">
        <v>80</v>
      </c>
      <c r="J105" s="154">
        <f>G105-H105</f>
        <v>32</v>
      </c>
      <c r="K105" s="154" t="s">
        <v>445</v>
      </c>
      <c r="L105" s="154"/>
      <c r="M105" s="154"/>
      <c r="N105" s="154"/>
      <c r="O105" s="154"/>
      <c r="P105" s="154"/>
      <c r="Q105" s="154"/>
      <c r="R105" s="154"/>
      <c r="S105" s="154"/>
      <c r="T105" s="154"/>
      <c r="U105" s="154"/>
      <c r="V105" s="154"/>
      <c r="Z105" s="154"/>
      <c r="AA105" s="154"/>
      <c r="AB105" s="154"/>
      <c r="AC105" s="154"/>
      <c r="AD105" s="154"/>
      <c r="AE105" s="154"/>
      <c r="AF105" s="180"/>
      <c r="AG105" s="180"/>
      <c r="AH105" s="154"/>
      <c r="AI105" s="154"/>
      <c r="AJ105" s="154" t="s">
        <v>328</v>
      </c>
      <c r="AK105" s="154" t="s">
        <v>329</v>
      </c>
      <c r="AL105" s="154"/>
      <c r="AO105" s="35">
        <f t="shared" si="19"/>
        <v>32.768000000000001</v>
      </c>
      <c r="AP105" s="35">
        <f t="shared" si="20"/>
        <v>0</v>
      </c>
      <c r="AQ105" s="35">
        <f>IF(ISBLANK($A105),,ROUNDDOWN(I105*AS6*1.024,))</f>
        <v>73</v>
      </c>
      <c r="AR105" s="35">
        <f>IF(ISBLANK($A105),,ROUNDDOWN(L105*AS6*1.024,))</f>
        <v>0</v>
      </c>
      <c r="AS105" s="35">
        <f>IF(ISBLANK($A105),,ROUNDDOWN(N105*AS6*1.024,))</f>
        <v>0</v>
      </c>
      <c r="AT105" s="35">
        <f>IF(ISBLANK($A105),,ROUNDDOWN(P105*AS6*1.024,))</f>
        <v>0</v>
      </c>
      <c r="AU105" s="35">
        <f>IF(ISBLANK($A105),,ROUNDDOWN(R105*AS6*1.024,))</f>
        <v>0</v>
      </c>
      <c r="AV105" s="115">
        <f t="shared" si="21"/>
        <v>0</v>
      </c>
      <c r="AW105" s="35">
        <f>IF(ISBLANK($A105),,ROUNDDOWN(V105*AS6*1.024,))</f>
        <v>0</v>
      </c>
      <c r="AX105" s="35">
        <f>IF(ISBLANK($A105),,ROUNDDOWN(X105*AS6*1.024,))</f>
        <v>0</v>
      </c>
    </row>
    <row r="106" spans="1:50">
      <c r="A106" s="115" t="s">
        <v>446</v>
      </c>
      <c r="B106" s="115"/>
      <c r="C106" s="101" t="s">
        <v>444</v>
      </c>
      <c r="D106" s="115" t="s">
        <v>427</v>
      </c>
      <c r="E106" s="101" t="s">
        <v>45</v>
      </c>
      <c r="F106" s="114">
        <v>8</v>
      </c>
      <c r="G106" s="114">
        <v>32</v>
      </c>
      <c r="H106" s="102">
        <v>0</v>
      </c>
      <c r="I106" s="114">
        <v>80</v>
      </c>
      <c r="J106" s="114">
        <f>G106-H106</f>
        <v>32</v>
      </c>
      <c r="K106" s="114" t="s">
        <v>445</v>
      </c>
      <c r="L106" s="114"/>
      <c r="M106" s="114"/>
      <c r="N106" s="114"/>
      <c r="O106" s="114"/>
      <c r="P106" s="114"/>
      <c r="Q106" s="114"/>
      <c r="R106" s="114"/>
      <c r="S106" s="114"/>
      <c r="T106" s="114"/>
      <c r="U106" s="114"/>
      <c r="V106" s="114"/>
      <c r="W106" s="115"/>
      <c r="X106" s="115"/>
      <c r="Y106" s="115"/>
      <c r="Z106" s="114"/>
      <c r="AA106" s="114"/>
      <c r="AB106" s="114"/>
      <c r="AC106" s="114"/>
      <c r="AD106" s="114"/>
      <c r="AE106" s="114"/>
      <c r="AF106" s="114"/>
      <c r="AG106" s="114"/>
      <c r="AH106" s="114"/>
      <c r="AI106" s="114"/>
      <c r="AJ106" s="114" t="s">
        <v>328</v>
      </c>
      <c r="AK106" s="114" t="s">
        <v>329</v>
      </c>
      <c r="AL106" s="114"/>
      <c r="AO106" s="35">
        <f t="shared" si="19"/>
        <v>32.768000000000001</v>
      </c>
      <c r="AP106" s="35">
        <f t="shared" si="20"/>
        <v>0</v>
      </c>
      <c r="AQ106" s="35">
        <f>IF(ISBLANK($A106),,ROUNDDOWN(I106*AS6*1.024,))</f>
        <v>73</v>
      </c>
      <c r="AR106" s="35">
        <f>IF(ISBLANK($A106),,ROUNDDOWN(L106*AS6*1.024,))</f>
        <v>0</v>
      </c>
      <c r="AS106" s="35">
        <f>IF(ISBLANK($A106),,ROUNDDOWN(N106*AS6*1.024,))</f>
        <v>0</v>
      </c>
      <c r="AT106" s="35">
        <f>IF(ISBLANK($A106),,ROUNDDOWN(P106*AS6*1.024,))</f>
        <v>0</v>
      </c>
      <c r="AU106" s="35">
        <f>IF(ISBLANK($A106),,ROUNDDOWN(R106*AS6*1.024,))</f>
        <v>0</v>
      </c>
      <c r="AV106" s="115">
        <f t="shared" si="21"/>
        <v>0</v>
      </c>
      <c r="AW106" s="35">
        <f>IF(ISBLANK($A106),,ROUNDDOWN(V106*AS6*1.024,))</f>
        <v>0</v>
      </c>
      <c r="AX106" s="35">
        <f>IF(ISBLANK($A106),,ROUNDDOWN(X106*AS6*1.024,))</f>
        <v>0</v>
      </c>
    </row>
    <row r="107" spans="1:50" s="101" customFormat="1">
      <c r="A107" s="101" t="s">
        <v>447</v>
      </c>
      <c r="C107" s="101" t="s">
        <v>448</v>
      </c>
      <c r="D107" s="101" t="s">
        <v>326</v>
      </c>
      <c r="E107" s="101" t="s">
        <v>449</v>
      </c>
      <c r="F107" s="102">
        <v>4</v>
      </c>
      <c r="G107" s="102">
        <v>8</v>
      </c>
      <c r="H107" s="102">
        <v>0</v>
      </c>
      <c r="I107" s="102">
        <v>30</v>
      </c>
      <c r="J107" s="102">
        <f>G107-H107</f>
        <v>8</v>
      </c>
      <c r="K107" s="114" t="s">
        <v>450</v>
      </c>
      <c r="L107" s="114"/>
      <c r="M107" s="114"/>
      <c r="N107" s="114"/>
      <c r="O107" s="114"/>
      <c r="P107" s="114"/>
      <c r="Q107" s="114"/>
      <c r="R107" s="114"/>
      <c r="S107" s="114"/>
      <c r="T107" s="114"/>
      <c r="U107" s="114"/>
      <c r="V107" s="102"/>
      <c r="W107" s="102"/>
      <c r="X107" s="102"/>
      <c r="AJ107" s="102" t="s">
        <v>328</v>
      </c>
      <c r="AK107" s="102" t="s">
        <v>329</v>
      </c>
      <c r="AL107" s="102"/>
      <c r="AO107" s="101">
        <f t="shared" si="19"/>
        <v>8.1920000000000002</v>
      </c>
      <c r="AP107" s="101">
        <f t="shared" si="20"/>
        <v>0</v>
      </c>
      <c r="AQ107" s="101">
        <f>IF(ISBLANK($A107),,ROUNDDOWN(I107*AS6*1.024,))</f>
        <v>27</v>
      </c>
      <c r="AR107" s="101">
        <f>IF(ISBLANK($A107),,ROUNDDOWN(L107*AS6*1.024,))</f>
        <v>0</v>
      </c>
      <c r="AS107" s="101">
        <f>IF(ISBLANK($A107),,ROUNDDOWN(N107*AS6*1.024,))</f>
        <v>0</v>
      </c>
      <c r="AT107" s="101">
        <f>IF(ISBLANK($A107),,ROUNDDOWN(P107*AS6*1.024,))</f>
        <v>0</v>
      </c>
      <c r="AU107" s="101">
        <f>IF(ISBLANK($A107),,ROUNDDOWN(R107*AS6*1.024,))</f>
        <v>0</v>
      </c>
      <c r="AV107" s="115">
        <f t="shared" si="21"/>
        <v>0</v>
      </c>
      <c r="AW107" s="101">
        <f>IF(ISBLANK($A107),,ROUNDDOWN(V107*AS6*1.024,))</f>
        <v>0</v>
      </c>
      <c r="AX107" s="101">
        <f>IF(ISBLANK($A107),,ROUNDDOWN(X107*AS25*1.024,))</f>
        <v>0</v>
      </c>
    </row>
    <row r="108" spans="1:50" s="13" customFormat="1">
      <c r="A108" s="13" t="s">
        <v>451</v>
      </c>
      <c r="C108" s="13" t="s">
        <v>452</v>
      </c>
      <c r="D108" s="13" t="s">
        <v>453</v>
      </c>
      <c r="E108" s="13" t="s">
        <v>65</v>
      </c>
      <c r="F108" s="8">
        <v>8</v>
      </c>
      <c r="G108" s="8">
        <v>6</v>
      </c>
      <c r="H108" s="8">
        <v>0</v>
      </c>
      <c r="I108" s="8">
        <v>70</v>
      </c>
      <c r="J108" s="8">
        <f>G108-H108</f>
        <v>6</v>
      </c>
      <c r="K108" s="36" t="s">
        <v>454</v>
      </c>
      <c r="L108" s="36"/>
      <c r="M108" s="36"/>
      <c r="N108" s="36"/>
      <c r="O108" s="36"/>
      <c r="P108" s="36"/>
      <c r="Q108" s="36"/>
      <c r="R108" s="36"/>
      <c r="S108" s="36"/>
      <c r="T108" s="36"/>
      <c r="U108" s="36"/>
      <c r="V108" s="8"/>
      <c r="W108" s="8"/>
      <c r="X108" s="8"/>
      <c r="AJ108" s="8" t="s">
        <v>328</v>
      </c>
      <c r="AK108" s="8" t="s">
        <v>329</v>
      </c>
      <c r="AL108" s="8"/>
      <c r="AO108" s="13">
        <f t="shared" si="19"/>
        <v>6.1440000000000001</v>
      </c>
      <c r="AP108" s="13">
        <f t="shared" si="20"/>
        <v>0</v>
      </c>
      <c r="AQ108" s="13">
        <f>IF(ISBLANK($A108),,ROUNDDOWN(I108*AS6*1.024,))</f>
        <v>64</v>
      </c>
      <c r="AR108" s="13">
        <f>IF(ISBLANK($A108),,ROUNDDOWN(L108*AS6*1.024,))</f>
        <v>0</v>
      </c>
      <c r="AS108" s="13">
        <f>IF(ISBLANK($A108),,ROUNDDOWN(N108*AS6*1.024,))</f>
        <v>0</v>
      </c>
      <c r="AT108" s="13">
        <f>IF(ISBLANK($A108),,ROUNDDOWN(P108*AS6*1.024,))</f>
        <v>0</v>
      </c>
      <c r="AU108" s="13">
        <f>IF(ISBLANK($A108),,ROUNDDOWN(R108*AS6*1.024,))</f>
        <v>0</v>
      </c>
      <c r="AV108" s="42">
        <f t="shared" si="21"/>
        <v>0</v>
      </c>
      <c r="AW108" s="13">
        <f>IF(ISBLANK($A108),,ROUNDDOWN(V108*AS6*1.024,))</f>
        <v>0</v>
      </c>
      <c r="AX108" s="13">
        <f>IF(ISBLANK($A108),,ROUNDDOWN(X108*AS6*1.024,))</f>
        <v>0</v>
      </c>
    </row>
    <row r="109" spans="1:50">
      <c r="F109" s="154">
        <f>SUM(F99:F108)+F96</f>
        <v>486</v>
      </c>
      <c r="G109" s="154">
        <f>SUM(G99:G108)+G96</f>
        <v>1417</v>
      </c>
      <c r="H109" s="154">
        <f>SUM(H99:H108)+H96</f>
        <v>403.25</v>
      </c>
      <c r="I109" s="154">
        <f>SUM(I99:I108)+I96</f>
        <v>8557</v>
      </c>
      <c r="J109" s="154"/>
      <c r="K109" s="154"/>
      <c r="L109" s="154">
        <f>SUM(L99:L108)+L96</f>
        <v>130</v>
      </c>
      <c r="M109" s="154"/>
      <c r="N109" s="154">
        <f>SUM(N99:N108)+N96</f>
        <v>2700</v>
      </c>
      <c r="O109" s="154"/>
      <c r="P109" s="154">
        <f>SUM(P99:P108)+P96</f>
        <v>3750</v>
      </c>
      <c r="Q109" s="154"/>
      <c r="R109" s="154">
        <f>SUM(R99:R108)+R96</f>
        <v>580</v>
      </c>
      <c r="S109" s="154"/>
      <c r="T109" s="154">
        <f>SUM(T99:T108)+T96</f>
        <v>300</v>
      </c>
      <c r="U109" s="154"/>
      <c r="V109" s="154">
        <f>SUM(V99:V108)+V96</f>
        <v>3000</v>
      </c>
      <c r="W109" s="154"/>
      <c r="X109" s="154">
        <f>SUM(X99:X108)+X96</f>
        <v>11375</v>
      </c>
      <c r="Y109" s="154"/>
      <c r="Z109" s="154">
        <f>SUM(Z99:Z108)+Z96</f>
        <v>200</v>
      </c>
      <c r="AA109" s="154"/>
      <c r="AB109" s="154">
        <f>SUM(AB99:AB108)+AB96</f>
        <v>50</v>
      </c>
      <c r="AC109" s="154"/>
      <c r="AD109" s="154">
        <f>SUM(AD99:AD108)+AD96</f>
        <v>170</v>
      </c>
      <c r="AE109" s="154"/>
      <c r="AF109" s="180">
        <f>SUM(AF99:AF108)+AF96</f>
        <v>200</v>
      </c>
      <c r="AG109" s="180"/>
      <c r="AH109" s="154">
        <f>SUM(AH99:AH108)+AH96</f>
        <v>3700</v>
      </c>
      <c r="AI109" s="154"/>
      <c r="AJ109" s="154"/>
      <c r="AK109" s="154" t="s">
        <v>704</v>
      </c>
      <c r="AL109" s="154">
        <v>3</v>
      </c>
    </row>
    <row r="110" spans="1:50">
      <c r="F110" s="154"/>
      <c r="G110" s="154"/>
      <c r="H110" s="154"/>
      <c r="I110" s="154"/>
      <c r="J110" s="154"/>
      <c r="K110" s="154"/>
      <c r="L110" s="154"/>
      <c r="M110" s="154"/>
      <c r="N110" s="154"/>
      <c r="O110" s="154"/>
      <c r="P110" s="154"/>
      <c r="Q110" s="154"/>
      <c r="R110" s="154"/>
      <c r="S110" s="154"/>
      <c r="T110" s="154"/>
      <c r="U110" s="154"/>
      <c r="V110" s="154"/>
      <c r="W110" s="154"/>
      <c r="X110" s="154"/>
      <c r="Y110" s="154"/>
      <c r="Z110" s="154"/>
      <c r="AA110" s="154"/>
      <c r="AB110" s="154"/>
      <c r="AC110" s="154"/>
      <c r="AD110" s="154"/>
      <c r="AE110" s="154"/>
      <c r="AF110" s="180"/>
      <c r="AG110" s="180"/>
      <c r="AH110" s="154"/>
      <c r="AI110" s="154"/>
      <c r="AJ110" s="154"/>
      <c r="AK110" s="154"/>
      <c r="AL110" s="154"/>
    </row>
    <row r="112" spans="1:50" ht="15">
      <c r="A112" s="219" t="s">
        <v>316</v>
      </c>
      <c r="B112" s="220"/>
      <c r="C112" s="220"/>
    </row>
    <row r="113" spans="1:3">
      <c r="A113" s="149" t="s">
        <v>455</v>
      </c>
      <c r="B113" s="149" t="s">
        <v>456</v>
      </c>
      <c r="C113" s="149" t="s">
        <v>457</v>
      </c>
    </row>
    <row r="114" spans="1:3">
      <c r="A114" s="124" t="s">
        <v>335</v>
      </c>
      <c r="B114" s="125">
        <f t="array" ref="B114">SUM(IF(K8:K107=A114,I8:K107,""))</f>
        <v>908</v>
      </c>
      <c r="C114" s="126">
        <v>1250</v>
      </c>
    </row>
    <row r="115" spans="1:3">
      <c r="A115" s="124" t="s">
        <v>337</v>
      </c>
      <c r="B115" s="125">
        <f t="array" ref="B115">SUM(IF(K8:K107=A115,I8:J107,""),AD23)</f>
        <v>1076.75</v>
      </c>
      <c r="C115" s="126">
        <v>1450</v>
      </c>
    </row>
    <row r="116" spans="1:3">
      <c r="A116" s="124" t="s">
        <v>343</v>
      </c>
      <c r="B116" s="125">
        <f t="array" ref="B116">SUM(IF(K8:K107=A116,I8:J107,""),AB19,AD24)</f>
        <v>1092</v>
      </c>
      <c r="C116" s="126">
        <v>1450</v>
      </c>
    </row>
    <row r="117" spans="1:3">
      <c r="A117" s="124" t="s">
        <v>458</v>
      </c>
      <c r="B117" s="126">
        <v>10</v>
      </c>
      <c r="C117" s="126">
        <v>40</v>
      </c>
    </row>
    <row r="118" spans="1:3">
      <c r="A118" s="124" t="s">
        <v>459</v>
      </c>
      <c r="B118" s="126">
        <v>10</v>
      </c>
      <c r="C118" s="126">
        <v>40</v>
      </c>
    </row>
    <row r="119" spans="1:3">
      <c r="A119" s="124" t="s">
        <v>460</v>
      </c>
      <c r="B119" s="126">
        <v>10</v>
      </c>
      <c r="C119" s="126">
        <v>40</v>
      </c>
    </row>
    <row r="120" spans="1:3">
      <c r="A120" s="124" t="s">
        <v>461</v>
      </c>
      <c r="B120" s="126">
        <v>10</v>
      </c>
      <c r="C120" s="126">
        <v>40</v>
      </c>
    </row>
    <row r="121" spans="1:3">
      <c r="A121" s="124" t="s">
        <v>462</v>
      </c>
      <c r="B121" s="126">
        <v>10</v>
      </c>
      <c r="C121" s="126">
        <v>40</v>
      </c>
    </row>
    <row r="122" spans="1:3">
      <c r="A122" s="124" t="s">
        <v>499</v>
      </c>
      <c r="B122" s="126">
        <v>10</v>
      </c>
      <c r="C122" s="126">
        <v>40</v>
      </c>
    </row>
    <row r="123" spans="1:3">
      <c r="A123" s="124" t="s">
        <v>519</v>
      </c>
      <c r="B123" s="126">
        <v>10</v>
      </c>
      <c r="C123" s="126">
        <v>40</v>
      </c>
    </row>
    <row r="124" spans="1:3">
      <c r="A124" s="124" t="s">
        <v>463</v>
      </c>
      <c r="B124" s="126">
        <f>C124*0.9*1.024</f>
        <v>119.80800000000001</v>
      </c>
      <c r="C124" s="126">
        <f>L11</f>
        <v>130</v>
      </c>
    </row>
    <row r="125" spans="1:3">
      <c r="A125" s="124" t="s">
        <v>464</v>
      </c>
      <c r="B125" s="145">
        <f>C125*0.9*1.024</f>
        <v>2304</v>
      </c>
      <c r="C125" s="145">
        <f>N11</f>
        <v>2500</v>
      </c>
    </row>
    <row r="126" spans="1:3">
      <c r="A126" s="124" t="s">
        <v>465</v>
      </c>
      <c r="B126" s="145">
        <f>C126*0.9*1.024</f>
        <v>3456</v>
      </c>
      <c r="C126" s="145">
        <f>P11</f>
        <v>3750</v>
      </c>
    </row>
    <row r="127" spans="1:3">
      <c r="A127" s="124" t="s">
        <v>130</v>
      </c>
      <c r="B127" s="126">
        <f>459+20</f>
        <v>479</v>
      </c>
      <c r="C127" s="126">
        <v>530</v>
      </c>
    </row>
    <row r="128" spans="1:3">
      <c r="A128" s="124" t="s">
        <v>137</v>
      </c>
      <c r="B128" s="126">
        <v>276.48</v>
      </c>
      <c r="C128" s="126">
        <v>300</v>
      </c>
    </row>
    <row r="129" spans="1:33">
      <c r="A129" s="124" t="s">
        <v>366</v>
      </c>
      <c r="B129" s="126">
        <v>184.32</v>
      </c>
      <c r="C129" s="126">
        <v>300</v>
      </c>
    </row>
    <row r="130" spans="1:33">
      <c r="A130" s="124" t="s">
        <v>466</v>
      </c>
      <c r="B130" s="145">
        <f>X11*0.9*1.024+X12*0.9*1.024+3200</f>
        <v>13683.199999999999</v>
      </c>
      <c r="C130" s="145">
        <f>VLOOKUP(N11,B143:K145,10,FALSE)</f>
        <v>15360</v>
      </c>
    </row>
    <row r="131" spans="1:33">
      <c r="A131" s="124" t="s">
        <v>467</v>
      </c>
      <c r="B131" s="143">
        <f>IF($N$11=2500,B130+3200,0)</f>
        <v>16883.199999999997</v>
      </c>
      <c r="C131" s="143">
        <f>IF($N$11=2500,C130+3400,0)</f>
        <v>18760</v>
      </c>
    </row>
    <row r="132" spans="1:33">
      <c r="A132" s="127" t="s">
        <v>468</v>
      </c>
      <c r="B132" s="125">
        <v>3072</v>
      </c>
      <c r="C132" s="128">
        <v>3700</v>
      </c>
    </row>
    <row r="133" spans="1:33" s="3" customFormat="1">
      <c r="A133" s="124" t="s">
        <v>327</v>
      </c>
      <c r="B133" s="145" cm="1">
        <f t="array" ref="B133">SUM(IF(K8:K108=A133,I8:J108,""))</f>
        <v>829</v>
      </c>
      <c r="C133" s="145">
        <f>IF(E9="vCSA7.0",900, 700)</f>
        <v>900</v>
      </c>
      <c r="AF133" s="156"/>
      <c r="AG133" s="156"/>
    </row>
    <row r="134" spans="1:33" s="156" customFormat="1">
      <c r="A134" s="124" t="s">
        <v>695</v>
      </c>
      <c r="B134" s="145">
        <f>IF(OR(E52=1,E52=2,E52=3,E52=4),VLOOKUP(E52,A150:F155,4,FALSE),VLOOKUP(1,A150:F155,4,FALSE))</f>
        <v>200</v>
      </c>
      <c r="C134" s="145">
        <f>IF(OR(E52=1,E52=2,E52=3,E52=4),VLOOKUP(E52,A150:F155,5,FALSE),VLOOKUP(1,A150:F155,5,FALSE))</f>
        <v>225</v>
      </c>
    </row>
    <row r="135" spans="1:33" s="156" customFormat="1">
      <c r="A135" s="169" t="s">
        <v>676</v>
      </c>
      <c r="B135" s="170">
        <v>58</v>
      </c>
      <c r="C135" s="171">
        <v>100</v>
      </c>
    </row>
    <row r="136" spans="1:33">
      <c r="A136" s="124" t="s">
        <v>405</v>
      </c>
      <c r="B136" s="126">
        <v>1110</v>
      </c>
      <c r="C136" s="126">
        <v>2500</v>
      </c>
    </row>
    <row r="137" spans="1:33">
      <c r="A137" s="85" t="s">
        <v>469</v>
      </c>
    </row>
    <row r="143" spans="1:33">
      <c r="A143" s="139"/>
      <c r="B143" s="140" t="s">
        <v>472</v>
      </c>
      <c r="C143" s="140" t="s">
        <v>473</v>
      </c>
      <c r="D143" s="141" t="s">
        <v>627</v>
      </c>
      <c r="E143" s="141" t="s">
        <v>474</v>
      </c>
      <c r="F143" s="140" t="s">
        <v>626</v>
      </c>
      <c r="G143" s="141" t="s">
        <v>122</v>
      </c>
      <c r="H143" s="140" t="s">
        <v>476</v>
      </c>
      <c r="I143" s="141" t="s">
        <v>126</v>
      </c>
      <c r="J143" s="141" t="s">
        <v>625</v>
      </c>
      <c r="K143" s="141" t="s">
        <v>478</v>
      </c>
      <c r="L143" s="141" t="s">
        <v>468</v>
      </c>
      <c r="M143" s="141" t="s">
        <v>628</v>
      </c>
    </row>
    <row r="144" spans="1:33">
      <c r="A144" s="142" t="s">
        <v>479</v>
      </c>
      <c r="B144" s="139">
        <v>2500</v>
      </c>
      <c r="C144" s="139">
        <v>2304</v>
      </c>
      <c r="D144" s="139">
        <v>90</v>
      </c>
      <c r="E144" s="35">
        <v>16</v>
      </c>
      <c r="F144" s="35">
        <v>74.25</v>
      </c>
      <c r="G144" s="147">
        <v>3750</v>
      </c>
      <c r="H144" s="139">
        <v>3456</v>
      </c>
      <c r="I144" s="147">
        <v>10875</v>
      </c>
      <c r="J144" s="35">
        <v>10022.4</v>
      </c>
      <c r="K144" s="147">
        <v>15360</v>
      </c>
      <c r="L144" s="35">
        <v>3700</v>
      </c>
      <c r="M144" s="35">
        <v>3072</v>
      </c>
    </row>
    <row r="145" spans="1:13">
      <c r="A145" s="142" t="s">
        <v>480</v>
      </c>
      <c r="B145" s="139">
        <v>6150</v>
      </c>
      <c r="C145" s="139">
        <f>B145*0.9*1.024</f>
        <v>5667.84</v>
      </c>
      <c r="D145" s="139">
        <v>115</v>
      </c>
      <c r="E145" s="35">
        <v>16</v>
      </c>
      <c r="F145" s="35">
        <v>94.875</v>
      </c>
      <c r="G145" s="139">
        <v>5100</v>
      </c>
      <c r="H145" s="139">
        <f>G145*0.9*1.024</f>
        <v>4700.16</v>
      </c>
      <c r="I145" s="139">
        <v>18450</v>
      </c>
      <c r="J145" s="35">
        <v>17003.52</v>
      </c>
      <c r="K145" s="139">
        <v>23000</v>
      </c>
      <c r="L145" s="35">
        <v>3700</v>
      </c>
      <c r="M145" s="35">
        <v>3072</v>
      </c>
    </row>
    <row r="150" spans="1:13">
      <c r="A150" s="195" t="s">
        <v>711</v>
      </c>
      <c r="B150" s="196"/>
      <c r="C150" s="196"/>
      <c r="D150" s="196"/>
      <c r="E150" s="196"/>
      <c r="F150" s="197"/>
    </row>
    <row r="151" spans="1:13" ht="51">
      <c r="A151" s="189" t="s">
        <v>712</v>
      </c>
      <c r="B151" s="189" t="s">
        <v>474</v>
      </c>
      <c r="C151" s="189" t="s">
        <v>713</v>
      </c>
      <c r="D151" s="189" t="s">
        <v>714</v>
      </c>
      <c r="E151" s="189" t="s">
        <v>714</v>
      </c>
      <c r="F151" s="189" t="s">
        <v>715</v>
      </c>
    </row>
    <row r="152" spans="1:13">
      <c r="A152" s="190">
        <v>1</v>
      </c>
      <c r="B152" s="190">
        <v>8</v>
      </c>
      <c r="C152" s="190">
        <v>24</v>
      </c>
      <c r="D152" s="190">
        <v>200</v>
      </c>
      <c r="E152" s="190">
        <v>225</v>
      </c>
      <c r="F152" s="190">
        <v>3000</v>
      </c>
    </row>
    <row r="153" spans="1:13">
      <c r="A153" s="190">
        <v>2</v>
      </c>
      <c r="B153" s="190">
        <v>10</v>
      </c>
      <c r="C153" s="190">
        <v>24</v>
      </c>
      <c r="D153" s="190">
        <v>200</v>
      </c>
      <c r="E153" s="190">
        <v>225</v>
      </c>
      <c r="F153" s="190">
        <v>3000</v>
      </c>
    </row>
    <row r="154" spans="1:13">
      <c r="A154" s="190">
        <v>3</v>
      </c>
      <c r="B154" s="190">
        <v>12</v>
      </c>
      <c r="C154" s="190">
        <v>32</v>
      </c>
      <c r="D154" s="190">
        <v>315</v>
      </c>
      <c r="E154" s="190">
        <v>350</v>
      </c>
      <c r="F154" s="190">
        <v>3000</v>
      </c>
    </row>
    <row r="155" spans="1:13">
      <c r="A155" s="190">
        <v>4</v>
      </c>
      <c r="B155" s="190">
        <v>12</v>
      </c>
      <c r="C155" s="190">
        <v>32</v>
      </c>
      <c r="D155" s="190">
        <v>315</v>
      </c>
      <c r="E155" s="190">
        <v>350</v>
      </c>
      <c r="F155" s="190">
        <v>3000</v>
      </c>
    </row>
  </sheetData>
  <mergeCells count="11">
    <mergeCell ref="A52:D52"/>
    <mergeCell ref="H47:O50"/>
    <mergeCell ref="A112:C112"/>
    <mergeCell ref="A48:D48"/>
    <mergeCell ref="A1:E1"/>
    <mergeCell ref="A3:B3"/>
    <mergeCell ref="F3:G3"/>
    <mergeCell ref="A4:B4"/>
    <mergeCell ref="A5:B5"/>
    <mergeCell ref="A47:D47"/>
    <mergeCell ref="A50:D50"/>
  </mergeCells>
  <dataValidations count="3">
    <dataValidation type="list" allowBlank="1" showInputMessage="1" showErrorMessage="1" sqref="N11" xr:uid="{FF0FCBE8-BAAD-477C-9138-21C5C6F51061}">
      <formula1>$B144:$B145</formula1>
    </dataValidation>
    <dataValidation type="list" allowBlank="1" showInputMessage="1" showErrorMessage="1" sqref="E9" xr:uid="{7B852DC0-A5F0-4D55-AB41-0177B081305F}">
      <formula1>"vCSA7.0, vCSA6.5"</formula1>
    </dataValidation>
    <dataValidation type="list" allowBlank="1" showInputMessage="1" showErrorMessage="1" error="1 To 4 NetAct cluster are allowed to integrated to a Single NAPD." prompt="Select total number of NetAct clusters planned to integrate to NAPD. By default, computing resources shown is for ONE NetAct cluster." sqref="E52" xr:uid="{8EDBCCAA-7589-4194-9345-1C740D9CF10D}">
      <formula1>"1,2,3,4"</formula1>
    </dataValidation>
  </dataValidations>
  <hyperlinks>
    <hyperlink ref="F3:G3" location="Shortcuts!A1" display="Back to shortcuts" xr:uid="{34B22547-3C07-4293-B254-11C12C83D079}"/>
  </hyperlink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D871-4D6E-4DAD-8DC8-FF119AB4159D}">
  <dimension ref="A1:AV143"/>
  <sheetViews>
    <sheetView zoomScale="87" zoomScaleNormal="87" zoomScalePageLayoutView="70" workbookViewId="0">
      <selection sqref="A1:E1"/>
    </sheetView>
  </sheetViews>
  <sheetFormatPr defaultColWidth="8.5703125" defaultRowHeight="12.75"/>
  <cols>
    <col min="1" max="1" width="34" style="35" customWidth="1"/>
    <col min="2" max="2" width="14.5703125" style="35" customWidth="1"/>
    <col min="3" max="3" width="15.5703125" style="35" customWidth="1"/>
    <col min="4" max="4" width="23.5703125" style="35" customWidth="1"/>
    <col min="5" max="5" width="55" style="35" customWidth="1"/>
    <col min="6" max="7" width="8.5703125" style="35"/>
    <col min="8" max="8" width="21.42578125" style="35" customWidth="1"/>
    <col min="9" max="10" width="8.5703125" style="35"/>
    <col min="11" max="11" width="17.85546875" style="35" customWidth="1"/>
    <col min="12" max="12" width="9.42578125" style="35" customWidth="1"/>
    <col min="13" max="13" width="9.5703125" style="35" customWidth="1"/>
    <col min="14" max="14" width="8.5703125" style="35"/>
    <col min="15" max="15" width="11.5703125" style="35" customWidth="1"/>
    <col min="16" max="16" width="8.5703125" style="35"/>
    <col min="17" max="17" width="9.5703125" style="35" customWidth="1"/>
    <col min="18" max="18" width="8.5703125" style="35"/>
    <col min="19" max="19" width="9.5703125" style="35" customWidth="1"/>
    <col min="20" max="20" width="8.5703125" style="35"/>
    <col min="21" max="21" width="9.5703125" style="35" customWidth="1"/>
    <col min="22" max="22" width="8.5703125" style="35"/>
    <col min="23" max="23" width="9.5703125" style="35" customWidth="1"/>
    <col min="24" max="24" width="12.42578125" style="35" customWidth="1"/>
    <col min="25" max="26" width="9.5703125" style="35" customWidth="1"/>
    <col min="27" max="33" width="12.5703125" style="35" customWidth="1"/>
    <col min="34" max="34" width="22" style="35" customWidth="1"/>
    <col min="35" max="35" width="12.42578125" style="35" customWidth="1"/>
    <col min="36" max="36" width="13.42578125" style="35" customWidth="1"/>
    <col min="37" max="39" width="8.5703125" style="35"/>
    <col min="40" max="40" width="21.5703125" style="35" customWidth="1"/>
    <col min="41" max="47" width="8.5703125" style="35"/>
    <col min="48" max="48" width="10.42578125" style="35" customWidth="1"/>
    <col min="49" max="16384" width="8.5703125" style="35"/>
  </cols>
  <sheetData>
    <row r="1" spans="1:48">
      <c r="A1" s="215" t="s">
        <v>4</v>
      </c>
      <c r="B1" s="215"/>
      <c r="C1" s="215"/>
      <c r="D1" s="215"/>
      <c r="E1" s="216"/>
      <c r="F1" s="60" t="s">
        <v>707</v>
      </c>
    </row>
    <row r="3" spans="1:48" ht="15">
      <c r="A3" s="230" t="s">
        <v>632</v>
      </c>
      <c r="B3" s="230"/>
      <c r="C3" s="46"/>
      <c r="D3" s="35" t="s">
        <v>304</v>
      </c>
      <c r="F3" s="226" t="s">
        <v>302</v>
      </c>
      <c r="G3" s="226"/>
    </row>
    <row r="4" spans="1:48">
      <c r="A4" s="230" t="s">
        <v>303</v>
      </c>
      <c r="B4" s="230"/>
      <c r="C4" s="35" t="s">
        <v>306</v>
      </c>
    </row>
    <row r="5" spans="1:48">
      <c r="A5" s="230" t="s">
        <v>305</v>
      </c>
      <c r="B5" s="230"/>
      <c r="C5" s="35" t="s">
        <v>648</v>
      </c>
    </row>
    <row r="6" spans="1:48">
      <c r="C6" s="156" t="s">
        <v>645</v>
      </c>
      <c r="AM6" s="38" t="s">
        <v>308</v>
      </c>
      <c r="AN6" s="38"/>
      <c r="AP6" s="35" t="s">
        <v>309</v>
      </c>
      <c r="AQ6" s="35">
        <v>0.9</v>
      </c>
    </row>
    <row r="7" spans="1:48">
      <c r="A7" s="61" t="s">
        <v>164</v>
      </c>
      <c r="B7" s="61" t="s">
        <v>310</v>
      </c>
      <c r="C7" s="61" t="s">
        <v>311</v>
      </c>
      <c r="D7" s="61" t="s">
        <v>312</v>
      </c>
      <c r="E7" s="61" t="s">
        <v>313</v>
      </c>
      <c r="F7" s="37" t="s">
        <v>103</v>
      </c>
      <c r="G7" s="37" t="s">
        <v>109</v>
      </c>
      <c r="H7" s="37" t="s">
        <v>314</v>
      </c>
      <c r="I7" s="37" t="s">
        <v>113</v>
      </c>
      <c r="J7" s="37" t="s">
        <v>315</v>
      </c>
      <c r="K7" s="37" t="s">
        <v>316</v>
      </c>
      <c r="L7" s="37" t="s">
        <v>118</v>
      </c>
      <c r="M7" s="37" t="s">
        <v>316</v>
      </c>
      <c r="N7" s="37" t="s">
        <v>20</v>
      </c>
      <c r="O7" s="37" t="s">
        <v>316</v>
      </c>
      <c r="P7" s="37" t="s">
        <v>122</v>
      </c>
      <c r="Q7" s="37" t="s">
        <v>316</v>
      </c>
      <c r="R7" s="37" t="s">
        <v>130</v>
      </c>
      <c r="S7" s="37" t="s">
        <v>316</v>
      </c>
      <c r="T7" s="37" t="s">
        <v>137</v>
      </c>
      <c r="U7" s="37" t="s">
        <v>316</v>
      </c>
      <c r="V7" s="37" t="s">
        <v>126</v>
      </c>
      <c r="W7" s="37" t="s">
        <v>316</v>
      </c>
      <c r="X7" s="37" t="s">
        <v>317</v>
      </c>
      <c r="Y7" s="37" t="s">
        <v>316</v>
      </c>
      <c r="Z7" s="37" t="s">
        <v>481</v>
      </c>
      <c r="AA7" s="37" t="s">
        <v>316</v>
      </c>
      <c r="AB7" s="4" t="s">
        <v>319</v>
      </c>
      <c r="AC7" s="4" t="s">
        <v>316</v>
      </c>
      <c r="AD7" s="4" t="s">
        <v>320</v>
      </c>
      <c r="AE7" s="4" t="s">
        <v>316</v>
      </c>
      <c r="AF7" s="4" t="s">
        <v>692</v>
      </c>
      <c r="AG7" s="4" t="s">
        <v>316</v>
      </c>
      <c r="AH7" s="37" t="s">
        <v>322</v>
      </c>
      <c r="AI7" s="37" t="s">
        <v>323</v>
      </c>
      <c r="AJ7" s="37" t="s">
        <v>324</v>
      </c>
      <c r="AM7" s="37" t="s">
        <v>109</v>
      </c>
      <c r="AN7" s="37" t="s">
        <v>314</v>
      </c>
      <c r="AO7" s="37" t="s">
        <v>113</v>
      </c>
      <c r="AP7" s="37" t="s">
        <v>118</v>
      </c>
      <c r="AQ7" s="37" t="s">
        <v>20</v>
      </c>
      <c r="AR7" s="37" t="s">
        <v>122</v>
      </c>
      <c r="AS7" s="37" t="s">
        <v>130</v>
      </c>
      <c r="AT7" s="37" t="s">
        <v>137</v>
      </c>
      <c r="AU7" s="37" t="s">
        <v>126</v>
      </c>
      <c r="AV7" s="37" t="s">
        <v>317</v>
      </c>
    </row>
    <row r="8" spans="1:48">
      <c r="A8" s="35" t="s">
        <v>325</v>
      </c>
      <c r="D8" s="35" t="s">
        <v>453</v>
      </c>
      <c r="E8" s="35" t="s">
        <v>8</v>
      </c>
      <c r="F8" s="154">
        <v>4</v>
      </c>
      <c r="G8" s="154">
        <v>4</v>
      </c>
      <c r="H8" s="154">
        <v>0</v>
      </c>
      <c r="I8" s="154">
        <v>350</v>
      </c>
      <c r="J8" s="154">
        <f>G8-H8</f>
        <v>4</v>
      </c>
      <c r="K8" s="154" t="s">
        <v>327</v>
      </c>
      <c r="L8" s="154"/>
      <c r="M8" s="154"/>
      <c r="N8" s="154"/>
      <c r="O8" s="154"/>
      <c r="P8" s="154"/>
      <c r="Q8" s="154"/>
      <c r="R8" s="154"/>
      <c r="S8" s="154"/>
      <c r="T8" s="154"/>
      <c r="U8" s="154"/>
      <c r="V8" s="154"/>
      <c r="W8" s="154"/>
      <c r="X8" s="154"/>
      <c r="Y8" s="154"/>
      <c r="Z8" s="154"/>
      <c r="AA8" s="154"/>
      <c r="AB8" s="154"/>
      <c r="AC8" s="154"/>
      <c r="AD8" s="154"/>
      <c r="AE8" s="154"/>
      <c r="AF8" s="180"/>
      <c r="AG8" s="180"/>
      <c r="AH8" s="154" t="s">
        <v>328</v>
      </c>
      <c r="AI8" s="154" t="s">
        <v>329</v>
      </c>
      <c r="AJ8" s="154"/>
      <c r="AM8" s="35">
        <f t="shared" ref="AM8:AM43" si="0">IF(ISBLANK($A8),,G8*1.024)</f>
        <v>4.0960000000000001</v>
      </c>
      <c r="AN8" s="35">
        <f t="shared" ref="AN8:AN43" si="1">IF(ISBLANK($A8),,H8*1.024)</f>
        <v>0</v>
      </c>
      <c r="AO8" s="35">
        <f>IF(ISBLANK($A8),,ROUNDDOWN(I8*AQ6*1.024,))</f>
        <v>322</v>
      </c>
      <c r="AP8" s="35">
        <f>IF(ISBLANK($A8),,ROUNDDOWN(L8*AQ6*1.024,))</f>
        <v>0</v>
      </c>
      <c r="AQ8" s="35">
        <f>IF(ISBLANK($A8),,ROUNDDOWN(N8*AQ6*1.024,))</f>
        <v>0</v>
      </c>
      <c r="AR8" s="35">
        <f>IF(ISBLANK($A8),,ROUNDDOWN(P8*AQ6*1.024,))</f>
        <v>0</v>
      </c>
      <c r="AS8" s="35">
        <f>IF(ISBLANK($A8),,ROUNDDOWN(R8*AQ6*1.024,))</f>
        <v>0</v>
      </c>
      <c r="AT8" s="35">
        <f t="shared" ref="AT8:AT43" si="2">IF(ISBLANK($A8),,ROUNDDOWN(T8*AQ$6*1.024,))</f>
        <v>0</v>
      </c>
      <c r="AU8" s="35">
        <f>IF(ISBLANK($A8),,ROUNDDOWN(V8*AQ6*1.024,))</f>
        <v>0</v>
      </c>
      <c r="AV8" s="35">
        <f>IF(ISBLANK($A8),,ROUNDDOWN(X8*AQ6*1.024,))</f>
        <v>0</v>
      </c>
    </row>
    <row r="9" spans="1:48">
      <c r="A9" s="35" t="s">
        <v>330</v>
      </c>
      <c r="D9" s="160" t="str">
        <f>IF(E9="vCSA7.0","VPOS3.0", "VPL1.0")</f>
        <v>VPOS3.0</v>
      </c>
      <c r="E9" s="160" t="s">
        <v>644</v>
      </c>
      <c r="F9" s="154">
        <v>4</v>
      </c>
      <c r="G9" s="143">
        <f>IF(E9="vCSA7.0",19, 10)</f>
        <v>19</v>
      </c>
      <c r="H9" s="154">
        <v>0</v>
      </c>
      <c r="I9" s="143">
        <f>IF(E9="vCSA7.0",450, 250)</f>
        <v>450</v>
      </c>
      <c r="J9" s="154">
        <v>25</v>
      </c>
      <c r="K9" s="154" t="s">
        <v>327</v>
      </c>
      <c r="L9" s="154"/>
      <c r="M9" s="154"/>
      <c r="N9" s="154"/>
      <c r="O9" s="154"/>
      <c r="P9" s="154"/>
      <c r="Q9" s="154"/>
      <c r="R9" s="154"/>
      <c r="S9" s="154"/>
      <c r="T9" s="154"/>
      <c r="U9" s="154"/>
      <c r="V9" s="154"/>
      <c r="W9" s="154"/>
      <c r="X9" s="154"/>
      <c r="Y9" s="154"/>
      <c r="Z9" s="154"/>
      <c r="AA9" s="154"/>
      <c r="AB9" s="154"/>
      <c r="AC9" s="154"/>
      <c r="AD9" s="154"/>
      <c r="AE9" s="154"/>
      <c r="AF9" s="180"/>
      <c r="AG9" s="180"/>
      <c r="AH9" s="154" t="s">
        <v>328</v>
      </c>
      <c r="AI9" s="154" t="s">
        <v>329</v>
      </c>
      <c r="AJ9" s="154"/>
      <c r="AM9" s="35">
        <f t="shared" si="0"/>
        <v>19.456</v>
      </c>
      <c r="AN9" s="35">
        <f t="shared" si="1"/>
        <v>0</v>
      </c>
      <c r="AO9" s="35">
        <f>IF(ISBLANK($A9),,ROUNDDOWN(I9*AQ6*1.024,))</f>
        <v>414</v>
      </c>
      <c r="AP9" s="35">
        <f>IF(ISBLANK($A9),,ROUNDDOWN(L9*AQ6*1.024,))</f>
        <v>0</v>
      </c>
      <c r="AQ9" s="35">
        <f>IF(ISBLANK($A9),,ROUNDDOWN(N9*AQ6*1.024,))</f>
        <v>0</v>
      </c>
      <c r="AR9" s="35">
        <f>IF(ISBLANK($A9),,ROUNDDOWN(P9*AQ6*1.024,))</f>
        <v>0</v>
      </c>
      <c r="AS9" s="35">
        <f>IF(ISBLANK($A9),,ROUNDDOWN(R9*AQ6*1.024,))</f>
        <v>0</v>
      </c>
      <c r="AT9" s="35">
        <f t="shared" si="2"/>
        <v>0</v>
      </c>
      <c r="AU9" s="35">
        <f>IF(ISBLANK($A9),,ROUNDDOWN(V9*AQ6*1.024,))</f>
        <v>0</v>
      </c>
      <c r="AV9" s="35">
        <f>IF(ISBLANK($A9),,ROUNDDOWN(X9*AQ6*1.024,))</f>
        <v>0</v>
      </c>
    </row>
    <row r="10" spans="1:48">
      <c r="A10" s="35" t="s">
        <v>331</v>
      </c>
      <c r="B10" s="154" t="s">
        <v>332</v>
      </c>
      <c r="C10" s="35" t="s">
        <v>333</v>
      </c>
      <c r="D10" s="35" t="s">
        <v>453</v>
      </c>
      <c r="E10" s="35" t="s">
        <v>16</v>
      </c>
      <c r="F10" s="154">
        <v>6</v>
      </c>
      <c r="G10" s="154">
        <v>6</v>
      </c>
      <c r="H10" s="154">
        <v>6</v>
      </c>
      <c r="I10" s="154">
        <v>41</v>
      </c>
      <c r="J10" s="154">
        <f t="shared" ref="J10:J41" si="3">G10-H10</f>
        <v>0</v>
      </c>
      <c r="K10" s="154" t="s">
        <v>335</v>
      </c>
      <c r="L10" s="154"/>
      <c r="M10" s="154"/>
      <c r="N10" s="154"/>
      <c r="O10" s="154"/>
      <c r="P10" s="154"/>
      <c r="Q10" s="154"/>
      <c r="R10" s="154"/>
      <c r="S10" s="154"/>
      <c r="T10" s="154"/>
      <c r="U10" s="154"/>
      <c r="V10" s="154"/>
      <c r="W10" s="154"/>
      <c r="X10" s="154"/>
      <c r="Y10" s="154"/>
      <c r="Z10" s="154"/>
      <c r="AA10" s="154"/>
      <c r="AB10" s="154"/>
      <c r="AC10" s="154"/>
      <c r="AD10" s="154"/>
      <c r="AE10" s="154"/>
      <c r="AF10" s="180"/>
      <c r="AG10" s="180"/>
      <c r="AH10" s="154" t="s">
        <v>328</v>
      </c>
      <c r="AI10" s="154" t="s">
        <v>329</v>
      </c>
      <c r="AJ10" s="154"/>
      <c r="AM10" s="35">
        <f t="shared" si="0"/>
        <v>6.1440000000000001</v>
      </c>
      <c r="AN10" s="35">
        <f t="shared" si="1"/>
        <v>6.1440000000000001</v>
      </c>
      <c r="AO10" s="35">
        <f>IF(ISBLANK($A10),,ROUNDDOWN(I10*AQ6*1.024,))</f>
        <v>37</v>
      </c>
      <c r="AP10" s="35">
        <f>IF(ISBLANK($A10),,ROUNDDOWN(L10*AQ6*1.024,))</f>
        <v>0</v>
      </c>
      <c r="AQ10" s="35">
        <f>IF(ISBLANK($A10),,ROUNDDOWN(N10*AQ6*1.024,))</f>
        <v>0</v>
      </c>
      <c r="AR10" s="35">
        <f>IF(ISBLANK($A10),,ROUNDDOWN(P10*AQ6*1.024,))</f>
        <v>0</v>
      </c>
      <c r="AS10" s="35">
        <f>IF(ISBLANK($A10),,ROUNDDOWN(R10*AQ6*1.024,))</f>
        <v>0</v>
      </c>
      <c r="AT10" s="35">
        <f t="shared" si="2"/>
        <v>0</v>
      </c>
      <c r="AU10" s="35">
        <f>IF(ISBLANK($A10),,ROUNDDOWN(V10*AQ6*1.024,))</f>
        <v>0</v>
      </c>
      <c r="AV10" s="35">
        <f>IF(ISBLANK($A10),,ROUNDDOWN(X10*AQ6*1.024,))</f>
        <v>0</v>
      </c>
    </row>
    <row r="11" spans="1:48">
      <c r="A11" s="35" t="s">
        <v>336</v>
      </c>
      <c r="B11" s="154"/>
      <c r="C11" s="35" t="s">
        <v>333</v>
      </c>
      <c r="D11" s="35" t="s">
        <v>453</v>
      </c>
      <c r="E11" s="35" t="s">
        <v>20</v>
      </c>
      <c r="F11" s="154">
        <v>16</v>
      </c>
      <c r="G11" s="154">
        <v>160</v>
      </c>
      <c r="H11" s="154">
        <f>(G11*82.5)/100</f>
        <v>132</v>
      </c>
      <c r="I11" s="154">
        <v>91</v>
      </c>
      <c r="J11" s="154">
        <f t="shared" si="3"/>
        <v>28</v>
      </c>
      <c r="K11" s="154" t="s">
        <v>337</v>
      </c>
      <c r="L11" s="154">
        <v>500</v>
      </c>
      <c r="M11" s="154" t="s">
        <v>338</v>
      </c>
      <c r="N11" s="154">
        <v>9000</v>
      </c>
      <c r="O11" s="154" t="s">
        <v>339</v>
      </c>
      <c r="P11" s="154">
        <v>13500</v>
      </c>
      <c r="Q11" s="154" t="s">
        <v>340</v>
      </c>
      <c r="R11" s="154"/>
      <c r="S11" s="154"/>
      <c r="T11" s="154"/>
      <c r="U11" s="154"/>
      <c r="V11" s="154"/>
      <c r="W11" s="154"/>
      <c r="X11" s="154">
        <v>30556</v>
      </c>
      <c r="Y11" s="154" t="s">
        <v>126</v>
      </c>
      <c r="Z11" s="154"/>
      <c r="AA11" s="154"/>
      <c r="AB11" s="154"/>
      <c r="AC11" s="154"/>
      <c r="AD11" s="154"/>
      <c r="AE11" s="154"/>
      <c r="AF11" s="180"/>
      <c r="AG11" s="180"/>
      <c r="AH11" s="154" t="s">
        <v>328</v>
      </c>
      <c r="AI11" s="154" t="s">
        <v>329</v>
      </c>
      <c r="AJ11" s="154"/>
      <c r="AM11" s="35">
        <f t="shared" si="0"/>
        <v>163.84</v>
      </c>
      <c r="AN11" s="35">
        <f t="shared" si="1"/>
        <v>135.16800000000001</v>
      </c>
      <c r="AO11" s="35">
        <f>IF(ISBLANK($A11),,ROUNDDOWN(I11*AQ6*1.024,))</f>
        <v>83</v>
      </c>
      <c r="AP11" s="35">
        <f>IF(ISBLANK($A11),,ROUNDDOWN(L11*AQ6*1.024,))</f>
        <v>460</v>
      </c>
      <c r="AQ11" s="35">
        <f>IF(ISBLANK($A11),,ROUNDDOWN(N11*AQ6*1.024,))</f>
        <v>8294</v>
      </c>
      <c r="AR11" s="35">
        <f>IF(ISBLANK($A11),,ROUNDDOWN(P11*AQ6*1.024,))</f>
        <v>12441</v>
      </c>
      <c r="AS11" s="35">
        <f>IF(ISBLANK($A11),,ROUNDDOWN(R11*AQ6*1.024,))</f>
        <v>0</v>
      </c>
      <c r="AT11" s="35">
        <f t="shared" si="2"/>
        <v>0</v>
      </c>
      <c r="AU11" s="35">
        <f>IF(ISBLANK($A11),,ROUNDDOWN(V11*AQ6*1.024,))</f>
        <v>0</v>
      </c>
      <c r="AV11" s="35">
        <f>IF(ISBLANK($A11),,ROUNDDOWN(X11*AQ6*1.024,))</f>
        <v>28160</v>
      </c>
    </row>
    <row r="12" spans="1:48">
      <c r="A12" s="35" t="s">
        <v>342</v>
      </c>
      <c r="B12" s="154" t="s">
        <v>332</v>
      </c>
      <c r="C12" s="35" t="s">
        <v>333</v>
      </c>
      <c r="D12" s="35" t="s">
        <v>453</v>
      </c>
      <c r="E12" s="35" t="s">
        <v>24</v>
      </c>
      <c r="F12" s="154">
        <v>8</v>
      </c>
      <c r="G12" s="154">
        <v>7</v>
      </c>
      <c r="H12" s="154">
        <v>7</v>
      </c>
      <c r="I12" s="154">
        <v>46</v>
      </c>
      <c r="J12" s="154">
        <f t="shared" si="3"/>
        <v>0</v>
      </c>
      <c r="K12" s="154" t="s">
        <v>343</v>
      </c>
      <c r="L12" s="154"/>
      <c r="M12" s="154"/>
      <c r="N12" s="154"/>
      <c r="O12" s="154"/>
      <c r="P12" s="154"/>
      <c r="Q12" s="154"/>
      <c r="R12" s="154">
        <v>850</v>
      </c>
      <c r="S12" s="154" t="s">
        <v>344</v>
      </c>
      <c r="T12" s="152">
        <v>300</v>
      </c>
      <c r="U12" s="154" t="s">
        <v>137</v>
      </c>
      <c r="V12" s="154"/>
      <c r="W12" s="154"/>
      <c r="X12" s="154">
        <v>500</v>
      </c>
      <c r="Y12" s="154" t="s">
        <v>126</v>
      </c>
      <c r="Z12" s="154"/>
      <c r="AA12" s="154"/>
      <c r="AB12" s="154"/>
      <c r="AC12" s="154"/>
      <c r="AD12" s="154"/>
      <c r="AE12" s="154"/>
      <c r="AF12" s="180"/>
      <c r="AG12" s="180"/>
      <c r="AH12" s="154" t="s">
        <v>328</v>
      </c>
      <c r="AI12" s="154" t="s">
        <v>329</v>
      </c>
      <c r="AJ12" s="154"/>
      <c r="AM12" s="35">
        <f t="shared" si="0"/>
        <v>7.1680000000000001</v>
      </c>
      <c r="AN12" s="35">
        <f t="shared" si="1"/>
        <v>7.1680000000000001</v>
      </c>
      <c r="AO12" s="35">
        <f>IF(ISBLANK($A12),,ROUNDDOWN(I12*AQ6*1.024,))</f>
        <v>42</v>
      </c>
      <c r="AP12" s="35">
        <f>IF(ISBLANK($A12),,ROUNDDOWN(L12*AQ6*1.024,))</f>
        <v>0</v>
      </c>
      <c r="AQ12" s="35">
        <f>IF(ISBLANK($A12),,ROUNDDOWN(N12*AQ6*1.024,))</f>
        <v>0</v>
      </c>
      <c r="AR12" s="35">
        <f>IF(ISBLANK($A12),,ROUNDDOWN(P12*AQ6*1.024,))</f>
        <v>0</v>
      </c>
      <c r="AS12" s="35">
        <f>IF(ISBLANK($A12),,ROUNDDOWN(R12*AQ6*1.024,))</f>
        <v>783</v>
      </c>
      <c r="AT12" s="35">
        <f t="shared" si="2"/>
        <v>276</v>
      </c>
      <c r="AU12" s="35">
        <f>IF(ISBLANK($A12),,ROUNDDOWN(V12*AQ6*1.024,))</f>
        <v>0</v>
      </c>
      <c r="AV12" s="35">
        <f>IF(ISBLANK($A12),,ROUNDDOWN(X12*AQ6*1.024,))</f>
        <v>460</v>
      </c>
    </row>
    <row r="13" spans="1:48">
      <c r="A13" s="35" t="s">
        <v>345</v>
      </c>
      <c r="C13" s="35" t="s">
        <v>333</v>
      </c>
      <c r="D13" s="35" t="s">
        <v>453</v>
      </c>
      <c r="E13" s="35" t="s">
        <v>28</v>
      </c>
      <c r="F13" s="154">
        <v>2</v>
      </c>
      <c r="G13" s="154">
        <v>2</v>
      </c>
      <c r="H13" s="154">
        <v>0</v>
      </c>
      <c r="I13" s="154">
        <v>31</v>
      </c>
      <c r="J13" s="154">
        <f t="shared" si="3"/>
        <v>2</v>
      </c>
      <c r="K13" s="154" t="s">
        <v>335</v>
      </c>
      <c r="L13" s="154"/>
      <c r="M13" s="154"/>
      <c r="N13" s="154"/>
      <c r="O13" s="154"/>
      <c r="P13" s="154"/>
      <c r="Q13" s="154"/>
      <c r="R13" s="154"/>
      <c r="S13" s="154"/>
      <c r="T13" s="154"/>
      <c r="U13" s="154"/>
      <c r="V13" s="154"/>
      <c r="W13" s="154"/>
      <c r="X13" s="154"/>
      <c r="Y13" s="154"/>
      <c r="Z13" s="154"/>
      <c r="AA13" s="154"/>
      <c r="AB13" s="154"/>
      <c r="AC13" s="154"/>
      <c r="AD13" s="154"/>
      <c r="AE13" s="154"/>
      <c r="AF13" s="180"/>
      <c r="AG13" s="180"/>
      <c r="AH13" s="154" t="s">
        <v>346</v>
      </c>
      <c r="AI13" s="152" t="s">
        <v>347</v>
      </c>
      <c r="AJ13" s="154" t="s">
        <v>329</v>
      </c>
      <c r="AM13" s="35">
        <f t="shared" si="0"/>
        <v>2.048</v>
      </c>
      <c r="AN13" s="35">
        <f t="shared" si="1"/>
        <v>0</v>
      </c>
      <c r="AO13" s="35">
        <f>IF(ISBLANK($A13),,ROUNDDOWN(I13*AQ6*1.024,))</f>
        <v>28</v>
      </c>
      <c r="AP13" s="35">
        <f>IF(ISBLANK($A13),,ROUNDDOWN(L13*AQ6*1.024,))</f>
        <v>0</v>
      </c>
      <c r="AQ13" s="35">
        <f>IF(ISBLANK($A13),,ROUNDDOWN(N13*AQ6*1.024,))</f>
        <v>0</v>
      </c>
      <c r="AR13" s="35">
        <f>IF(ISBLANK($A13),,ROUNDDOWN(P13*AQ6*1.024,))</f>
        <v>0</v>
      </c>
      <c r="AS13" s="35">
        <f>IF(ISBLANK($A13),,ROUNDDOWN(R13*AQ6*1.024,))</f>
        <v>0</v>
      </c>
      <c r="AT13" s="35">
        <f t="shared" si="2"/>
        <v>0</v>
      </c>
      <c r="AU13" s="35">
        <f>IF(ISBLANK($A13),,ROUNDDOWN(V13*AQ6*1.024,))</f>
        <v>0</v>
      </c>
      <c r="AV13" s="35">
        <f>IF(ISBLANK($A13),,ROUNDDOWN(X13*AQ6*1.024,))</f>
        <v>0</v>
      </c>
    </row>
    <row r="14" spans="1:48">
      <c r="A14" s="35" t="s">
        <v>348</v>
      </c>
      <c r="C14" s="35" t="s">
        <v>333</v>
      </c>
      <c r="D14" s="35" t="s">
        <v>453</v>
      </c>
      <c r="E14" s="35" t="s">
        <v>32</v>
      </c>
      <c r="F14" s="154">
        <v>2</v>
      </c>
      <c r="G14" s="154">
        <v>5</v>
      </c>
      <c r="H14" s="154">
        <v>0</v>
      </c>
      <c r="I14" s="154">
        <v>31</v>
      </c>
      <c r="J14" s="154">
        <f t="shared" si="3"/>
        <v>5</v>
      </c>
      <c r="K14" s="154" t="s">
        <v>337</v>
      </c>
      <c r="L14" s="154"/>
      <c r="M14" s="154"/>
      <c r="N14" s="154"/>
      <c r="O14" s="154"/>
      <c r="P14" s="154"/>
      <c r="Q14" s="154"/>
      <c r="R14" s="154"/>
      <c r="S14" s="154"/>
      <c r="T14" s="154"/>
      <c r="U14" s="154"/>
      <c r="V14" s="154"/>
      <c r="W14" s="154"/>
      <c r="X14" s="154"/>
      <c r="Y14" s="154"/>
      <c r="Z14" s="154"/>
      <c r="AA14" s="154"/>
      <c r="AB14" s="154"/>
      <c r="AC14" s="154"/>
      <c r="AD14" s="154"/>
      <c r="AE14" s="154"/>
      <c r="AF14" s="180"/>
      <c r="AG14" s="180"/>
      <c r="AH14" s="154" t="s">
        <v>328</v>
      </c>
      <c r="AI14" s="154" t="s">
        <v>329</v>
      </c>
      <c r="AJ14" s="154"/>
      <c r="AM14" s="35">
        <f t="shared" si="0"/>
        <v>5.12</v>
      </c>
      <c r="AN14" s="35">
        <f t="shared" si="1"/>
        <v>0</v>
      </c>
      <c r="AO14" s="35">
        <f>IF(ISBLANK($A14),,ROUNDDOWN(I14*AQ6*1.024,))</f>
        <v>28</v>
      </c>
      <c r="AP14" s="35">
        <f>IF(ISBLANK($A14),,ROUNDDOWN(L14*AQ6*1.024,))</f>
        <v>0</v>
      </c>
      <c r="AQ14" s="35">
        <f>IF(ISBLANK($A14),,ROUNDDOWN(N14*AQ6*1.024,))</f>
        <v>0</v>
      </c>
      <c r="AR14" s="35">
        <f>IF(ISBLANK($A14),,ROUNDDOWN(P14*AQ6*1.024,))</f>
        <v>0</v>
      </c>
      <c r="AS14" s="35">
        <f>IF(ISBLANK($A14),,ROUNDDOWN(R14*AQ6*1.024,))</f>
        <v>0</v>
      </c>
      <c r="AT14" s="35">
        <f t="shared" si="2"/>
        <v>0</v>
      </c>
      <c r="AU14" s="35">
        <f>IF(ISBLANK($A14),,ROUNDDOWN(V14*AQ6*1.024,))</f>
        <v>0</v>
      </c>
      <c r="AV14" s="35">
        <f>IF(ISBLANK($A14),,ROUNDDOWN(X14*AQ6*1.024,))</f>
        <v>0</v>
      </c>
    </row>
    <row r="15" spans="1:48">
      <c r="A15" s="35" t="s">
        <v>349</v>
      </c>
      <c r="C15" s="35" t="s">
        <v>333</v>
      </c>
      <c r="D15" s="35" t="s">
        <v>453</v>
      </c>
      <c r="E15" s="35" t="s">
        <v>482</v>
      </c>
      <c r="F15" s="154">
        <v>3</v>
      </c>
      <c r="G15" s="154">
        <v>6</v>
      </c>
      <c r="H15" s="154">
        <v>0</v>
      </c>
      <c r="I15" s="154">
        <v>41</v>
      </c>
      <c r="J15" s="154">
        <f t="shared" si="3"/>
        <v>6</v>
      </c>
      <c r="K15" s="154" t="s">
        <v>343</v>
      </c>
      <c r="L15" s="154"/>
      <c r="M15" s="154"/>
      <c r="N15" s="154"/>
      <c r="O15" s="154"/>
      <c r="P15" s="154"/>
      <c r="Q15" s="154"/>
      <c r="R15" s="154"/>
      <c r="S15" s="154"/>
      <c r="T15" s="154"/>
      <c r="U15" s="154"/>
      <c r="V15" s="154"/>
      <c r="W15" s="154"/>
      <c r="X15" s="154"/>
      <c r="Y15" s="154"/>
      <c r="Z15" s="154"/>
      <c r="AA15" s="154"/>
      <c r="AB15" s="154"/>
      <c r="AC15" s="154"/>
      <c r="AD15" s="154"/>
      <c r="AE15" s="154"/>
      <c r="AF15" s="180"/>
      <c r="AG15" s="180"/>
      <c r="AH15" s="154" t="s">
        <v>346</v>
      </c>
      <c r="AI15" s="152" t="s">
        <v>347</v>
      </c>
      <c r="AJ15" s="154"/>
      <c r="AM15" s="35">
        <f t="shared" si="0"/>
        <v>6.1440000000000001</v>
      </c>
      <c r="AN15" s="35">
        <f t="shared" si="1"/>
        <v>0</v>
      </c>
      <c r="AO15" s="35">
        <f>IF(ISBLANK($A15),,ROUNDDOWN(I15*AQ6*1.024,))</f>
        <v>37</v>
      </c>
      <c r="AP15" s="35">
        <f>IF(ISBLANK($A15),,ROUNDDOWN(L15*AQ6*1.024,))</f>
        <v>0</v>
      </c>
      <c r="AQ15" s="35">
        <f>IF(ISBLANK($A15),,ROUNDDOWN(N15*AQ6*1.024,))</f>
        <v>0</v>
      </c>
      <c r="AR15" s="35">
        <f>IF(ISBLANK($A15),,ROUNDDOWN(P15*AQ6*1.024,))</f>
        <v>0</v>
      </c>
      <c r="AS15" s="35">
        <f>IF(ISBLANK($A15),,ROUNDDOWN(R15*AQ6*1.024,))</f>
        <v>0</v>
      </c>
      <c r="AT15" s="35">
        <f t="shared" si="2"/>
        <v>0</v>
      </c>
      <c r="AU15" s="35">
        <f>IF(ISBLANK($A15),,ROUNDDOWN(V15*AQ6*1.024,))</f>
        <v>0</v>
      </c>
      <c r="AV15" s="35">
        <f>IF(ISBLANK($A15),,ROUNDDOWN(X15*AQ6*1.024,))</f>
        <v>0</v>
      </c>
    </row>
    <row r="16" spans="1:48">
      <c r="A16" s="35" t="s">
        <v>351</v>
      </c>
      <c r="C16" s="35" t="s">
        <v>333</v>
      </c>
      <c r="D16" s="35" t="s">
        <v>453</v>
      </c>
      <c r="E16" s="35" t="s">
        <v>40</v>
      </c>
      <c r="F16" s="154">
        <v>5</v>
      </c>
      <c r="G16" s="154">
        <v>7</v>
      </c>
      <c r="H16" s="154">
        <v>0</v>
      </c>
      <c r="I16" s="154">
        <v>56</v>
      </c>
      <c r="J16" s="154">
        <f t="shared" si="3"/>
        <v>7</v>
      </c>
      <c r="K16" s="154" t="s">
        <v>335</v>
      </c>
      <c r="L16" s="154"/>
      <c r="M16" s="154"/>
      <c r="N16" s="154"/>
      <c r="O16" s="154"/>
      <c r="P16" s="154"/>
      <c r="Q16" s="154"/>
      <c r="R16" s="154"/>
      <c r="S16" s="154"/>
      <c r="T16" s="154"/>
      <c r="U16" s="154"/>
      <c r="V16" s="154"/>
      <c r="W16" s="154"/>
      <c r="X16" s="154"/>
      <c r="Y16" s="154"/>
      <c r="Z16" s="154"/>
      <c r="AA16" s="154"/>
      <c r="AB16" s="154"/>
      <c r="AC16" s="154"/>
      <c r="AD16" s="154"/>
      <c r="AE16" s="154"/>
      <c r="AF16" s="180"/>
      <c r="AG16" s="180"/>
      <c r="AH16" s="154" t="s">
        <v>346</v>
      </c>
      <c r="AI16" s="152" t="s">
        <v>347</v>
      </c>
      <c r="AJ16" s="154"/>
      <c r="AM16" s="35">
        <f t="shared" si="0"/>
        <v>7.1680000000000001</v>
      </c>
      <c r="AN16" s="35">
        <f t="shared" si="1"/>
        <v>0</v>
      </c>
      <c r="AO16" s="35">
        <f>IF(ISBLANK($A16),,ROUNDDOWN(I16*AQ6*1.024,))</f>
        <v>51</v>
      </c>
      <c r="AP16" s="35">
        <f>IF(ISBLANK($A16),,ROUNDDOWN(L16*AQ6*1.024,))</f>
        <v>0</v>
      </c>
      <c r="AQ16" s="35">
        <f>IF(ISBLANK($A16),,ROUNDDOWN(N16*AQ6*1.024,))</f>
        <v>0</v>
      </c>
      <c r="AR16" s="35">
        <f>IF(ISBLANK($A16),,ROUNDDOWN(P16*AQ6*1.024,))</f>
        <v>0</v>
      </c>
      <c r="AS16" s="35">
        <f>IF(ISBLANK($A16),,ROUNDDOWN(R16*AQ6*1.024,))</f>
        <v>0</v>
      </c>
      <c r="AT16" s="35">
        <f t="shared" si="2"/>
        <v>0</v>
      </c>
      <c r="AU16" s="35">
        <f>IF(ISBLANK($A16),,ROUNDDOWN(V16*AQ6*1.024,))</f>
        <v>0</v>
      </c>
      <c r="AV16" s="35">
        <f>IF(ISBLANK($A16),,ROUNDDOWN(X16*AQ6*1.024,))</f>
        <v>0</v>
      </c>
    </row>
    <row r="17" spans="1:48">
      <c r="A17" s="35" t="s">
        <v>352</v>
      </c>
      <c r="C17" s="35" t="s">
        <v>333</v>
      </c>
      <c r="D17" s="35" t="s">
        <v>453</v>
      </c>
      <c r="E17" s="35" t="s">
        <v>43</v>
      </c>
      <c r="F17" s="154">
        <v>4</v>
      </c>
      <c r="G17" s="154">
        <v>6</v>
      </c>
      <c r="H17" s="154">
        <v>0</v>
      </c>
      <c r="I17" s="154">
        <v>31</v>
      </c>
      <c r="J17" s="154">
        <f t="shared" si="3"/>
        <v>6</v>
      </c>
      <c r="K17" s="154" t="s">
        <v>337</v>
      </c>
      <c r="L17" s="154"/>
      <c r="M17" s="154"/>
      <c r="N17" s="154"/>
      <c r="O17" s="154"/>
      <c r="P17" s="154"/>
      <c r="Q17" s="154"/>
      <c r="R17" s="154"/>
      <c r="S17" s="154"/>
      <c r="T17" s="154"/>
      <c r="U17" s="154"/>
      <c r="V17" s="154"/>
      <c r="W17" s="154"/>
      <c r="X17" s="154"/>
      <c r="Y17" s="154"/>
      <c r="Z17" s="154"/>
      <c r="AA17" s="154"/>
      <c r="AB17" s="154"/>
      <c r="AC17" s="154"/>
      <c r="AD17" s="154"/>
      <c r="AE17" s="154"/>
      <c r="AF17" s="180"/>
      <c r="AG17" s="180"/>
      <c r="AH17" s="154" t="s">
        <v>346</v>
      </c>
      <c r="AI17" s="152" t="s">
        <v>347</v>
      </c>
      <c r="AJ17" s="154"/>
      <c r="AM17" s="35">
        <f t="shared" si="0"/>
        <v>6.1440000000000001</v>
      </c>
      <c r="AN17" s="35">
        <f t="shared" si="1"/>
        <v>0</v>
      </c>
      <c r="AO17" s="35">
        <f>IF(ISBLANK($A17),,ROUNDDOWN(I17*AQ6*1.024,))</f>
        <v>28</v>
      </c>
      <c r="AP17" s="35">
        <f>IF(ISBLANK($A17),,ROUNDDOWN(L17*AQ6*1.024,))</f>
        <v>0</v>
      </c>
      <c r="AQ17" s="35">
        <f>IF(ISBLANK($A17),,ROUNDDOWN(N17*AQ6*1.024,))</f>
        <v>0</v>
      </c>
      <c r="AR17" s="35">
        <f>IF(ISBLANK($A17),,ROUNDDOWN(P17*AQ6*1.024,))</f>
        <v>0</v>
      </c>
      <c r="AS17" s="35">
        <f>IF(ISBLANK($A17),,ROUNDDOWN(R17*AQ6*1.024,))</f>
        <v>0</v>
      </c>
      <c r="AT17" s="35">
        <f t="shared" si="2"/>
        <v>0</v>
      </c>
      <c r="AU17" s="35">
        <f>IF(ISBLANK($A17),,ROUNDDOWN(V17*AQ6*1.024,))</f>
        <v>0</v>
      </c>
      <c r="AV17" s="35">
        <f>IF(ISBLANK($A17),,ROUNDDOWN(X17*AQ6*1.024,))</f>
        <v>0</v>
      </c>
    </row>
    <row r="18" spans="1:48">
      <c r="A18" s="35" t="s">
        <v>353</v>
      </c>
      <c r="C18" s="35" t="s">
        <v>333</v>
      </c>
      <c r="D18" s="35" t="s">
        <v>453</v>
      </c>
      <c r="E18" s="35" t="s">
        <v>47</v>
      </c>
      <c r="F18" s="154">
        <v>4</v>
      </c>
      <c r="G18" s="154">
        <v>4</v>
      </c>
      <c r="H18" s="154">
        <v>0</v>
      </c>
      <c r="I18" s="154">
        <v>31</v>
      </c>
      <c r="J18" s="154">
        <f t="shared" si="3"/>
        <v>4</v>
      </c>
      <c r="K18" s="154" t="s">
        <v>343</v>
      </c>
      <c r="L18" s="154"/>
      <c r="M18" s="154"/>
      <c r="N18" s="154"/>
      <c r="O18" s="154"/>
      <c r="P18" s="154"/>
      <c r="Q18" s="154"/>
      <c r="R18" s="154"/>
      <c r="S18" s="154"/>
      <c r="T18" s="154"/>
      <c r="U18" s="154"/>
      <c r="V18" s="154"/>
      <c r="W18" s="154"/>
      <c r="X18" s="154"/>
      <c r="Y18" s="154"/>
      <c r="Z18" s="154"/>
      <c r="AA18" s="154"/>
      <c r="AB18" s="154"/>
      <c r="AC18" s="154"/>
      <c r="AD18" s="154"/>
      <c r="AE18" s="154"/>
      <c r="AF18" s="180"/>
      <c r="AG18" s="180"/>
      <c r="AH18" s="154" t="s">
        <v>346</v>
      </c>
      <c r="AI18" s="152" t="s">
        <v>347</v>
      </c>
      <c r="AJ18" s="154" t="s">
        <v>329</v>
      </c>
      <c r="AM18" s="35">
        <f t="shared" si="0"/>
        <v>4.0960000000000001</v>
      </c>
      <c r="AN18" s="35">
        <f t="shared" si="1"/>
        <v>0</v>
      </c>
      <c r="AO18" s="35">
        <f>IF(ISBLANK($A18),,ROUNDDOWN(I18*AQ6*1.024,))</f>
        <v>28</v>
      </c>
      <c r="AP18" s="35">
        <f>IF(ISBLANK($A18),,ROUNDDOWN(L18*AQ6*1.024,))</f>
        <v>0</v>
      </c>
      <c r="AQ18" s="35">
        <f>IF(ISBLANK($A18),,ROUNDDOWN(N18*AQ6*1.024,))</f>
        <v>0</v>
      </c>
      <c r="AR18" s="35">
        <f>IF(ISBLANK($A18),,ROUNDDOWN(P18*AQ6*1.024,))</f>
        <v>0</v>
      </c>
      <c r="AS18" s="35">
        <f>IF(ISBLANK($A18),,ROUNDDOWN(R18*AQ6*1.024,))</f>
        <v>0</v>
      </c>
      <c r="AT18" s="35">
        <f t="shared" si="2"/>
        <v>0</v>
      </c>
      <c r="AU18" s="35">
        <f>IF(ISBLANK($A18),,ROUNDDOWN(V18*AQ6*1.024,))</f>
        <v>0</v>
      </c>
      <c r="AV18" s="35">
        <f>IF(ISBLANK($A18),,ROUNDDOWN(X18*AQ6*1.024,))</f>
        <v>0</v>
      </c>
    </row>
    <row r="19" spans="1:48">
      <c r="A19" s="35" t="s">
        <v>354</v>
      </c>
      <c r="C19" s="35" t="s">
        <v>333</v>
      </c>
      <c r="D19" s="35" t="s">
        <v>453</v>
      </c>
      <c r="E19" s="35" t="s">
        <v>355</v>
      </c>
      <c r="F19" s="154">
        <v>8</v>
      </c>
      <c r="G19" s="154">
        <v>10</v>
      </c>
      <c r="H19" s="154">
        <v>0</v>
      </c>
      <c r="I19" s="154">
        <v>101</v>
      </c>
      <c r="J19" s="154">
        <f t="shared" si="3"/>
        <v>10</v>
      </c>
      <c r="K19" s="154" t="s">
        <v>335</v>
      </c>
      <c r="L19" s="154"/>
      <c r="M19" s="154"/>
      <c r="N19" s="154"/>
      <c r="O19" s="154"/>
      <c r="P19" s="154"/>
      <c r="Q19" s="154"/>
      <c r="R19" s="154"/>
      <c r="S19" s="154"/>
      <c r="T19" s="154"/>
      <c r="U19" s="154"/>
      <c r="V19" s="154"/>
      <c r="W19" s="154"/>
      <c r="X19" s="154"/>
      <c r="Y19" s="154"/>
      <c r="Z19" s="154"/>
      <c r="AA19" s="154"/>
      <c r="AB19" s="152">
        <v>50</v>
      </c>
      <c r="AC19" s="152" t="s">
        <v>343</v>
      </c>
      <c r="AD19" s="152"/>
      <c r="AE19" s="152"/>
      <c r="AF19" s="179"/>
      <c r="AG19" s="179"/>
      <c r="AH19" s="154" t="s">
        <v>328</v>
      </c>
      <c r="AI19" s="154" t="s">
        <v>329</v>
      </c>
      <c r="AJ19" s="154"/>
      <c r="AM19" s="35">
        <f t="shared" si="0"/>
        <v>10.24</v>
      </c>
      <c r="AN19" s="35">
        <f t="shared" si="1"/>
        <v>0</v>
      </c>
      <c r="AO19" s="35">
        <f>IF(ISBLANK($A19),,ROUNDDOWN(I19*AQ6*1.024,))</f>
        <v>93</v>
      </c>
      <c r="AP19" s="35">
        <f>IF(ISBLANK($A19),,ROUNDDOWN(L19*AQ6*1.024,))</f>
        <v>0</v>
      </c>
      <c r="AQ19" s="35">
        <f>IF(ISBLANK($A19),,ROUNDDOWN(N19*AQ6*1.024,))</f>
        <v>0</v>
      </c>
      <c r="AR19" s="35">
        <f>IF(ISBLANK($A19),,ROUNDDOWN(P19*AQ6*1.024,))</f>
        <v>0</v>
      </c>
      <c r="AS19" s="35">
        <f>IF(ISBLANK($A19),,ROUNDDOWN(R19*AQ6*1.024,))</f>
        <v>0</v>
      </c>
      <c r="AT19" s="35">
        <f t="shared" si="2"/>
        <v>0</v>
      </c>
      <c r="AU19" s="35">
        <f>IF(ISBLANK($A19),,ROUNDDOWN(V19*AQ6*1.024,))</f>
        <v>0</v>
      </c>
      <c r="AV19" s="35">
        <f>IF(ISBLANK($A19),,ROUNDDOWN(X19*AQ6*1.024,))</f>
        <v>0</v>
      </c>
    </row>
    <row r="20" spans="1:48">
      <c r="A20" s="35" t="s">
        <v>356</v>
      </c>
      <c r="C20" s="35" t="s">
        <v>333</v>
      </c>
      <c r="D20" s="35" t="s">
        <v>453</v>
      </c>
      <c r="E20" s="35" t="s">
        <v>55</v>
      </c>
      <c r="F20" s="154">
        <v>6</v>
      </c>
      <c r="G20" s="154">
        <v>6</v>
      </c>
      <c r="H20" s="154">
        <v>0</v>
      </c>
      <c r="I20" s="154">
        <v>169</v>
      </c>
      <c r="J20" s="154">
        <f t="shared" si="3"/>
        <v>6</v>
      </c>
      <c r="K20" s="154" t="s">
        <v>337</v>
      </c>
      <c r="L20" s="154"/>
      <c r="M20" s="154"/>
      <c r="N20" s="154"/>
      <c r="O20" s="154"/>
      <c r="P20" s="154"/>
      <c r="Q20" s="154"/>
      <c r="R20" s="154"/>
      <c r="S20" s="154"/>
      <c r="T20" s="154"/>
      <c r="U20" s="154"/>
      <c r="V20" s="154"/>
      <c r="W20" s="154"/>
      <c r="X20" s="154"/>
      <c r="Y20" s="154"/>
      <c r="Z20" s="154"/>
      <c r="AA20" s="154"/>
      <c r="AB20" s="154"/>
      <c r="AC20" s="154"/>
      <c r="AD20" s="154"/>
      <c r="AE20" s="154"/>
      <c r="AF20" s="180"/>
      <c r="AG20" s="180"/>
      <c r="AH20" s="154" t="s">
        <v>346</v>
      </c>
      <c r="AI20" s="152" t="s">
        <v>347</v>
      </c>
      <c r="AJ20" s="154"/>
      <c r="AM20" s="35">
        <f t="shared" si="0"/>
        <v>6.1440000000000001</v>
      </c>
      <c r="AN20" s="35">
        <f t="shared" si="1"/>
        <v>0</v>
      </c>
      <c r="AO20" s="35">
        <f>IF(ISBLANK($A20),,ROUNDDOWN(I20*AQ6*1.024,))</f>
        <v>155</v>
      </c>
      <c r="AP20" s="35">
        <f>IF(ISBLANK($A20),,ROUNDDOWN(L20*AQ6*1.024,))</f>
        <v>0</v>
      </c>
      <c r="AQ20" s="35">
        <f>IF(ISBLANK($A20),,ROUNDDOWN(N20*AQ6*1.024,))</f>
        <v>0</v>
      </c>
      <c r="AR20" s="35">
        <f>IF(ISBLANK($A20),,ROUNDDOWN(P20*AQ6*1.024,))</f>
        <v>0</v>
      </c>
      <c r="AS20" s="35">
        <f>IF(ISBLANK($A20),,ROUNDDOWN(R20*AQ6*1.024,))</f>
        <v>0</v>
      </c>
      <c r="AT20" s="35">
        <f t="shared" si="2"/>
        <v>0</v>
      </c>
      <c r="AU20" s="35">
        <f>IF(ISBLANK($A20),,ROUNDDOWN(V20*AQ6*1.024,))</f>
        <v>0</v>
      </c>
      <c r="AV20" s="35">
        <f>IF(ISBLANK($A20),,ROUNDDOWN(X20*AQ6*1.024,))</f>
        <v>0</v>
      </c>
    </row>
    <row r="21" spans="1:48">
      <c r="A21" s="35" t="s">
        <v>357</v>
      </c>
      <c r="C21" s="35" t="s">
        <v>333</v>
      </c>
      <c r="D21" s="35" t="s">
        <v>453</v>
      </c>
      <c r="E21" s="35" t="s">
        <v>483</v>
      </c>
      <c r="F21" s="154">
        <v>6</v>
      </c>
      <c r="G21" s="154">
        <v>8</v>
      </c>
      <c r="H21" s="154">
        <v>0</v>
      </c>
      <c r="I21" s="154">
        <v>61</v>
      </c>
      <c r="J21" s="154">
        <f t="shared" si="3"/>
        <v>8</v>
      </c>
      <c r="K21" s="154" t="s">
        <v>343</v>
      </c>
      <c r="L21" s="154"/>
      <c r="M21" s="154"/>
      <c r="N21" s="154"/>
      <c r="O21" s="154"/>
      <c r="P21" s="154"/>
      <c r="Q21" s="154"/>
      <c r="R21" s="154"/>
      <c r="S21" s="154"/>
      <c r="T21" s="154"/>
      <c r="U21" s="154"/>
      <c r="V21" s="154"/>
      <c r="W21" s="154"/>
      <c r="X21" s="154"/>
      <c r="Y21" s="154"/>
      <c r="Z21" s="154"/>
      <c r="AA21" s="154"/>
      <c r="AB21" s="154"/>
      <c r="AC21" s="154"/>
      <c r="AD21" s="154"/>
      <c r="AE21" s="154"/>
      <c r="AF21" s="180"/>
      <c r="AG21" s="180"/>
      <c r="AH21" s="154" t="s">
        <v>328</v>
      </c>
      <c r="AI21" s="154" t="s">
        <v>329</v>
      </c>
      <c r="AJ21" s="154"/>
      <c r="AM21" s="35">
        <f t="shared" si="0"/>
        <v>8.1920000000000002</v>
      </c>
      <c r="AN21" s="35">
        <f t="shared" si="1"/>
        <v>0</v>
      </c>
      <c r="AO21" s="35">
        <f>IF(ISBLANK($A21),,ROUNDDOWN(I21*AQ6*1.024,))</f>
        <v>56</v>
      </c>
      <c r="AP21" s="35">
        <f>IF(ISBLANK($A21),,ROUNDDOWN(L21*AQ6*1.024,))</f>
        <v>0</v>
      </c>
      <c r="AQ21" s="35">
        <f>IF(ISBLANK($A21),,ROUNDDOWN(N21*AQ6*1.024,))</f>
        <v>0</v>
      </c>
      <c r="AR21" s="35">
        <f>IF(ISBLANK($A21),,ROUNDDOWN(P21*AQ6*1.024,))</f>
        <v>0</v>
      </c>
      <c r="AS21" s="35">
        <f>IF(ISBLANK($A21),,ROUNDDOWN(R21*AQ6*1.024,))</f>
        <v>0</v>
      </c>
      <c r="AT21" s="35">
        <f t="shared" si="2"/>
        <v>0</v>
      </c>
      <c r="AU21" s="35">
        <f>IF(ISBLANK($A21),,ROUNDDOWN(V21*AQ6*1.024,))</f>
        <v>0</v>
      </c>
      <c r="AV21" s="35">
        <f>IF(ISBLANK($A21),,ROUNDDOWN(X21*AQ6*1.024,))</f>
        <v>0</v>
      </c>
    </row>
    <row r="22" spans="1:48">
      <c r="A22" s="35" t="s">
        <v>358</v>
      </c>
      <c r="C22" s="35" t="s">
        <v>333</v>
      </c>
      <c r="D22" s="35" t="s">
        <v>453</v>
      </c>
      <c r="E22" s="35" t="s">
        <v>483</v>
      </c>
      <c r="F22" s="154">
        <v>6</v>
      </c>
      <c r="G22" s="154">
        <v>8</v>
      </c>
      <c r="H22" s="154">
        <v>0</v>
      </c>
      <c r="I22" s="154">
        <v>61</v>
      </c>
      <c r="J22" s="154">
        <f t="shared" si="3"/>
        <v>8</v>
      </c>
      <c r="K22" s="154" t="s">
        <v>335</v>
      </c>
      <c r="L22" s="154"/>
      <c r="M22" s="154"/>
      <c r="N22" s="154"/>
      <c r="O22" s="154"/>
      <c r="P22" s="154"/>
      <c r="Q22" s="154"/>
      <c r="R22" s="154"/>
      <c r="S22" s="154"/>
      <c r="T22" s="154"/>
      <c r="U22" s="154"/>
      <c r="V22" s="154"/>
      <c r="W22" s="154"/>
      <c r="X22" s="154"/>
      <c r="Y22" s="154"/>
      <c r="Z22" s="154"/>
      <c r="AA22" s="154"/>
      <c r="AB22" s="154"/>
      <c r="AC22" s="154"/>
      <c r="AD22" s="154"/>
      <c r="AE22" s="154"/>
      <c r="AF22" s="180"/>
      <c r="AG22" s="180"/>
      <c r="AH22" s="154" t="s">
        <v>328</v>
      </c>
      <c r="AI22" s="154" t="s">
        <v>329</v>
      </c>
      <c r="AJ22" s="154"/>
      <c r="AM22" s="35">
        <f t="shared" si="0"/>
        <v>8.1920000000000002</v>
      </c>
      <c r="AN22" s="35">
        <f t="shared" si="1"/>
        <v>0</v>
      </c>
      <c r="AO22" s="35">
        <f>IF(ISBLANK($A22),,ROUNDDOWN(I22*AQ6*1.024,))</f>
        <v>56</v>
      </c>
      <c r="AP22" s="35">
        <f>IF(ISBLANK($A22),,ROUNDDOWN(L22*AQ6*1.024,))</f>
        <v>0</v>
      </c>
      <c r="AQ22" s="35">
        <f>IF(ISBLANK($A22),,ROUNDDOWN(N22*AQ6*1.024,))</f>
        <v>0</v>
      </c>
      <c r="AR22" s="35">
        <f>IF(ISBLANK($A22),,ROUNDDOWN(P22*AQ6*1.024,))</f>
        <v>0</v>
      </c>
      <c r="AS22" s="35">
        <f>IF(ISBLANK($A22),,ROUNDDOWN(R22*AQ6*1.024,))</f>
        <v>0</v>
      </c>
      <c r="AT22" s="35">
        <f t="shared" si="2"/>
        <v>0</v>
      </c>
      <c r="AU22" s="35">
        <f>IF(ISBLANK($A22),,ROUNDDOWN(V22*AQ6*1.024,))</f>
        <v>0</v>
      </c>
      <c r="AV22" s="35">
        <f>IF(ISBLANK($A22),,ROUNDDOWN(X22*AQ6*1.024,))</f>
        <v>0</v>
      </c>
    </row>
    <row r="23" spans="1:48">
      <c r="A23" s="35" t="s">
        <v>359</v>
      </c>
      <c r="C23" s="35" t="s">
        <v>333</v>
      </c>
      <c r="D23" s="35" t="s">
        <v>453</v>
      </c>
      <c r="E23" s="35" t="s">
        <v>63</v>
      </c>
      <c r="F23" s="154">
        <v>6</v>
      </c>
      <c r="G23" s="154">
        <v>18</v>
      </c>
      <c r="H23" s="154">
        <v>0</v>
      </c>
      <c r="I23" s="154">
        <v>141</v>
      </c>
      <c r="J23" s="154">
        <f t="shared" si="3"/>
        <v>18</v>
      </c>
      <c r="K23" s="154" t="s">
        <v>337</v>
      </c>
      <c r="L23" s="154"/>
      <c r="M23" s="154"/>
      <c r="N23" s="154"/>
      <c r="O23" s="154"/>
      <c r="P23" s="154"/>
      <c r="Q23" s="154"/>
      <c r="R23" s="154"/>
      <c r="S23" s="154"/>
      <c r="T23" s="154"/>
      <c r="U23" s="154"/>
      <c r="V23" s="154"/>
      <c r="W23" s="154"/>
      <c r="X23" s="154"/>
      <c r="Y23" s="154"/>
      <c r="Z23" s="154"/>
      <c r="AA23" s="154"/>
      <c r="AB23" s="154"/>
      <c r="AC23" s="154"/>
      <c r="AD23" s="152">
        <v>100</v>
      </c>
      <c r="AE23" s="152" t="s">
        <v>335</v>
      </c>
      <c r="AF23" s="179"/>
      <c r="AG23" s="179"/>
      <c r="AH23" s="154" t="s">
        <v>328</v>
      </c>
      <c r="AI23" s="154" t="s">
        <v>329</v>
      </c>
      <c r="AJ23" s="154"/>
      <c r="AM23" s="35">
        <f t="shared" si="0"/>
        <v>18.432000000000002</v>
      </c>
      <c r="AN23" s="35">
        <f t="shared" si="1"/>
        <v>0</v>
      </c>
      <c r="AO23" s="35">
        <f>IF(ISBLANK($A23),,ROUNDDOWN(I23*AQ6*1.024,))</f>
        <v>129</v>
      </c>
      <c r="AP23" s="35">
        <f>IF(ISBLANK($A23),,ROUNDDOWN(L23*AQ6*1.024,))</f>
        <v>0</v>
      </c>
      <c r="AQ23" s="35">
        <f>IF(ISBLANK($A23),,ROUNDDOWN(N23*AQ6*1.024,))</f>
        <v>0</v>
      </c>
      <c r="AR23" s="35">
        <f>IF(ISBLANK($A23),,ROUNDDOWN(P23*AQ6*1.024,))</f>
        <v>0</v>
      </c>
      <c r="AS23" s="35">
        <f>IF(ISBLANK($A23),,ROUNDDOWN(R23*AQ6*1.024,))</f>
        <v>0</v>
      </c>
      <c r="AT23" s="35">
        <f t="shared" si="2"/>
        <v>0</v>
      </c>
      <c r="AU23" s="35">
        <f>IF(ISBLANK($A23),,ROUNDDOWN(V23*AQ6*1.024,))</f>
        <v>0</v>
      </c>
      <c r="AV23" s="35">
        <f>IF(ISBLANK($A23),,ROUNDDOWN(X23*AQ6*1.024,))</f>
        <v>0</v>
      </c>
    </row>
    <row r="24" spans="1:48">
      <c r="A24" s="35" t="s">
        <v>360</v>
      </c>
      <c r="C24" s="35" t="s">
        <v>333</v>
      </c>
      <c r="D24" s="35" t="s">
        <v>453</v>
      </c>
      <c r="E24" s="35" t="s">
        <v>67</v>
      </c>
      <c r="F24" s="154">
        <v>6</v>
      </c>
      <c r="G24" s="154">
        <v>18</v>
      </c>
      <c r="H24" s="154">
        <v>0</v>
      </c>
      <c r="I24" s="154">
        <v>141</v>
      </c>
      <c r="J24" s="154">
        <f t="shared" si="3"/>
        <v>18</v>
      </c>
      <c r="K24" s="154" t="s">
        <v>343</v>
      </c>
      <c r="L24" s="154"/>
      <c r="M24" s="154"/>
      <c r="N24" s="154"/>
      <c r="O24" s="154"/>
      <c r="P24" s="154"/>
      <c r="Q24" s="154"/>
      <c r="R24" s="154"/>
      <c r="S24" s="154"/>
      <c r="T24" s="154"/>
      <c r="U24" s="154"/>
      <c r="V24" s="154"/>
      <c r="W24" s="154"/>
      <c r="X24" s="154"/>
      <c r="Y24" s="154"/>
      <c r="Z24" s="154"/>
      <c r="AA24" s="154"/>
      <c r="AB24" s="154"/>
      <c r="AC24" s="154"/>
      <c r="AD24" s="152">
        <v>100</v>
      </c>
      <c r="AE24" s="152" t="s">
        <v>343</v>
      </c>
      <c r="AF24" s="179"/>
      <c r="AG24" s="179"/>
      <c r="AH24" s="154" t="s">
        <v>328</v>
      </c>
      <c r="AI24" s="154" t="s">
        <v>329</v>
      </c>
      <c r="AJ24" s="154"/>
      <c r="AM24" s="35">
        <f t="shared" si="0"/>
        <v>18.432000000000002</v>
      </c>
      <c r="AN24" s="35">
        <f t="shared" si="1"/>
        <v>0</v>
      </c>
      <c r="AO24" s="35">
        <f>IF(ISBLANK($A24),,ROUNDDOWN(I24*AQ6*1.024,))</f>
        <v>129</v>
      </c>
      <c r="AP24" s="35">
        <f>IF(ISBLANK($A24),,ROUNDDOWN(L24*AQ6*1.024,))</f>
        <v>0</v>
      </c>
      <c r="AQ24" s="35">
        <f>IF(ISBLANK($A24),,ROUNDDOWN(N24*AQ6*1.024,))</f>
        <v>0</v>
      </c>
      <c r="AR24" s="35">
        <f>IF(ISBLANK($A24),,ROUNDDOWN(P24*AQ6*1.024,))</f>
        <v>0</v>
      </c>
      <c r="AS24" s="35">
        <f>IF(ISBLANK($A24),,ROUNDDOWN(R24*AQ6*1.024,))</f>
        <v>0</v>
      </c>
      <c r="AT24" s="35">
        <f t="shared" si="2"/>
        <v>0</v>
      </c>
      <c r="AU24" s="35">
        <f>IF(ISBLANK($A24),,ROUNDDOWN(V24*AQ6*1.024,))</f>
        <v>0</v>
      </c>
      <c r="AV24" s="35">
        <f>IF(ISBLANK($A24),,ROUNDDOWN(X24*AQ6*1.024,))</f>
        <v>0</v>
      </c>
    </row>
    <row r="25" spans="1:48">
      <c r="A25" s="35" t="s">
        <v>361</v>
      </c>
      <c r="C25" s="35" t="s">
        <v>333</v>
      </c>
      <c r="D25" s="35" t="s">
        <v>453</v>
      </c>
      <c r="E25" s="35" t="s">
        <v>71</v>
      </c>
      <c r="F25" s="154">
        <v>5</v>
      </c>
      <c r="G25" s="154">
        <v>7</v>
      </c>
      <c r="H25" s="154">
        <v>0</v>
      </c>
      <c r="I25" s="154">
        <v>41</v>
      </c>
      <c r="J25" s="154">
        <f t="shared" si="3"/>
        <v>7</v>
      </c>
      <c r="K25" s="154" t="s">
        <v>335</v>
      </c>
      <c r="L25" s="154"/>
      <c r="M25" s="154"/>
      <c r="N25" s="154"/>
      <c r="O25" s="154"/>
      <c r="P25" s="154"/>
      <c r="Q25" s="154"/>
      <c r="R25" s="154"/>
      <c r="S25" s="154"/>
      <c r="T25" s="154"/>
      <c r="U25" s="154"/>
      <c r="V25" s="154"/>
      <c r="W25" s="154"/>
      <c r="X25" s="154"/>
      <c r="Y25" s="154"/>
      <c r="Z25" s="154"/>
      <c r="AA25" s="154"/>
      <c r="AB25" s="154"/>
      <c r="AC25" s="154"/>
      <c r="AD25" s="154"/>
      <c r="AE25" s="154"/>
      <c r="AF25" s="180"/>
      <c r="AG25" s="180"/>
      <c r="AH25" s="154" t="s">
        <v>328</v>
      </c>
      <c r="AI25" s="154" t="s">
        <v>329</v>
      </c>
      <c r="AJ25" s="154"/>
      <c r="AM25" s="35">
        <f t="shared" si="0"/>
        <v>7.1680000000000001</v>
      </c>
      <c r="AN25" s="35">
        <f t="shared" si="1"/>
        <v>0</v>
      </c>
      <c r="AO25" s="35">
        <f>IF(ISBLANK($A25),,ROUNDDOWN(I25*AQ6*1.024,))</f>
        <v>37</v>
      </c>
      <c r="AP25" s="35">
        <f>IF(ISBLANK($A25),,ROUNDDOWN(L25*AQ6*1.024,))</f>
        <v>0</v>
      </c>
      <c r="AQ25" s="35">
        <f>IF(ISBLANK($A25),,ROUNDDOWN(N25*AQ6*1.024,))</f>
        <v>0</v>
      </c>
      <c r="AR25" s="35">
        <f>IF(ISBLANK($A25),,ROUNDDOWN(P25*AQ6*1.024,))</f>
        <v>0</v>
      </c>
      <c r="AS25" s="35">
        <f>IF(ISBLANK($A25),,ROUNDDOWN(R25*AQ6*1.024,))</f>
        <v>0</v>
      </c>
      <c r="AT25" s="35">
        <f t="shared" si="2"/>
        <v>0</v>
      </c>
      <c r="AU25" s="35">
        <f>IF(ISBLANK($A25),,ROUNDDOWN(V25*AQ6*1.024,))</f>
        <v>0</v>
      </c>
      <c r="AV25" s="35">
        <f>IF(ISBLANK($A25),,ROUNDDOWN(X25*AQ6*1.024,))</f>
        <v>0</v>
      </c>
    </row>
    <row r="26" spans="1:48">
      <c r="A26" s="35" t="s">
        <v>363</v>
      </c>
      <c r="C26" s="35" t="s">
        <v>333</v>
      </c>
      <c r="D26" s="35" t="s">
        <v>453</v>
      </c>
      <c r="E26" s="35" t="s">
        <v>71</v>
      </c>
      <c r="F26" s="154">
        <v>5</v>
      </c>
      <c r="G26" s="154">
        <v>7</v>
      </c>
      <c r="H26" s="154">
        <v>0</v>
      </c>
      <c r="I26" s="154">
        <v>41</v>
      </c>
      <c r="J26" s="154">
        <f t="shared" si="3"/>
        <v>7</v>
      </c>
      <c r="K26" s="154" t="s">
        <v>337</v>
      </c>
      <c r="L26" s="154"/>
      <c r="M26" s="154"/>
      <c r="N26" s="154"/>
      <c r="O26" s="154"/>
      <c r="P26" s="154"/>
      <c r="Q26" s="154"/>
      <c r="R26" s="154"/>
      <c r="S26" s="154"/>
      <c r="T26" s="154"/>
      <c r="U26" s="154"/>
      <c r="V26" s="154"/>
      <c r="W26" s="154"/>
      <c r="X26" s="154"/>
      <c r="Y26" s="154"/>
      <c r="Z26" s="154"/>
      <c r="AA26" s="154"/>
      <c r="AB26" s="154"/>
      <c r="AC26" s="154"/>
      <c r="AD26" s="154"/>
      <c r="AE26" s="154"/>
      <c r="AF26" s="180"/>
      <c r="AG26" s="180"/>
      <c r="AH26" s="154" t="s">
        <v>328</v>
      </c>
      <c r="AI26" s="154" t="s">
        <v>329</v>
      </c>
      <c r="AJ26" s="154"/>
      <c r="AM26" s="35">
        <f t="shared" si="0"/>
        <v>7.1680000000000001</v>
      </c>
      <c r="AN26" s="35">
        <f t="shared" si="1"/>
        <v>0</v>
      </c>
      <c r="AO26" s="35">
        <f>IF(ISBLANK($A26),,ROUNDDOWN(I26*AQ6*1.024,))</f>
        <v>37</v>
      </c>
      <c r="AP26" s="35">
        <f>IF(ISBLANK($A26),,ROUNDDOWN(L26*AQ6*1.024,))</f>
        <v>0</v>
      </c>
      <c r="AQ26" s="35">
        <f>IF(ISBLANK($A26),,ROUNDDOWN(N26*AQ6*1.024,))</f>
        <v>0</v>
      </c>
      <c r="AR26" s="35">
        <f>IF(ISBLANK($A26),,ROUNDDOWN(P26*AQ6*1.024,))</f>
        <v>0</v>
      </c>
      <c r="AS26" s="35">
        <f>IF(ISBLANK($A26),,ROUNDDOWN(R26*AQ6*1.024,))</f>
        <v>0</v>
      </c>
      <c r="AT26" s="35">
        <f t="shared" si="2"/>
        <v>0</v>
      </c>
      <c r="AU26" s="35">
        <f>IF(ISBLANK($A26),,ROUNDDOWN(V26*AQ6*1.024,))</f>
        <v>0</v>
      </c>
      <c r="AV26" s="35">
        <f>IF(ISBLANK($A26),,ROUNDDOWN(X26*AQ6*1.024,))</f>
        <v>0</v>
      </c>
    </row>
    <row r="27" spans="1:48">
      <c r="A27" s="35" t="s">
        <v>484</v>
      </c>
      <c r="C27" s="35" t="s">
        <v>333</v>
      </c>
      <c r="D27" s="35" t="s">
        <v>453</v>
      </c>
      <c r="E27" s="35" t="s">
        <v>73</v>
      </c>
      <c r="F27" s="154">
        <v>8</v>
      </c>
      <c r="G27" s="154">
        <v>34</v>
      </c>
      <c r="H27" s="154">
        <v>34</v>
      </c>
      <c r="I27" s="152">
        <v>136</v>
      </c>
      <c r="J27" s="154">
        <f t="shared" si="3"/>
        <v>0</v>
      </c>
      <c r="K27" s="154" t="s">
        <v>343</v>
      </c>
      <c r="L27" s="154"/>
      <c r="M27" s="154"/>
      <c r="N27" s="154"/>
      <c r="O27" s="154"/>
      <c r="P27" s="154"/>
      <c r="Q27" s="154"/>
      <c r="R27" s="154"/>
      <c r="S27" s="154"/>
      <c r="T27" s="154"/>
      <c r="U27" s="154"/>
      <c r="V27" s="154"/>
      <c r="W27" s="154"/>
      <c r="X27" s="154"/>
      <c r="Y27" s="154"/>
      <c r="Z27" s="154"/>
      <c r="AA27" s="154"/>
      <c r="AB27" s="154"/>
      <c r="AC27" s="154"/>
      <c r="AD27" s="154"/>
      <c r="AE27" s="154"/>
      <c r="AF27" s="180"/>
      <c r="AG27" s="180"/>
      <c r="AH27" s="154" t="s">
        <v>346</v>
      </c>
      <c r="AI27" s="152" t="s">
        <v>347</v>
      </c>
      <c r="AJ27" s="154"/>
      <c r="AM27" s="35">
        <f t="shared" si="0"/>
        <v>34.816000000000003</v>
      </c>
      <c r="AN27" s="35">
        <f t="shared" si="1"/>
        <v>34.816000000000003</v>
      </c>
      <c r="AO27" s="35">
        <f>IF(ISBLANK($A27),,ROUNDDOWN(I27*AQ6*1.024,))</f>
        <v>125</v>
      </c>
      <c r="AP27" s="35">
        <f>IF(ISBLANK($A27),,ROUNDDOWN(L27*AQ6*1.024,))</f>
        <v>0</v>
      </c>
      <c r="AQ27" s="35">
        <f>IF(ISBLANK($A27),,ROUNDDOWN(N27*AQ6*1.024,))</f>
        <v>0</v>
      </c>
      <c r="AR27" s="35">
        <f>IF(ISBLANK($A27),,ROUNDDOWN(P27*AQ6*1.024,))</f>
        <v>0</v>
      </c>
      <c r="AS27" s="35">
        <f>IF(ISBLANK($A27),,ROUNDDOWN(R27*AQ6*1.024,))</f>
        <v>0</v>
      </c>
      <c r="AT27" s="35">
        <f t="shared" si="2"/>
        <v>0</v>
      </c>
      <c r="AU27" s="35">
        <f>IF(ISBLANK($A27),,ROUNDDOWN(V27*AQ6*1.024,))</f>
        <v>0</v>
      </c>
      <c r="AV27" s="35">
        <f>IF(ISBLANK($A27),,ROUNDDOWN(X27*AQ6*1.024,))</f>
        <v>0</v>
      </c>
    </row>
    <row r="28" spans="1:48">
      <c r="A28" s="35" t="s">
        <v>485</v>
      </c>
      <c r="C28" s="35" t="s">
        <v>333</v>
      </c>
      <c r="D28" s="35" t="s">
        <v>453</v>
      </c>
      <c r="E28" s="35" t="s">
        <v>73</v>
      </c>
      <c r="F28" s="154">
        <v>8</v>
      </c>
      <c r="G28" s="154">
        <v>34</v>
      </c>
      <c r="H28" s="154">
        <v>34</v>
      </c>
      <c r="I28" s="176">
        <v>136</v>
      </c>
      <c r="J28" s="154">
        <f t="shared" si="3"/>
        <v>0</v>
      </c>
      <c r="K28" s="154" t="s">
        <v>335</v>
      </c>
      <c r="L28" s="154"/>
      <c r="M28" s="154"/>
      <c r="N28" s="154"/>
      <c r="O28" s="154"/>
      <c r="P28" s="154"/>
      <c r="Q28" s="154"/>
      <c r="R28" s="154"/>
      <c r="S28" s="154"/>
      <c r="T28" s="154"/>
      <c r="U28" s="154"/>
      <c r="V28" s="154"/>
      <c r="W28" s="154"/>
      <c r="X28" s="154"/>
      <c r="Y28" s="154"/>
      <c r="Z28" s="154"/>
      <c r="AA28" s="154"/>
      <c r="AB28" s="154"/>
      <c r="AC28" s="154"/>
      <c r="AD28" s="154"/>
      <c r="AE28" s="154"/>
      <c r="AF28" s="180"/>
      <c r="AG28" s="180"/>
      <c r="AH28" s="154" t="s">
        <v>346</v>
      </c>
      <c r="AI28" s="152" t="s">
        <v>347</v>
      </c>
      <c r="AJ28" s="154"/>
      <c r="AM28" s="35">
        <f t="shared" si="0"/>
        <v>34.816000000000003</v>
      </c>
      <c r="AN28" s="35">
        <f t="shared" si="1"/>
        <v>34.816000000000003</v>
      </c>
      <c r="AO28" s="35">
        <f>IF(ISBLANK($A28),,ROUNDDOWN(I28*AQ6*1.024,))</f>
        <v>125</v>
      </c>
      <c r="AP28" s="35">
        <f>IF(ISBLANK($A28),,ROUNDDOWN(L28*AQ6*1.024,))</f>
        <v>0</v>
      </c>
      <c r="AQ28" s="35">
        <f>IF(ISBLANK($A28),,ROUNDDOWN(N28*AQ6*1.024,))</f>
        <v>0</v>
      </c>
      <c r="AR28" s="35">
        <f>IF(ISBLANK($A28),,ROUNDDOWN(P28*AQ6*1.024,))</f>
        <v>0</v>
      </c>
      <c r="AS28" s="35">
        <f>IF(ISBLANK($A28),,ROUNDDOWN(R28*AQ6*1.024,))</f>
        <v>0</v>
      </c>
      <c r="AT28" s="35">
        <f t="shared" si="2"/>
        <v>0</v>
      </c>
      <c r="AU28" s="35">
        <f>IF(ISBLANK($A28),,ROUNDDOWN(V28*AQ6*1.024,))</f>
        <v>0</v>
      </c>
      <c r="AV28" s="35">
        <f>IF(ISBLANK($A28),,ROUNDDOWN(X28*AQ6*1.024,))</f>
        <v>0</v>
      </c>
    </row>
    <row r="29" spans="1:48">
      <c r="A29" s="35" t="s">
        <v>486</v>
      </c>
      <c r="C29" s="35" t="s">
        <v>333</v>
      </c>
      <c r="D29" s="35" t="s">
        <v>453</v>
      </c>
      <c r="E29" s="35" t="s">
        <v>73</v>
      </c>
      <c r="F29" s="154">
        <v>8</v>
      </c>
      <c r="G29" s="154">
        <v>34</v>
      </c>
      <c r="H29" s="154">
        <v>34</v>
      </c>
      <c r="I29" s="176">
        <v>136</v>
      </c>
      <c r="J29" s="154">
        <f t="shared" si="3"/>
        <v>0</v>
      </c>
      <c r="K29" s="154" t="s">
        <v>337</v>
      </c>
      <c r="L29" s="154"/>
      <c r="M29" s="154"/>
      <c r="N29" s="154"/>
      <c r="O29" s="154"/>
      <c r="P29" s="154"/>
      <c r="Q29" s="154"/>
      <c r="R29" s="154"/>
      <c r="S29" s="154"/>
      <c r="T29" s="154"/>
      <c r="U29" s="154"/>
      <c r="V29" s="154"/>
      <c r="W29" s="154"/>
      <c r="X29" s="154"/>
      <c r="Y29" s="154"/>
      <c r="Z29" s="154"/>
      <c r="AA29" s="154"/>
      <c r="AB29" s="154"/>
      <c r="AC29" s="154"/>
      <c r="AD29" s="154"/>
      <c r="AE29" s="154"/>
      <c r="AF29" s="180"/>
      <c r="AG29" s="180"/>
      <c r="AH29" s="154" t="s">
        <v>346</v>
      </c>
      <c r="AI29" s="152" t="s">
        <v>347</v>
      </c>
      <c r="AJ29" s="154"/>
      <c r="AM29" s="35">
        <f t="shared" si="0"/>
        <v>34.816000000000003</v>
      </c>
      <c r="AN29" s="35">
        <f t="shared" si="1"/>
        <v>34.816000000000003</v>
      </c>
      <c r="AO29" s="35">
        <f>IF(ISBLANK($A29),,ROUNDDOWN(I29*AQ6*1.024,))</f>
        <v>125</v>
      </c>
      <c r="AP29" s="35">
        <f>IF(ISBLANK($A29),,ROUNDDOWN(L29*AQ6*1.024,))</f>
        <v>0</v>
      </c>
      <c r="AQ29" s="35">
        <f>IF(ISBLANK($A29),,ROUNDDOWN(N29*AQ6*1.024,))</f>
        <v>0</v>
      </c>
      <c r="AR29" s="35">
        <f>IF(ISBLANK($A29),,ROUNDDOWN(P29*AQ6*1.024,))</f>
        <v>0</v>
      </c>
      <c r="AS29" s="35">
        <f>IF(ISBLANK($A29),,ROUNDDOWN(R29*AQ6*1.024,))</f>
        <v>0</v>
      </c>
      <c r="AT29" s="35">
        <f t="shared" si="2"/>
        <v>0</v>
      </c>
      <c r="AU29" s="35">
        <f>IF(ISBLANK($A29),,ROUNDDOWN(V29*AQ6*1.024,))</f>
        <v>0</v>
      </c>
      <c r="AV29" s="35">
        <f>IF(ISBLANK($A29),,ROUNDDOWN(X29*AQ6*1.024,))</f>
        <v>0</v>
      </c>
    </row>
    <row r="30" spans="1:48">
      <c r="A30" s="35" t="s">
        <v>487</v>
      </c>
      <c r="C30" s="35" t="s">
        <v>333</v>
      </c>
      <c r="D30" s="35" t="s">
        <v>453</v>
      </c>
      <c r="E30" s="35" t="s">
        <v>73</v>
      </c>
      <c r="F30" s="154">
        <v>8</v>
      </c>
      <c r="G30" s="154">
        <v>34</v>
      </c>
      <c r="H30" s="154">
        <v>34</v>
      </c>
      <c r="I30" s="176">
        <v>136</v>
      </c>
      <c r="J30" s="154">
        <f t="shared" si="3"/>
        <v>0</v>
      </c>
      <c r="K30" s="154" t="s">
        <v>343</v>
      </c>
      <c r="L30" s="154"/>
      <c r="M30" s="154"/>
      <c r="N30" s="154"/>
      <c r="O30" s="154"/>
      <c r="P30" s="154"/>
      <c r="Q30" s="154"/>
      <c r="R30" s="154"/>
      <c r="S30" s="154"/>
      <c r="T30" s="154"/>
      <c r="U30" s="154"/>
      <c r="V30" s="154"/>
      <c r="W30" s="154"/>
      <c r="X30" s="154"/>
      <c r="Y30" s="154"/>
      <c r="Z30" s="154"/>
      <c r="AA30" s="154"/>
      <c r="AB30" s="154"/>
      <c r="AC30" s="154"/>
      <c r="AD30" s="154"/>
      <c r="AE30" s="154"/>
      <c r="AF30" s="180"/>
      <c r="AG30" s="180"/>
      <c r="AH30" s="154" t="s">
        <v>346</v>
      </c>
      <c r="AI30" s="152" t="s">
        <v>347</v>
      </c>
      <c r="AJ30" s="154"/>
      <c r="AM30" s="35">
        <f t="shared" si="0"/>
        <v>34.816000000000003</v>
      </c>
      <c r="AN30" s="35">
        <f t="shared" si="1"/>
        <v>34.816000000000003</v>
      </c>
      <c r="AO30" s="35">
        <f>IF(ISBLANK($A30),,ROUNDDOWN(I30*AQ6*1.024,))</f>
        <v>125</v>
      </c>
      <c r="AP30" s="35">
        <f>IF(ISBLANK($A30),,ROUNDDOWN(L30*AQ6*1.024,))</f>
        <v>0</v>
      </c>
      <c r="AQ30" s="35">
        <f>IF(ISBLANK($A30),,ROUNDDOWN(N30*AQ6*1.024,))</f>
        <v>0</v>
      </c>
      <c r="AR30" s="35">
        <f>IF(ISBLANK($A30),,ROUNDDOWN(P30*AQ6*1.024,))</f>
        <v>0</v>
      </c>
      <c r="AS30" s="35">
        <f>IF(ISBLANK($A30),,ROUNDDOWN(R30*AQ6*1.024,))</f>
        <v>0</v>
      </c>
      <c r="AT30" s="35">
        <f t="shared" si="2"/>
        <v>0</v>
      </c>
      <c r="AU30" s="35">
        <f>IF(ISBLANK($A30),,ROUNDDOWN(V30*AQ6*1.024,))</f>
        <v>0</v>
      </c>
      <c r="AV30" s="35">
        <f>IF(ISBLANK($A30),,ROUNDDOWN(X30*AQ6*1.024,))</f>
        <v>0</v>
      </c>
    </row>
    <row r="31" spans="1:48">
      <c r="A31" s="35" t="s">
        <v>488</v>
      </c>
      <c r="C31" s="35" t="s">
        <v>333</v>
      </c>
      <c r="D31" s="35" t="s">
        <v>453</v>
      </c>
      <c r="E31" s="35" t="s">
        <v>73</v>
      </c>
      <c r="F31" s="154">
        <v>8</v>
      </c>
      <c r="G31" s="154">
        <v>34</v>
      </c>
      <c r="H31" s="154">
        <v>34</v>
      </c>
      <c r="I31" s="176">
        <v>136</v>
      </c>
      <c r="J31" s="154">
        <f t="shared" si="3"/>
        <v>0</v>
      </c>
      <c r="K31" s="154" t="s">
        <v>335</v>
      </c>
      <c r="L31" s="154"/>
      <c r="M31" s="154"/>
      <c r="N31" s="154"/>
      <c r="O31" s="154"/>
      <c r="P31" s="154"/>
      <c r="Q31" s="154"/>
      <c r="R31" s="154"/>
      <c r="S31" s="154"/>
      <c r="T31" s="154"/>
      <c r="U31" s="154"/>
      <c r="V31" s="154"/>
      <c r="W31" s="154"/>
      <c r="X31" s="154"/>
      <c r="Y31" s="154"/>
      <c r="Z31" s="154"/>
      <c r="AA31" s="154"/>
      <c r="AB31" s="154"/>
      <c r="AC31" s="154"/>
      <c r="AD31" s="154"/>
      <c r="AE31" s="154"/>
      <c r="AF31" s="180"/>
      <c r="AG31" s="180"/>
      <c r="AH31" s="154" t="s">
        <v>346</v>
      </c>
      <c r="AI31" s="152" t="s">
        <v>347</v>
      </c>
      <c r="AJ31" s="154"/>
      <c r="AM31" s="35">
        <f t="shared" si="0"/>
        <v>34.816000000000003</v>
      </c>
      <c r="AN31" s="35">
        <f t="shared" si="1"/>
        <v>34.816000000000003</v>
      </c>
      <c r="AO31" s="35">
        <f>IF(ISBLANK($A31),,ROUNDDOWN(I31*AQ6*1.024,))</f>
        <v>125</v>
      </c>
      <c r="AP31" s="35">
        <f>IF(ISBLANK($A31),,ROUNDDOWN(L31*AQ6*1.024,))</f>
        <v>0</v>
      </c>
      <c r="AQ31" s="35">
        <f>IF(ISBLANK($A31),,ROUNDDOWN(N31*AQ6*1.024,))</f>
        <v>0</v>
      </c>
      <c r="AR31" s="35">
        <f>IF(ISBLANK($A31),,ROUNDDOWN(P31*AQ6*1.024,))</f>
        <v>0</v>
      </c>
      <c r="AS31" s="35">
        <f>IF(ISBLANK($A31),,ROUNDDOWN(R31*AQ6*1.024,))</f>
        <v>0</v>
      </c>
      <c r="AT31" s="35">
        <f t="shared" si="2"/>
        <v>0</v>
      </c>
      <c r="AU31" s="35">
        <f>IF(ISBLANK($A31),,ROUNDDOWN(V31*AQ6*1.024,))</f>
        <v>0</v>
      </c>
      <c r="AV31" s="35">
        <f>IF(ISBLANK($A31),,ROUNDDOWN(X31*AQ6*1.024,))</f>
        <v>0</v>
      </c>
    </row>
    <row r="32" spans="1:48">
      <c r="A32" s="35" t="s">
        <v>489</v>
      </c>
      <c r="C32" s="35" t="s">
        <v>333</v>
      </c>
      <c r="D32" s="35" t="s">
        <v>453</v>
      </c>
      <c r="E32" s="35" t="s">
        <v>73</v>
      </c>
      <c r="F32" s="154">
        <v>8</v>
      </c>
      <c r="G32" s="154">
        <v>34</v>
      </c>
      <c r="H32" s="154">
        <v>34</v>
      </c>
      <c r="I32" s="176">
        <v>136</v>
      </c>
      <c r="J32" s="154">
        <f t="shared" si="3"/>
        <v>0</v>
      </c>
      <c r="K32" s="154" t="s">
        <v>337</v>
      </c>
      <c r="L32" s="154"/>
      <c r="M32" s="154"/>
      <c r="N32" s="154"/>
      <c r="O32" s="154"/>
      <c r="P32" s="154"/>
      <c r="Q32" s="154"/>
      <c r="R32" s="154"/>
      <c r="S32" s="154"/>
      <c r="T32" s="154"/>
      <c r="U32" s="154"/>
      <c r="V32" s="154"/>
      <c r="W32" s="154"/>
      <c r="X32" s="154"/>
      <c r="Y32" s="154"/>
      <c r="Z32" s="154"/>
      <c r="AA32" s="154"/>
      <c r="AB32" s="154"/>
      <c r="AC32" s="154"/>
      <c r="AD32" s="154"/>
      <c r="AE32" s="154"/>
      <c r="AF32" s="180"/>
      <c r="AG32" s="180"/>
      <c r="AH32" s="154" t="s">
        <v>346</v>
      </c>
      <c r="AI32" s="152" t="s">
        <v>347</v>
      </c>
      <c r="AJ32" s="154"/>
      <c r="AM32" s="35">
        <f t="shared" si="0"/>
        <v>34.816000000000003</v>
      </c>
      <c r="AN32" s="35">
        <f t="shared" si="1"/>
        <v>34.816000000000003</v>
      </c>
      <c r="AO32" s="35">
        <f>IF(ISBLANK($A32),,ROUNDDOWN(I32*AQ6*1.024,))</f>
        <v>125</v>
      </c>
      <c r="AP32" s="35">
        <f>IF(ISBLANK($A32),,ROUNDDOWN(L32*AQ6*1.024,))</f>
        <v>0</v>
      </c>
      <c r="AQ32" s="35">
        <f>IF(ISBLANK($A32),,ROUNDDOWN(N32*AQ6*1.024,))</f>
        <v>0</v>
      </c>
      <c r="AR32" s="35">
        <f>IF(ISBLANK($A32),,ROUNDDOWN(P32*AQ6*1.024,))</f>
        <v>0</v>
      </c>
      <c r="AS32" s="35">
        <f>IF(ISBLANK($A32),,ROUNDDOWN(R32*AQ6*1.024,))</f>
        <v>0</v>
      </c>
      <c r="AT32" s="35">
        <f t="shared" si="2"/>
        <v>0</v>
      </c>
      <c r="AU32" s="35">
        <f>IF(ISBLANK($A32),,ROUNDDOWN(V32*AQ6*1.024,))</f>
        <v>0</v>
      </c>
      <c r="AV32" s="35">
        <f>IF(ISBLANK($A32),,ROUNDDOWN(X32*AQ6*1.024,))</f>
        <v>0</v>
      </c>
    </row>
    <row r="33" spans="1:48">
      <c r="A33" s="35" t="s">
        <v>502</v>
      </c>
      <c r="C33" s="35" t="s">
        <v>333</v>
      </c>
      <c r="D33" s="35" t="s">
        <v>453</v>
      </c>
      <c r="E33" s="35" t="s">
        <v>73</v>
      </c>
      <c r="F33" s="154">
        <v>8</v>
      </c>
      <c r="G33" s="154">
        <v>34</v>
      </c>
      <c r="H33" s="154">
        <v>34</v>
      </c>
      <c r="I33" s="176">
        <v>136</v>
      </c>
      <c r="J33" s="154">
        <f t="shared" si="3"/>
        <v>0</v>
      </c>
      <c r="K33" s="154" t="s">
        <v>343</v>
      </c>
      <c r="L33" s="154"/>
      <c r="M33" s="154"/>
      <c r="N33" s="154"/>
      <c r="O33" s="154"/>
      <c r="P33" s="154"/>
      <c r="Q33" s="154"/>
      <c r="R33" s="154"/>
      <c r="S33" s="154"/>
      <c r="T33" s="154"/>
      <c r="U33" s="154"/>
      <c r="V33" s="154"/>
      <c r="W33" s="154"/>
      <c r="X33" s="154"/>
      <c r="Y33" s="154"/>
      <c r="Z33" s="154"/>
      <c r="AA33" s="154"/>
      <c r="AB33" s="154"/>
      <c r="AC33" s="154"/>
      <c r="AD33" s="154"/>
      <c r="AE33" s="154"/>
      <c r="AF33" s="180"/>
      <c r="AG33" s="180"/>
      <c r="AH33" s="154" t="s">
        <v>346</v>
      </c>
      <c r="AI33" s="152" t="s">
        <v>347</v>
      </c>
      <c r="AJ33" s="154"/>
      <c r="AM33" s="35">
        <f t="shared" si="0"/>
        <v>34.816000000000003</v>
      </c>
      <c r="AN33" s="35">
        <f t="shared" si="1"/>
        <v>34.816000000000003</v>
      </c>
      <c r="AO33" s="35">
        <f>IF(ISBLANK($A33),,ROUNDDOWN(I33*AQ6*1.024,))</f>
        <v>125</v>
      </c>
      <c r="AP33" s="35">
        <f>IF(ISBLANK($A33),,ROUNDDOWN(L33*AQ6*1.024,))</f>
        <v>0</v>
      </c>
      <c r="AQ33" s="35">
        <f>IF(ISBLANK($A33),,ROUNDDOWN(N33*AQ6*1.024,))</f>
        <v>0</v>
      </c>
      <c r="AR33" s="35">
        <f>IF(ISBLANK($A33),,ROUNDDOWN(P33*AQ6*1.024,))</f>
        <v>0</v>
      </c>
      <c r="AS33" s="35">
        <f>IF(ISBLANK($A33),,ROUNDDOWN(R33*AQ6*1.024,))</f>
        <v>0</v>
      </c>
      <c r="AT33" s="35">
        <f t="shared" si="2"/>
        <v>0</v>
      </c>
      <c r="AU33" s="35">
        <f>IF(ISBLANK($A33),,ROUNDDOWN(V33*AQ6*1.024,))</f>
        <v>0</v>
      </c>
      <c r="AV33" s="35">
        <f>IF(ISBLANK($A33),,ROUNDDOWN(X33*AQ6*1.024,))</f>
        <v>0</v>
      </c>
    </row>
    <row r="34" spans="1:48">
      <c r="A34" s="35" t="s">
        <v>503</v>
      </c>
      <c r="C34" s="35" t="s">
        <v>333</v>
      </c>
      <c r="D34" s="35" t="s">
        <v>453</v>
      </c>
      <c r="E34" s="35" t="s">
        <v>73</v>
      </c>
      <c r="F34" s="154">
        <v>8</v>
      </c>
      <c r="G34" s="154">
        <v>34</v>
      </c>
      <c r="H34" s="154">
        <v>34</v>
      </c>
      <c r="I34" s="176">
        <v>136</v>
      </c>
      <c r="J34" s="154">
        <f t="shared" si="3"/>
        <v>0</v>
      </c>
      <c r="K34" s="154" t="s">
        <v>335</v>
      </c>
      <c r="L34" s="154"/>
      <c r="M34" s="154"/>
      <c r="N34" s="154"/>
      <c r="O34" s="154"/>
      <c r="P34" s="154"/>
      <c r="Q34" s="154"/>
      <c r="R34" s="154"/>
      <c r="S34" s="154"/>
      <c r="T34" s="154"/>
      <c r="U34" s="154"/>
      <c r="V34" s="154"/>
      <c r="W34" s="154"/>
      <c r="X34" s="154"/>
      <c r="Y34" s="154"/>
      <c r="Z34" s="154"/>
      <c r="AA34" s="154"/>
      <c r="AB34" s="154"/>
      <c r="AC34" s="154"/>
      <c r="AD34" s="154"/>
      <c r="AE34" s="154"/>
      <c r="AF34" s="180"/>
      <c r="AG34" s="180"/>
      <c r="AH34" s="154" t="s">
        <v>346</v>
      </c>
      <c r="AI34" s="152" t="s">
        <v>347</v>
      </c>
      <c r="AJ34" s="154"/>
      <c r="AM34" s="35">
        <f t="shared" si="0"/>
        <v>34.816000000000003</v>
      </c>
      <c r="AN34" s="35">
        <f t="shared" si="1"/>
        <v>34.816000000000003</v>
      </c>
      <c r="AO34" s="35">
        <f>IF(ISBLANK($A34),,ROUNDDOWN(I34*AQ6*1.024,))</f>
        <v>125</v>
      </c>
      <c r="AP34" s="35">
        <f>IF(ISBLANK($A34),,ROUNDDOWN(L34*AQ6*1.024,))</f>
        <v>0</v>
      </c>
      <c r="AQ34" s="35">
        <f>IF(ISBLANK($A34),,ROUNDDOWN(N34*AQ6*1.024,))</f>
        <v>0</v>
      </c>
      <c r="AR34" s="35">
        <f>IF(ISBLANK($A34),,ROUNDDOWN(P34*AQ6*1.024,))</f>
        <v>0</v>
      </c>
      <c r="AS34" s="35">
        <f>IF(ISBLANK($A34),,ROUNDDOWN(R34*AQ6*1.024,))</f>
        <v>0</v>
      </c>
      <c r="AT34" s="35">
        <f t="shared" si="2"/>
        <v>0</v>
      </c>
      <c r="AU34" s="35">
        <f>IF(ISBLANK($A34),,ROUNDDOWN(V34*AQ6*1.024,))</f>
        <v>0</v>
      </c>
      <c r="AV34" s="35">
        <f>IF(ISBLANK($A34),,ROUNDDOWN(X34*AQ6*1.024,))</f>
        <v>0</v>
      </c>
    </row>
    <row r="35" spans="1:48">
      <c r="A35" s="35" t="s">
        <v>504</v>
      </c>
      <c r="C35" s="35" t="s">
        <v>333</v>
      </c>
      <c r="D35" s="39" t="s">
        <v>362</v>
      </c>
      <c r="E35" s="156" t="s">
        <v>75</v>
      </c>
      <c r="F35" s="154">
        <v>4</v>
      </c>
      <c r="G35" s="154">
        <v>4</v>
      </c>
      <c r="H35" s="154">
        <v>0</v>
      </c>
      <c r="I35" s="154">
        <v>100</v>
      </c>
      <c r="J35" s="154">
        <f t="shared" si="3"/>
        <v>4</v>
      </c>
      <c r="K35" s="154" t="s">
        <v>337</v>
      </c>
      <c r="L35" s="154"/>
      <c r="M35" s="154"/>
      <c r="N35" s="154"/>
      <c r="O35" s="154"/>
      <c r="P35" s="154"/>
      <c r="Q35" s="154"/>
      <c r="R35" s="154"/>
      <c r="S35" s="154"/>
      <c r="T35" s="154"/>
      <c r="U35" s="154"/>
      <c r="V35" s="154"/>
      <c r="W35" s="154"/>
      <c r="X35" s="154"/>
      <c r="Y35" s="154"/>
      <c r="Z35" s="154"/>
      <c r="AA35" s="154"/>
      <c r="AB35" s="154"/>
      <c r="AC35" s="154"/>
      <c r="AD35" s="154"/>
      <c r="AE35" s="154"/>
      <c r="AF35" s="180"/>
      <c r="AG35" s="180"/>
      <c r="AH35" s="154" t="s">
        <v>328</v>
      </c>
      <c r="AI35" s="154" t="s">
        <v>329</v>
      </c>
      <c r="AJ35" s="154"/>
      <c r="AM35" s="35">
        <f t="shared" si="0"/>
        <v>4.0960000000000001</v>
      </c>
      <c r="AN35" s="35">
        <f t="shared" si="1"/>
        <v>0</v>
      </c>
      <c r="AO35" s="35">
        <f>IF(ISBLANK($A35),,ROUNDDOWN(I35*AQ6*1.024,))</f>
        <v>92</v>
      </c>
      <c r="AP35" s="35">
        <f>IF(ISBLANK($A35),,ROUNDDOWN(L35*AQ6*1.024,))</f>
        <v>0</v>
      </c>
      <c r="AQ35" s="35">
        <f>IF(ISBLANK($A35),,ROUNDDOWN(N35*AQ6*1.024,))</f>
        <v>0</v>
      </c>
      <c r="AR35" s="35">
        <f>IF(ISBLANK($A35),,ROUNDDOWN(P35*AQ6*1.024,))</f>
        <v>0</v>
      </c>
      <c r="AS35" s="35">
        <f>IF(ISBLANK($A35),,ROUNDDOWN(R35*AQ6*1.024,))</f>
        <v>0</v>
      </c>
      <c r="AT35" s="35">
        <f t="shared" si="2"/>
        <v>0</v>
      </c>
      <c r="AU35" s="35">
        <f>IF(ISBLANK($A35),,ROUNDDOWN(V35*AQ6*1.024,))</f>
        <v>0</v>
      </c>
      <c r="AV35" s="35">
        <f>IF(ISBLANK($A35),,ROUNDDOWN(X35*AQ6*1.024,))</f>
        <v>0</v>
      </c>
    </row>
    <row r="36" spans="1:48">
      <c r="A36" s="35" t="s">
        <v>505</v>
      </c>
      <c r="C36" s="35" t="s">
        <v>333</v>
      </c>
      <c r="D36" s="39" t="s">
        <v>362</v>
      </c>
      <c r="E36" s="156" t="s">
        <v>79</v>
      </c>
      <c r="F36" s="154">
        <v>4</v>
      </c>
      <c r="G36" s="154">
        <v>16</v>
      </c>
      <c r="H36" s="154">
        <v>0</v>
      </c>
      <c r="I36" s="152">
        <v>110</v>
      </c>
      <c r="J36" s="154">
        <f t="shared" si="3"/>
        <v>16</v>
      </c>
      <c r="K36" s="154" t="s">
        <v>343</v>
      </c>
      <c r="L36" s="154"/>
      <c r="M36" s="154"/>
      <c r="N36" s="154"/>
      <c r="O36" s="154"/>
      <c r="P36" s="154"/>
      <c r="Q36" s="154"/>
      <c r="R36" s="154"/>
      <c r="S36" s="154"/>
      <c r="T36" s="154"/>
      <c r="U36" s="154"/>
      <c r="V36" s="154"/>
      <c r="W36" s="154"/>
      <c r="X36" s="154"/>
      <c r="Y36" s="154"/>
      <c r="Z36" s="154"/>
      <c r="AA36" s="154"/>
      <c r="AB36" s="154"/>
      <c r="AC36" s="154"/>
      <c r="AD36" s="154"/>
      <c r="AE36" s="154"/>
      <c r="AF36" s="180"/>
      <c r="AG36" s="180"/>
      <c r="AH36" s="154" t="s">
        <v>328</v>
      </c>
      <c r="AI36" s="154" t="s">
        <v>329</v>
      </c>
      <c r="AJ36" s="154"/>
      <c r="AM36" s="35">
        <f t="shared" si="0"/>
        <v>16.384</v>
      </c>
      <c r="AN36" s="35">
        <f t="shared" si="1"/>
        <v>0</v>
      </c>
      <c r="AO36" s="35">
        <f>IF(ISBLANK($A36),,ROUNDDOWN(I36*AQ6*1.024,))</f>
        <v>101</v>
      </c>
      <c r="AP36" s="35">
        <f>IF(ISBLANK($A36),,ROUNDDOWN(L36*AQ6*1.024,))</f>
        <v>0</v>
      </c>
      <c r="AQ36" s="35">
        <f>IF(ISBLANK($A36),,ROUNDDOWN(N36*AQ6*1.024,))</f>
        <v>0</v>
      </c>
      <c r="AR36" s="35">
        <f>IF(ISBLANK($A36),,ROUNDDOWN(P36*AQ6*1.024,))</f>
        <v>0</v>
      </c>
      <c r="AS36" s="35">
        <f>IF(ISBLANK($A36),,ROUNDDOWN(R36*AQ6*1.024,))</f>
        <v>0</v>
      </c>
      <c r="AT36" s="35">
        <f t="shared" si="2"/>
        <v>0</v>
      </c>
      <c r="AU36" s="35">
        <f>IF(ISBLANK($A36),,ROUNDDOWN(V36*AQ6*1.024,))</f>
        <v>0</v>
      </c>
      <c r="AV36" s="35">
        <f>IF(ISBLANK($A36),,ROUNDDOWN(X36*AQ6*1.024,))</f>
        <v>0</v>
      </c>
    </row>
    <row r="37" spans="1:48">
      <c r="A37" s="35" t="s">
        <v>364</v>
      </c>
      <c r="C37" s="35" t="s">
        <v>333</v>
      </c>
      <c r="D37" s="39" t="s">
        <v>362</v>
      </c>
      <c r="E37" s="156" t="s">
        <v>77</v>
      </c>
      <c r="F37" s="154">
        <v>4</v>
      </c>
      <c r="G37" s="154">
        <v>14</v>
      </c>
      <c r="H37" s="154">
        <v>0</v>
      </c>
      <c r="I37" s="154">
        <v>100</v>
      </c>
      <c r="J37" s="154">
        <f t="shared" si="3"/>
        <v>14</v>
      </c>
      <c r="K37" s="152" t="s">
        <v>337</v>
      </c>
      <c r="L37" s="154"/>
      <c r="M37" s="154"/>
      <c r="N37" s="154"/>
      <c r="O37" s="154"/>
      <c r="P37" s="154"/>
      <c r="Q37" s="154"/>
      <c r="R37" s="154"/>
      <c r="S37" s="154"/>
      <c r="T37" s="154"/>
      <c r="U37" s="154"/>
      <c r="V37" s="154"/>
      <c r="W37" s="154"/>
      <c r="X37" s="154"/>
      <c r="Y37" s="154"/>
      <c r="Z37" s="154"/>
      <c r="AA37" s="154"/>
      <c r="AB37" s="154"/>
      <c r="AC37" s="154"/>
      <c r="AD37" s="154"/>
      <c r="AE37" s="154"/>
      <c r="AF37" s="180"/>
      <c r="AG37" s="180"/>
      <c r="AH37" s="154" t="s">
        <v>328</v>
      </c>
      <c r="AI37" s="154" t="s">
        <v>329</v>
      </c>
      <c r="AJ37" s="154"/>
      <c r="AM37" s="35">
        <f t="shared" si="0"/>
        <v>14.336</v>
      </c>
      <c r="AN37" s="35">
        <f t="shared" si="1"/>
        <v>0</v>
      </c>
      <c r="AO37" s="35">
        <f>IF(ISBLANK($A37),,ROUNDDOWN(I37*AQ6*1.024,))</f>
        <v>92</v>
      </c>
      <c r="AP37" s="35">
        <f>IF(ISBLANK($A37),,ROUNDDOWN(L37*AQ6*1.024,))</f>
        <v>0</v>
      </c>
      <c r="AQ37" s="35">
        <f>IF(ISBLANK($A37),,ROUNDDOWN(N37*AQ6*1.024,))</f>
        <v>0</v>
      </c>
      <c r="AR37" s="35">
        <f>IF(ISBLANK($A37),,ROUNDDOWN(P37*AQ6*1.024,))</f>
        <v>0</v>
      </c>
      <c r="AS37" s="35">
        <f>IF(ISBLANK($A37),,ROUNDDOWN(R37*AQ6*1.024,))</f>
        <v>0</v>
      </c>
      <c r="AT37" s="35">
        <f t="shared" si="2"/>
        <v>0</v>
      </c>
      <c r="AU37" s="35">
        <f>IF(ISBLANK($A37),,ROUNDDOWN(V37*AQ6*1.024,))</f>
        <v>0</v>
      </c>
      <c r="AV37" s="35">
        <f>IF(ISBLANK($A37),,ROUNDDOWN(X37*AQ6*1.024,))</f>
        <v>0</v>
      </c>
    </row>
    <row r="38" spans="1:48">
      <c r="A38" s="35" t="s">
        <v>365</v>
      </c>
      <c r="B38" s="154"/>
      <c r="C38" s="35" t="s">
        <v>333</v>
      </c>
      <c r="D38" s="35" t="s">
        <v>453</v>
      </c>
      <c r="E38" s="35" t="s">
        <v>81</v>
      </c>
      <c r="F38" s="154">
        <v>9</v>
      </c>
      <c r="G38" s="154">
        <v>12</v>
      </c>
      <c r="H38" s="154">
        <v>0</v>
      </c>
      <c r="I38" s="154">
        <v>56</v>
      </c>
      <c r="J38" s="154">
        <f t="shared" si="3"/>
        <v>12</v>
      </c>
      <c r="K38" s="154" t="s">
        <v>335</v>
      </c>
      <c r="L38" s="154"/>
      <c r="M38" s="154"/>
      <c r="N38" s="154"/>
      <c r="O38" s="154"/>
      <c r="P38" s="154"/>
      <c r="Q38" s="154"/>
      <c r="R38" s="154"/>
      <c r="S38" s="154"/>
      <c r="T38" s="154"/>
      <c r="U38" s="154"/>
      <c r="V38" s="154"/>
      <c r="W38" s="154"/>
      <c r="X38" s="154"/>
      <c r="Y38" s="154"/>
      <c r="Z38" s="154">
        <v>50</v>
      </c>
      <c r="AA38" s="154" t="s">
        <v>366</v>
      </c>
      <c r="AB38" s="154"/>
      <c r="AC38" s="154"/>
      <c r="AD38" s="154"/>
      <c r="AE38" s="154"/>
      <c r="AF38" s="180"/>
      <c r="AG38" s="180"/>
      <c r="AH38" s="154" t="s">
        <v>328</v>
      </c>
      <c r="AI38" s="154" t="s">
        <v>329</v>
      </c>
      <c r="AJ38" s="154"/>
      <c r="AM38" s="35">
        <f t="shared" si="0"/>
        <v>12.288</v>
      </c>
      <c r="AN38" s="35">
        <f t="shared" si="1"/>
        <v>0</v>
      </c>
      <c r="AO38" s="35">
        <f>IF(ISBLANK($A38),,ROUNDDOWN(I38*AQ6*1.024,))</f>
        <v>51</v>
      </c>
      <c r="AP38" s="35">
        <f>IF(ISBLANK($A38),,ROUNDDOWN(L38*AQ6*1.024,))</f>
        <v>0</v>
      </c>
      <c r="AQ38" s="35">
        <f>IF(ISBLANK($A38),,ROUNDDOWN(N38*AQ6*1.024,))</f>
        <v>0</v>
      </c>
      <c r="AR38" s="35">
        <f>IF(ISBLANK($A38),,ROUNDDOWN(P38*AQ6*1.024,))</f>
        <v>0</v>
      </c>
      <c r="AS38" s="35">
        <f>IF(ISBLANK($A38),,ROUNDDOWN(R38*AQ6*1.024,))</f>
        <v>0</v>
      </c>
      <c r="AT38" s="35">
        <f t="shared" si="2"/>
        <v>0</v>
      </c>
      <c r="AU38" s="35">
        <f>IF(ISBLANK($A38),,ROUNDDOWN(V38*AQ6*1.024,))</f>
        <v>0</v>
      </c>
      <c r="AV38" s="35">
        <f>IF(ISBLANK($A38),,ROUNDDOWN(X38*AQ6*1.024,))</f>
        <v>0</v>
      </c>
    </row>
    <row r="39" spans="1:48">
      <c r="A39" s="35" t="s">
        <v>367</v>
      </c>
      <c r="C39" s="35" t="s">
        <v>333</v>
      </c>
      <c r="D39" s="35" t="s">
        <v>453</v>
      </c>
      <c r="E39" s="35" t="s">
        <v>81</v>
      </c>
      <c r="F39" s="154">
        <v>9</v>
      </c>
      <c r="G39" s="154">
        <v>12</v>
      </c>
      <c r="H39" s="154">
        <v>0</v>
      </c>
      <c r="I39" s="177">
        <v>56</v>
      </c>
      <c r="J39" s="154">
        <f t="shared" si="3"/>
        <v>12</v>
      </c>
      <c r="K39" s="154" t="s">
        <v>337</v>
      </c>
      <c r="L39" s="154"/>
      <c r="M39" s="154"/>
      <c r="N39" s="154"/>
      <c r="O39" s="154"/>
      <c r="P39" s="154"/>
      <c r="Q39" s="154"/>
      <c r="R39" s="154"/>
      <c r="S39" s="154"/>
      <c r="T39" s="154"/>
      <c r="U39" s="154"/>
      <c r="V39" s="154"/>
      <c r="W39" s="154"/>
      <c r="X39" s="154"/>
      <c r="Y39" s="154"/>
      <c r="Z39" s="154">
        <v>50</v>
      </c>
      <c r="AA39" s="154" t="s">
        <v>366</v>
      </c>
      <c r="AB39" s="154"/>
      <c r="AC39" s="154"/>
      <c r="AD39" s="154"/>
      <c r="AE39" s="154"/>
      <c r="AF39" s="180"/>
      <c r="AG39" s="180"/>
      <c r="AH39" s="154" t="s">
        <v>328</v>
      </c>
      <c r="AI39" s="154" t="s">
        <v>329</v>
      </c>
      <c r="AJ39" s="154"/>
      <c r="AM39" s="35">
        <f t="shared" si="0"/>
        <v>12.288</v>
      </c>
      <c r="AN39" s="35">
        <f t="shared" si="1"/>
        <v>0</v>
      </c>
      <c r="AO39" s="35">
        <f>IF(ISBLANK($A39),,ROUNDDOWN(I39*AQ6*1.024,))</f>
        <v>51</v>
      </c>
      <c r="AP39" s="35">
        <f>IF(ISBLANK($A39),,ROUNDDOWN(L39*AQ6*1.024,))</f>
        <v>0</v>
      </c>
      <c r="AQ39" s="35">
        <f>IF(ISBLANK($A39),,ROUNDDOWN(N39*AQ6*1.024,))</f>
        <v>0</v>
      </c>
      <c r="AR39" s="35">
        <f>IF(ISBLANK($A39),,ROUNDDOWN(P39*AQ6*1.024,))</f>
        <v>0</v>
      </c>
      <c r="AS39" s="35">
        <f>IF(ISBLANK($A39),,ROUNDDOWN(R39*AQ6*1.024,))</f>
        <v>0</v>
      </c>
      <c r="AT39" s="35">
        <f t="shared" si="2"/>
        <v>0</v>
      </c>
      <c r="AU39" s="35">
        <f>IF(ISBLANK($A39),,ROUNDDOWN(V39*AQ6*1.024,))</f>
        <v>0</v>
      </c>
      <c r="AV39" s="35">
        <f>IF(ISBLANK($A39),,ROUNDDOWN(X39*AQ6*1.024,))</f>
        <v>0</v>
      </c>
    </row>
    <row r="40" spans="1:48">
      <c r="A40" s="35" t="s">
        <v>506</v>
      </c>
      <c r="C40" s="35" t="s">
        <v>333</v>
      </c>
      <c r="D40" s="35" t="s">
        <v>453</v>
      </c>
      <c r="E40" s="35" t="s">
        <v>81</v>
      </c>
      <c r="F40" s="154">
        <v>9</v>
      </c>
      <c r="G40" s="154">
        <v>12</v>
      </c>
      <c r="H40" s="154">
        <v>0</v>
      </c>
      <c r="I40" s="177">
        <v>56</v>
      </c>
      <c r="J40" s="154">
        <f t="shared" si="3"/>
        <v>12</v>
      </c>
      <c r="K40" s="154" t="s">
        <v>343</v>
      </c>
      <c r="L40" s="154"/>
      <c r="M40" s="154"/>
      <c r="N40" s="154"/>
      <c r="O40" s="154"/>
      <c r="P40" s="154"/>
      <c r="Q40" s="154"/>
      <c r="R40" s="154"/>
      <c r="S40" s="154"/>
      <c r="T40" s="154"/>
      <c r="U40" s="154"/>
      <c r="V40" s="154"/>
      <c r="W40" s="154"/>
      <c r="X40" s="154"/>
      <c r="Y40" s="154"/>
      <c r="Z40" s="154">
        <v>50</v>
      </c>
      <c r="AA40" s="154" t="s">
        <v>366</v>
      </c>
      <c r="AB40" s="154"/>
      <c r="AC40" s="154"/>
      <c r="AD40" s="154"/>
      <c r="AE40" s="154"/>
      <c r="AF40" s="180"/>
      <c r="AG40" s="180"/>
      <c r="AH40" s="154" t="s">
        <v>328</v>
      </c>
      <c r="AI40" s="154" t="s">
        <v>329</v>
      </c>
      <c r="AJ40" s="154"/>
      <c r="AM40" s="35">
        <f t="shared" si="0"/>
        <v>12.288</v>
      </c>
      <c r="AN40" s="35">
        <f t="shared" si="1"/>
        <v>0</v>
      </c>
      <c r="AO40" s="35">
        <f>IF(ISBLANK($A40),,ROUNDDOWN(I40*AQ6*1.024,))</f>
        <v>51</v>
      </c>
      <c r="AP40" s="35">
        <f>IF(ISBLANK($A40),,ROUNDDOWN(L40*AQ6*1.024,))</f>
        <v>0</v>
      </c>
      <c r="AQ40" s="35">
        <f>IF(ISBLANK($A40),,ROUNDDOWN(N40*AQ6*1.024,))</f>
        <v>0</v>
      </c>
      <c r="AR40" s="35">
        <f>IF(ISBLANK($A40),,ROUNDDOWN(P40*AQ6*1.024,))</f>
        <v>0</v>
      </c>
      <c r="AS40" s="35">
        <f>IF(ISBLANK($A40),,ROUNDDOWN(R40*AQ6*1.024,))</f>
        <v>0</v>
      </c>
      <c r="AT40" s="35">
        <f t="shared" si="2"/>
        <v>0</v>
      </c>
      <c r="AU40" s="35">
        <f>IF(ISBLANK($A40),,ROUNDDOWN(V40*AQ6*1.024,))</f>
        <v>0</v>
      </c>
      <c r="AV40" s="35">
        <f>IF(ISBLANK($A40),,ROUNDDOWN(X40*AQ6*1.024,))</f>
        <v>0</v>
      </c>
    </row>
    <row r="41" spans="1:48">
      <c r="A41" s="35" t="s">
        <v>507</v>
      </c>
      <c r="C41" s="35" t="s">
        <v>333</v>
      </c>
      <c r="D41" s="35" t="s">
        <v>453</v>
      </c>
      <c r="E41" s="35" t="s">
        <v>81</v>
      </c>
      <c r="F41" s="154">
        <v>9</v>
      </c>
      <c r="G41" s="154">
        <v>12</v>
      </c>
      <c r="H41" s="154">
        <v>0</v>
      </c>
      <c r="I41" s="177">
        <v>56</v>
      </c>
      <c r="J41" s="154">
        <f t="shared" si="3"/>
        <v>12</v>
      </c>
      <c r="K41" s="154" t="s">
        <v>335</v>
      </c>
      <c r="L41" s="154"/>
      <c r="M41" s="154"/>
      <c r="N41" s="154"/>
      <c r="O41" s="154"/>
      <c r="P41" s="154"/>
      <c r="Q41" s="154"/>
      <c r="R41" s="154"/>
      <c r="S41" s="154"/>
      <c r="T41" s="154"/>
      <c r="U41" s="154"/>
      <c r="V41" s="154"/>
      <c r="W41" s="154"/>
      <c r="X41" s="154"/>
      <c r="Y41" s="154"/>
      <c r="Z41" s="154">
        <v>50</v>
      </c>
      <c r="AA41" s="154" t="s">
        <v>366</v>
      </c>
      <c r="AB41" s="154"/>
      <c r="AC41" s="154"/>
      <c r="AD41" s="154"/>
      <c r="AE41" s="154"/>
      <c r="AF41" s="180"/>
      <c r="AG41" s="180"/>
      <c r="AH41" s="154" t="s">
        <v>328</v>
      </c>
      <c r="AI41" s="154" t="s">
        <v>329</v>
      </c>
      <c r="AJ41" s="154"/>
      <c r="AM41" s="35">
        <f t="shared" si="0"/>
        <v>12.288</v>
      </c>
      <c r="AN41" s="35">
        <f t="shared" si="1"/>
        <v>0</v>
      </c>
      <c r="AO41" s="35">
        <f>IF(ISBLANK($A41),,ROUNDDOWN(I41*AQ6*1.024,))</f>
        <v>51</v>
      </c>
      <c r="AP41" s="35">
        <f>IF(ISBLANK($A41),,ROUNDDOWN(L41*AQ6*1.024,))</f>
        <v>0</v>
      </c>
      <c r="AQ41" s="35">
        <f>IF(ISBLANK($A41),,ROUNDDOWN(N41*AQ6*1.024,))</f>
        <v>0</v>
      </c>
      <c r="AR41" s="35">
        <f>IF(ISBLANK($A41),,ROUNDDOWN(P41*AQ6*1.024,))</f>
        <v>0</v>
      </c>
      <c r="AS41" s="35">
        <f>IF(ISBLANK($A41),,ROUNDDOWN(R41*AQ6*1.024,))</f>
        <v>0</v>
      </c>
      <c r="AT41" s="35">
        <f t="shared" si="2"/>
        <v>0</v>
      </c>
      <c r="AU41" s="35">
        <f>IF(ISBLANK($A41),,ROUNDDOWN(V41*AQ6*1.024,))</f>
        <v>0</v>
      </c>
      <c r="AV41" s="35">
        <f>IF(ISBLANK($A41),,ROUNDDOWN(X41*AQ6*1.024,))</f>
        <v>0</v>
      </c>
    </row>
    <row r="42" spans="1:48">
      <c r="A42" s="35" t="s">
        <v>368</v>
      </c>
      <c r="C42" s="35" t="s">
        <v>333</v>
      </c>
      <c r="D42" s="35" t="s">
        <v>453</v>
      </c>
      <c r="E42" s="35" t="s">
        <v>369</v>
      </c>
      <c r="F42" s="154">
        <v>4</v>
      </c>
      <c r="G42" s="154">
        <v>4</v>
      </c>
      <c r="H42" s="154">
        <v>0</v>
      </c>
      <c r="I42" s="154">
        <v>41</v>
      </c>
      <c r="J42" s="154">
        <f>G42-H42</f>
        <v>4</v>
      </c>
      <c r="K42" s="154" t="s">
        <v>343</v>
      </c>
      <c r="L42" s="154"/>
      <c r="M42" s="154"/>
      <c r="N42" s="154"/>
      <c r="O42" s="154"/>
      <c r="P42" s="154"/>
      <c r="Q42" s="154"/>
      <c r="R42" s="154"/>
      <c r="S42" s="154"/>
      <c r="T42" s="154"/>
      <c r="U42" s="154"/>
      <c r="V42" s="154"/>
      <c r="W42" s="154"/>
      <c r="X42" s="154"/>
      <c r="Y42" s="154"/>
      <c r="Z42" s="154"/>
      <c r="AA42" s="154"/>
      <c r="AB42" s="154"/>
      <c r="AC42" s="154"/>
      <c r="AD42" s="154"/>
      <c r="AE42" s="154"/>
      <c r="AF42" s="180"/>
      <c r="AG42" s="180"/>
      <c r="AH42" s="154" t="s">
        <v>328</v>
      </c>
      <c r="AI42" s="154" t="s">
        <v>329</v>
      </c>
      <c r="AJ42" s="154"/>
      <c r="AM42" s="35">
        <f t="shared" si="0"/>
        <v>4.0960000000000001</v>
      </c>
      <c r="AN42" s="35">
        <f t="shared" si="1"/>
        <v>0</v>
      </c>
      <c r="AO42" s="35">
        <f>IF(ISBLANK($A42),,ROUNDDOWN(I42*AQ6*1.024,))</f>
        <v>37</v>
      </c>
      <c r="AP42" s="35">
        <f>IF(ISBLANK($A42),,ROUNDDOWN(L42*AQ6*1.024,))</f>
        <v>0</v>
      </c>
      <c r="AQ42" s="35">
        <f>IF(ISBLANK($A42),,ROUNDDOWN(N42*AQ6*1.024,))</f>
        <v>0</v>
      </c>
      <c r="AR42" s="35">
        <f>IF(ISBLANK($A42),,ROUNDDOWN(P42*AQ6*1.024,))</f>
        <v>0</v>
      </c>
      <c r="AS42" s="35">
        <f>IF(ISBLANK($A42),,ROUNDDOWN(R42*AQ6*1.024,))</f>
        <v>0</v>
      </c>
      <c r="AT42" s="35">
        <f t="shared" si="2"/>
        <v>0</v>
      </c>
      <c r="AU42" s="35">
        <f>IF(ISBLANK($A42),,ROUNDDOWN(V42*AQ6*1.024,))</f>
        <v>0</v>
      </c>
      <c r="AV42" s="35">
        <f>IF(ISBLANK($A42),,ROUNDDOWN(X42*AQ6*1.024,))</f>
        <v>0</v>
      </c>
    </row>
    <row r="43" spans="1:48">
      <c r="A43" s="35" t="s">
        <v>370</v>
      </c>
      <c r="C43" s="35" t="s">
        <v>333</v>
      </c>
      <c r="D43" s="35" t="s">
        <v>453</v>
      </c>
      <c r="E43" s="35" t="s">
        <v>371</v>
      </c>
      <c r="F43" s="154">
        <v>4</v>
      </c>
      <c r="G43" s="154">
        <v>4</v>
      </c>
      <c r="H43" s="154">
        <v>0</v>
      </c>
      <c r="I43" s="154">
        <v>41</v>
      </c>
      <c r="J43" s="154">
        <f>G43-H43</f>
        <v>4</v>
      </c>
      <c r="K43" s="154" t="s">
        <v>343</v>
      </c>
      <c r="L43" s="154"/>
      <c r="M43" s="154"/>
      <c r="N43" s="154"/>
      <c r="O43" s="154"/>
      <c r="P43" s="154"/>
      <c r="Q43" s="154"/>
      <c r="R43" s="154"/>
      <c r="S43" s="154"/>
      <c r="T43" s="154"/>
      <c r="U43" s="154"/>
      <c r="V43" s="154"/>
      <c r="W43" s="154"/>
      <c r="X43" s="154"/>
      <c r="Y43" s="36"/>
      <c r="Z43" s="36"/>
      <c r="AA43" s="36"/>
      <c r="AB43" s="36"/>
      <c r="AC43" s="36"/>
      <c r="AD43" s="36"/>
      <c r="AE43" s="36"/>
      <c r="AF43" s="36"/>
      <c r="AG43" s="36"/>
      <c r="AH43" s="36" t="s">
        <v>328</v>
      </c>
      <c r="AI43" s="36" t="s">
        <v>329</v>
      </c>
      <c r="AJ43" s="36"/>
      <c r="AK43" s="42"/>
      <c r="AL43" s="42"/>
      <c r="AM43" s="42">
        <f t="shared" si="0"/>
        <v>4.0960000000000001</v>
      </c>
      <c r="AN43" s="42">
        <f t="shared" si="1"/>
        <v>0</v>
      </c>
      <c r="AO43" s="42">
        <f>IF(ISBLANK($A43),,ROUNDDOWN(I43*AQ6*1.024,))</f>
        <v>37</v>
      </c>
      <c r="AP43" s="42">
        <f>IF(ISBLANK($A43),,ROUNDDOWN(L43*AQ6*1.024,))</f>
        <v>0</v>
      </c>
      <c r="AQ43" s="42">
        <f>IF(ISBLANK($A43),,ROUNDDOWN(N43*AQ6*1.024,))</f>
        <v>0</v>
      </c>
      <c r="AR43" s="42">
        <f>IF(ISBLANK($A43),,ROUNDDOWN(P43*AQ6*1.024,))</f>
        <v>0</v>
      </c>
      <c r="AS43" s="42">
        <f>IF(ISBLANK($A43),,ROUNDDOWN(R43*AQ6*1.024,))</f>
        <v>0</v>
      </c>
      <c r="AT43" s="42">
        <f t="shared" si="2"/>
        <v>0</v>
      </c>
      <c r="AU43" s="42">
        <f>IF(ISBLANK($A43),,ROUNDDOWN(V43*AQ6*1.024,))</f>
        <v>0</v>
      </c>
      <c r="AV43" s="42">
        <f>IF(ISBLANK($A43),,ROUNDDOWN(X43*AQ6*1.024,))</f>
        <v>0</v>
      </c>
    </row>
    <row r="44" spans="1:48">
      <c r="A44" s="43"/>
      <c r="B44" s="43"/>
      <c r="C44" s="43"/>
      <c r="D44" s="43"/>
      <c r="E44" s="43"/>
      <c r="F44" s="44">
        <f>SUM(F8:F43)</f>
        <v>226</v>
      </c>
      <c r="G44" s="44">
        <f>SUM(G8:G43)</f>
        <v>670</v>
      </c>
      <c r="H44" s="44">
        <f>SUM(H8:H43)</f>
        <v>417</v>
      </c>
      <c r="I44" s="44">
        <f>SUM(I8:I43)</f>
        <v>3659</v>
      </c>
      <c r="J44" s="44"/>
      <c r="K44" s="44"/>
      <c r="L44" s="44">
        <f>SUM(L8:L43)</f>
        <v>500</v>
      </c>
      <c r="M44" s="44"/>
      <c r="N44" s="44">
        <f>SUM(N8:N43)</f>
        <v>9000</v>
      </c>
      <c r="O44" s="44"/>
      <c r="P44" s="44">
        <f>SUM(P8:P43)</f>
        <v>13500</v>
      </c>
      <c r="Q44" s="44"/>
      <c r="R44" s="44">
        <f>SUM(R8:R43)</f>
        <v>850</v>
      </c>
      <c r="S44" s="44"/>
      <c r="T44" s="44">
        <f>SUM(T8:T43)</f>
        <v>300</v>
      </c>
      <c r="U44" s="44"/>
      <c r="V44" s="44">
        <f>SUM(V8:V43)</f>
        <v>0</v>
      </c>
      <c r="W44" s="44"/>
      <c r="X44" s="44">
        <f>SUM(X8:X43)</f>
        <v>31056</v>
      </c>
      <c r="Z44" s="44">
        <f>SUM(Z8:Z43)</f>
        <v>200</v>
      </c>
      <c r="AB44" s="44">
        <f>SUM(AB8:AB43)</f>
        <v>50</v>
      </c>
      <c r="AD44" s="44">
        <f>SUM(AD8:AD43)</f>
        <v>200</v>
      </c>
      <c r="AF44" s="44">
        <f>SUM(AF8:AF43)</f>
        <v>0</v>
      </c>
      <c r="AI44" s="154" t="s">
        <v>520</v>
      </c>
      <c r="AJ44" s="154">
        <v>2</v>
      </c>
    </row>
    <row r="46" spans="1:48">
      <c r="F46" s="154"/>
      <c r="G46" s="154"/>
      <c r="H46" s="154"/>
      <c r="I46" s="154"/>
      <c r="J46" s="154"/>
      <c r="K46" s="154"/>
      <c r="L46" s="154"/>
      <c r="M46" s="154"/>
      <c r="N46" s="154"/>
      <c r="O46" s="154"/>
      <c r="P46" s="154"/>
      <c r="Q46" s="154"/>
      <c r="R46" s="154"/>
      <c r="S46" s="154"/>
      <c r="T46" s="154"/>
      <c r="U46" s="154"/>
      <c r="V46" s="154"/>
      <c r="W46" s="154"/>
      <c r="X46" s="154"/>
    </row>
    <row r="47" spans="1:48" ht="21.6" customHeight="1">
      <c r="A47" s="229" t="s">
        <v>373</v>
      </c>
      <c r="B47" s="229"/>
      <c r="C47" s="229"/>
      <c r="D47" s="229"/>
      <c r="E47" s="62" t="s">
        <v>510</v>
      </c>
      <c r="F47" s="153">
        <f>144-1</f>
        <v>143</v>
      </c>
      <c r="G47" s="153">
        <f>6*(256-8)</f>
        <v>1488</v>
      </c>
      <c r="H47" s="222" t="s">
        <v>650</v>
      </c>
      <c r="I47" s="222"/>
      <c r="J47" s="222"/>
      <c r="K47" s="222"/>
      <c r="L47" s="222"/>
      <c r="M47" s="222"/>
      <c r="N47" s="222"/>
      <c r="O47" s="222"/>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row>
    <row r="48" spans="1:48" ht="41.1" customHeight="1">
      <c r="A48" s="229"/>
      <c r="B48" s="229"/>
      <c r="C48" s="229"/>
      <c r="D48" s="229"/>
      <c r="E48" s="15" t="s">
        <v>521</v>
      </c>
      <c r="F48" s="153">
        <f>160-1</f>
        <v>159</v>
      </c>
      <c r="G48" s="153">
        <f>5*(384-8)</f>
        <v>1880</v>
      </c>
      <c r="H48" s="222"/>
      <c r="I48" s="222"/>
      <c r="J48" s="222"/>
      <c r="K48" s="222"/>
      <c r="L48" s="222"/>
      <c r="M48" s="222"/>
      <c r="N48" s="222"/>
      <c r="O48" s="222"/>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row>
    <row r="50" spans="1:48" ht="15">
      <c r="A50" s="227" t="s">
        <v>717</v>
      </c>
      <c r="B50" s="228"/>
      <c r="C50" s="228"/>
      <c r="D50" s="228"/>
      <c r="E50" s="199">
        <v>1</v>
      </c>
    </row>
    <row r="52" spans="1:48">
      <c r="A52" s="7" t="s">
        <v>380</v>
      </c>
    </row>
    <row r="53" spans="1:48">
      <c r="A53" s="35" t="s">
        <v>381</v>
      </c>
      <c r="C53" s="35" t="s">
        <v>333</v>
      </c>
      <c r="D53" s="35" t="s">
        <v>453</v>
      </c>
      <c r="E53" s="35" t="s">
        <v>10</v>
      </c>
      <c r="F53" s="154">
        <v>16</v>
      </c>
      <c r="G53" s="154">
        <v>64</v>
      </c>
      <c r="H53" s="154">
        <v>0</v>
      </c>
      <c r="I53" s="157">
        <v>71</v>
      </c>
      <c r="J53" s="154">
        <f t="shared" ref="J53:J79" si="4">G53-H53</f>
        <v>64</v>
      </c>
      <c r="K53" s="154"/>
      <c r="AH53" s="154" t="s">
        <v>328</v>
      </c>
      <c r="AI53" s="154" t="s">
        <v>329</v>
      </c>
      <c r="AJ53" s="154"/>
      <c r="AM53" s="35">
        <f t="shared" ref="AM53:AM79" si="5">IF(ISBLANK($A53),,G53*1.024)</f>
        <v>65.536000000000001</v>
      </c>
      <c r="AN53" s="35">
        <f t="shared" ref="AN53:AN78" si="6">IF(ISBLANK($A53),,H53*1.024)</f>
        <v>0</v>
      </c>
      <c r="AO53" s="35">
        <f>IF(ISBLANK($A53),,ROUNDDOWN(I53*AQ6*1.024,))</f>
        <v>65</v>
      </c>
      <c r="AP53" s="35">
        <f>IF(ISBLANK($A53),,ROUNDDOWN(L53*AQ6*1.024,))</f>
        <v>0</v>
      </c>
      <c r="AQ53" s="35">
        <f>IF(ISBLANK($A53),,ROUNDDOWN(N53*AQ6*1.024,))</f>
        <v>0</v>
      </c>
      <c r="AR53" s="35">
        <f>IF(ISBLANK($A53),,ROUNDDOWN(P53*AQ6*1.024,))</f>
        <v>0</v>
      </c>
      <c r="AS53" s="35">
        <f>IF(ISBLANK($A53),,ROUNDDOWN(R53*AQ6*1.024,))</f>
        <v>0</v>
      </c>
      <c r="AT53" s="35">
        <f t="shared" ref="AT53:AT78" si="7">IF(ISBLANK($A53),,ROUNDDOWN(T53*AQ$6*1.024,))</f>
        <v>0</v>
      </c>
      <c r="AU53" s="35">
        <f>IF(ISBLANK($A53),,ROUNDDOWN(V53*AQ6*1.024,))</f>
        <v>0</v>
      </c>
      <c r="AV53" s="35">
        <f>IF(ISBLANK($A53),,ROUNDDOWN(X53*AQ6*1.024,))</f>
        <v>0</v>
      </c>
    </row>
    <row r="54" spans="1:48">
      <c r="A54" s="35" t="s">
        <v>382</v>
      </c>
      <c r="C54" s="35" t="s">
        <v>333</v>
      </c>
      <c r="D54" s="39" t="s">
        <v>362</v>
      </c>
      <c r="E54" s="156" t="s">
        <v>75</v>
      </c>
      <c r="F54" s="154">
        <v>4</v>
      </c>
      <c r="G54" s="154">
        <v>4</v>
      </c>
      <c r="H54" s="154">
        <v>0</v>
      </c>
      <c r="I54" s="154">
        <v>100</v>
      </c>
      <c r="J54" s="154">
        <f t="shared" si="4"/>
        <v>4</v>
      </c>
      <c r="K54" s="154"/>
      <c r="AH54" s="154" t="s">
        <v>328</v>
      </c>
      <c r="AI54" s="154" t="s">
        <v>329</v>
      </c>
      <c r="AJ54" s="154"/>
      <c r="AM54" s="35">
        <f t="shared" si="5"/>
        <v>4.0960000000000001</v>
      </c>
      <c r="AN54" s="35">
        <f t="shared" si="6"/>
        <v>0</v>
      </c>
      <c r="AO54" s="35">
        <f>IF(ISBLANK($A54),,ROUNDDOWN(I54*AQ6*1.024,))</f>
        <v>92</v>
      </c>
      <c r="AP54" s="35">
        <f>IF(ISBLANK($A54),,ROUNDDOWN(L54*AQ6*1.024,))</f>
        <v>0</v>
      </c>
      <c r="AQ54" s="35">
        <f>IF(ISBLANK($A54),,ROUNDDOWN(N54*AQ6*1.024,))</f>
        <v>0</v>
      </c>
      <c r="AR54" s="35">
        <f>IF(ISBLANK($A54),,ROUNDDOWN(P54*AQ6*1.024,))</f>
        <v>0</v>
      </c>
      <c r="AS54" s="35">
        <f>IF(ISBLANK($A54),,ROUNDDOWN(R54*AQ6*1.024,))</f>
        <v>0</v>
      </c>
      <c r="AT54" s="35">
        <f t="shared" si="7"/>
        <v>0</v>
      </c>
      <c r="AU54" s="35">
        <f>IF(ISBLANK($A54),,ROUNDDOWN(V54*AQ6*1.024,))</f>
        <v>0</v>
      </c>
      <c r="AV54" s="35">
        <f>IF(ISBLANK($A54),,ROUNDDOWN(X54*AQ6*1.024,))</f>
        <v>0</v>
      </c>
    </row>
    <row r="55" spans="1:48">
      <c r="A55" s="35" t="s">
        <v>383</v>
      </c>
      <c r="C55" s="35" t="s">
        <v>333</v>
      </c>
      <c r="D55" s="39" t="s">
        <v>362</v>
      </c>
      <c r="E55" s="156" t="s">
        <v>79</v>
      </c>
      <c r="F55" s="154">
        <v>4</v>
      </c>
      <c r="G55" s="154">
        <v>16</v>
      </c>
      <c r="H55" s="154">
        <v>0</v>
      </c>
      <c r="I55" s="154">
        <v>100</v>
      </c>
      <c r="J55" s="154">
        <f t="shared" si="4"/>
        <v>16</v>
      </c>
      <c r="K55" s="154"/>
      <c r="AH55" s="154" t="s">
        <v>328</v>
      </c>
      <c r="AI55" s="154" t="s">
        <v>329</v>
      </c>
      <c r="AJ55" s="154"/>
      <c r="AM55" s="35">
        <f t="shared" si="5"/>
        <v>16.384</v>
      </c>
      <c r="AN55" s="35">
        <f t="shared" si="6"/>
        <v>0</v>
      </c>
      <c r="AO55" s="35">
        <f>IF(ISBLANK($A55),,ROUNDDOWN(I55*AQ6*1.024,))</f>
        <v>92</v>
      </c>
      <c r="AP55" s="35">
        <f>IF(ISBLANK($A55),,ROUNDDOWN(L55*AQ6*1.024,))</f>
        <v>0</v>
      </c>
      <c r="AQ55" s="35">
        <f>IF(ISBLANK($A55),,ROUNDDOWN(N55*AQ6*1.024,))</f>
        <v>0</v>
      </c>
      <c r="AR55" s="35">
        <f>IF(ISBLANK($A55),,ROUNDDOWN(P55*AQ6*1.024,))</f>
        <v>0</v>
      </c>
      <c r="AS55" s="35">
        <f>IF(ISBLANK($A55),,ROUNDDOWN(R55*AQ6*1.024,))</f>
        <v>0</v>
      </c>
      <c r="AT55" s="35">
        <f t="shared" si="7"/>
        <v>0</v>
      </c>
      <c r="AU55" s="35">
        <f>IF(ISBLANK($A55),,ROUNDDOWN(V55*AQ6*1.024,))</f>
        <v>0</v>
      </c>
      <c r="AV55" s="35">
        <f>IF(ISBLANK($A55),,ROUNDDOWN(X55*AQ6*1.024,))</f>
        <v>0</v>
      </c>
    </row>
    <row r="56" spans="1:48">
      <c r="A56" s="35" t="s">
        <v>384</v>
      </c>
      <c r="C56" s="35" t="s">
        <v>333</v>
      </c>
      <c r="D56" s="39" t="s">
        <v>362</v>
      </c>
      <c r="E56" s="156" t="s">
        <v>79</v>
      </c>
      <c r="F56" s="154">
        <v>4</v>
      </c>
      <c r="G56" s="154">
        <v>16</v>
      </c>
      <c r="H56" s="154">
        <v>0</v>
      </c>
      <c r="I56" s="154">
        <v>100</v>
      </c>
      <c r="J56" s="154">
        <f t="shared" si="4"/>
        <v>16</v>
      </c>
      <c r="K56" s="154"/>
      <c r="AH56" s="154" t="s">
        <v>328</v>
      </c>
      <c r="AI56" s="154" t="s">
        <v>329</v>
      </c>
      <c r="AJ56" s="154"/>
      <c r="AM56" s="35">
        <f t="shared" si="5"/>
        <v>16.384</v>
      </c>
      <c r="AN56" s="35">
        <f t="shared" si="6"/>
        <v>0</v>
      </c>
      <c r="AO56" s="35">
        <f>IF(ISBLANK($A56),,ROUNDDOWN(I56*AQ6*1.024,))</f>
        <v>92</v>
      </c>
      <c r="AP56" s="35">
        <f>IF(ISBLANK($A56),,ROUNDDOWN(L56*AQ6*1.024,))</f>
        <v>0</v>
      </c>
      <c r="AQ56" s="35">
        <f>IF(ISBLANK($A56),,ROUNDDOWN(N56*AQ6*1.024,))</f>
        <v>0</v>
      </c>
      <c r="AR56" s="35">
        <f>IF(ISBLANK($A56),,ROUNDDOWN(P56*AQ6*1.024,))</f>
        <v>0</v>
      </c>
      <c r="AS56" s="35">
        <f>IF(ISBLANK($A56),,ROUNDDOWN(R56*AQ6*1.024,))</f>
        <v>0</v>
      </c>
      <c r="AT56" s="35">
        <f t="shared" si="7"/>
        <v>0</v>
      </c>
      <c r="AU56" s="35">
        <f>IF(ISBLANK($A56),,ROUNDDOWN(V56*AQ6*1.024,))</f>
        <v>0</v>
      </c>
      <c r="AV56" s="35">
        <f>IF(ISBLANK($A56),,ROUNDDOWN(X56*AQ6*1.024,))</f>
        <v>0</v>
      </c>
    </row>
    <row r="57" spans="1:48">
      <c r="A57" s="35" t="s">
        <v>494</v>
      </c>
      <c r="C57" s="35" t="s">
        <v>333</v>
      </c>
      <c r="D57" s="39" t="s">
        <v>362</v>
      </c>
      <c r="E57" s="156" t="s">
        <v>79</v>
      </c>
      <c r="F57" s="154">
        <v>4</v>
      </c>
      <c r="G57" s="154">
        <v>16</v>
      </c>
      <c r="H57" s="154">
        <v>0</v>
      </c>
      <c r="I57" s="154">
        <v>100</v>
      </c>
      <c r="J57" s="154">
        <f t="shared" si="4"/>
        <v>16</v>
      </c>
      <c r="K57" s="154"/>
      <c r="AH57" s="154" t="s">
        <v>328</v>
      </c>
      <c r="AI57" s="154" t="s">
        <v>329</v>
      </c>
      <c r="AJ57" s="154"/>
      <c r="AM57" s="35">
        <f t="shared" si="5"/>
        <v>16.384</v>
      </c>
      <c r="AN57" s="35">
        <f t="shared" si="6"/>
        <v>0</v>
      </c>
      <c r="AO57" s="35">
        <f>IF(ISBLANK($A57),,ROUNDDOWN(I57*AQ6*1.024,))</f>
        <v>92</v>
      </c>
      <c r="AP57" s="35">
        <f>IF(ISBLANK($A57),,ROUNDDOWN(L57*AQ6*1.024,))</f>
        <v>0</v>
      </c>
      <c r="AQ57" s="35">
        <f>IF(ISBLANK($A57),,ROUNDDOWN(N57*AQ6*1.024,))</f>
        <v>0</v>
      </c>
      <c r="AR57" s="35">
        <f>IF(ISBLANK($A57),,ROUNDDOWN(P57*AQ6*1.024,))</f>
        <v>0</v>
      </c>
      <c r="AS57" s="35">
        <f>IF(ISBLANK($A57),,ROUNDDOWN(R57*AQ6*1.024,))</f>
        <v>0</v>
      </c>
      <c r="AT57" s="35">
        <f t="shared" si="7"/>
        <v>0</v>
      </c>
      <c r="AU57" s="35">
        <f>IF(ISBLANK($A57),,ROUNDDOWN(V57*AQ6*1.024,))</f>
        <v>0</v>
      </c>
      <c r="AV57" s="35">
        <f>IF(ISBLANK($A57),,ROUNDDOWN(X57*AQ6*1.024,))</f>
        <v>0</v>
      </c>
    </row>
    <row r="58" spans="1:48">
      <c r="A58" s="35" t="s">
        <v>495</v>
      </c>
      <c r="C58" s="35" t="s">
        <v>333</v>
      </c>
      <c r="D58" s="39" t="s">
        <v>362</v>
      </c>
      <c r="E58" s="156" t="s">
        <v>79</v>
      </c>
      <c r="F58" s="154">
        <v>4</v>
      </c>
      <c r="G58" s="154">
        <v>16</v>
      </c>
      <c r="H58" s="154">
        <v>0</v>
      </c>
      <c r="I58" s="154">
        <v>100</v>
      </c>
      <c r="J58" s="154">
        <f t="shared" si="4"/>
        <v>16</v>
      </c>
      <c r="K58" s="154"/>
      <c r="AH58" s="154" t="s">
        <v>328</v>
      </c>
      <c r="AI58" s="154" t="s">
        <v>329</v>
      </c>
      <c r="AJ58" s="154"/>
      <c r="AM58" s="35">
        <f t="shared" si="5"/>
        <v>16.384</v>
      </c>
      <c r="AN58" s="35">
        <f t="shared" si="6"/>
        <v>0</v>
      </c>
      <c r="AO58" s="35">
        <f>IF(ISBLANK($A58),,ROUNDDOWN(I58*AQ6*1.024,))</f>
        <v>92</v>
      </c>
      <c r="AP58" s="35">
        <f>IF(ISBLANK($A58),,ROUNDDOWN(L58*AQ6*1.024,))</f>
        <v>0</v>
      </c>
      <c r="AQ58" s="35">
        <f>IF(ISBLANK($A58),,ROUNDDOWN(N58*AQ6*1.024,))</f>
        <v>0</v>
      </c>
      <c r="AR58" s="35">
        <f>IF(ISBLANK($A58),,ROUNDDOWN(P58*AQ6*1.024,))</f>
        <v>0</v>
      </c>
      <c r="AS58" s="35">
        <f>IF(ISBLANK($A58),,ROUNDDOWN(R58*AQ6*1.024,))</f>
        <v>0</v>
      </c>
      <c r="AT58" s="35">
        <f t="shared" si="7"/>
        <v>0</v>
      </c>
      <c r="AU58" s="35">
        <f>IF(ISBLANK($A58),,ROUNDDOWN(V58*AQ6*1.024,))</f>
        <v>0</v>
      </c>
      <c r="AV58" s="35">
        <f>IF(ISBLANK($A58),,ROUNDDOWN(X58*AQ6*1.024,))</f>
        <v>0</v>
      </c>
    </row>
    <row r="59" spans="1:48">
      <c r="A59" s="35" t="s">
        <v>513</v>
      </c>
      <c r="C59" s="35" t="s">
        <v>333</v>
      </c>
      <c r="D59" s="39" t="s">
        <v>362</v>
      </c>
      <c r="E59" s="156" t="s">
        <v>79</v>
      </c>
      <c r="F59" s="154">
        <v>4</v>
      </c>
      <c r="G59" s="154">
        <v>16</v>
      </c>
      <c r="H59" s="154">
        <v>0</v>
      </c>
      <c r="I59" s="154">
        <v>100</v>
      </c>
      <c r="J59" s="154">
        <f t="shared" si="4"/>
        <v>16</v>
      </c>
      <c r="K59" s="154"/>
      <c r="AH59" s="154" t="s">
        <v>328</v>
      </c>
      <c r="AI59" s="154" t="s">
        <v>329</v>
      </c>
      <c r="AJ59" s="154"/>
      <c r="AM59" s="35">
        <f t="shared" si="5"/>
        <v>16.384</v>
      </c>
      <c r="AN59" s="35">
        <f t="shared" si="6"/>
        <v>0</v>
      </c>
      <c r="AO59" s="35">
        <f>IF(ISBLANK($A59),,ROUNDDOWN(I59*AQ6*1.024,))</f>
        <v>92</v>
      </c>
      <c r="AP59" s="35">
        <f>IF(ISBLANK($A59),,ROUNDDOWN(L59*AQ6*1.024,))</f>
        <v>0</v>
      </c>
      <c r="AQ59" s="35">
        <f>IF(ISBLANK($A59),,ROUNDDOWN(N59*AQ6*1.024,))</f>
        <v>0</v>
      </c>
      <c r="AR59" s="35">
        <f>IF(ISBLANK($A59),,ROUNDDOWN(P59*AQ6*1.024,))</f>
        <v>0</v>
      </c>
      <c r="AS59" s="35">
        <f>IF(ISBLANK($A59),,ROUNDDOWN(R59*AQ6*1.024,))</f>
        <v>0</v>
      </c>
      <c r="AT59" s="35">
        <f t="shared" si="7"/>
        <v>0</v>
      </c>
      <c r="AU59" s="35">
        <f>IF(ISBLANK($A59),,ROUNDDOWN(V59*AQ6*1.024,))</f>
        <v>0</v>
      </c>
      <c r="AV59" s="35">
        <f>IF(ISBLANK($A59),,ROUNDDOWN(X59*AQ6*1.024,))</f>
        <v>0</v>
      </c>
    </row>
    <row r="60" spans="1:48">
      <c r="A60" s="35" t="s">
        <v>514</v>
      </c>
      <c r="C60" s="35" t="s">
        <v>333</v>
      </c>
      <c r="D60" s="39" t="s">
        <v>362</v>
      </c>
      <c r="E60" s="156" t="s">
        <v>79</v>
      </c>
      <c r="F60" s="154">
        <v>4</v>
      </c>
      <c r="G60" s="154">
        <v>16</v>
      </c>
      <c r="H60" s="154">
        <v>0</v>
      </c>
      <c r="I60" s="154">
        <v>100</v>
      </c>
      <c r="J60" s="154">
        <f t="shared" si="4"/>
        <v>16</v>
      </c>
      <c r="K60" s="154"/>
      <c r="AH60" s="154" t="s">
        <v>328</v>
      </c>
      <c r="AI60" s="154" t="s">
        <v>329</v>
      </c>
      <c r="AJ60" s="154"/>
      <c r="AM60" s="35">
        <f t="shared" si="5"/>
        <v>16.384</v>
      </c>
      <c r="AN60" s="35">
        <f t="shared" si="6"/>
        <v>0</v>
      </c>
      <c r="AO60" s="35">
        <f>IF(ISBLANK($A60),,ROUNDDOWN(I60*AQ6*1.024,))</f>
        <v>92</v>
      </c>
      <c r="AP60" s="35">
        <f>IF(ISBLANK($A60),,ROUNDDOWN(L60*AQ6*1.024,))</f>
        <v>0</v>
      </c>
      <c r="AQ60" s="35">
        <f>IF(ISBLANK($A60),,ROUNDDOWN(N60*AQ6*1.024,))</f>
        <v>0</v>
      </c>
      <c r="AR60" s="35">
        <f>IF(ISBLANK($A60),,ROUNDDOWN(P60*AQ6*1.024,))</f>
        <v>0</v>
      </c>
      <c r="AS60" s="35">
        <f>IF(ISBLANK($A60),,ROUNDDOWN(R60*AQ6*1.024,))</f>
        <v>0</v>
      </c>
      <c r="AT60" s="35">
        <f t="shared" si="7"/>
        <v>0</v>
      </c>
      <c r="AU60" s="35">
        <f>IF(ISBLANK($A60),,ROUNDDOWN(V60*AQ6*1.024,))</f>
        <v>0</v>
      </c>
      <c r="AV60" s="35">
        <f>IF(ISBLANK($A60),,ROUNDDOWN(X60*AQ6*1.024,))</f>
        <v>0</v>
      </c>
    </row>
    <row r="61" spans="1:48">
      <c r="A61" s="35" t="s">
        <v>515</v>
      </c>
      <c r="C61" s="35" t="s">
        <v>333</v>
      </c>
      <c r="D61" s="39" t="s">
        <v>362</v>
      </c>
      <c r="E61" s="156" t="s">
        <v>79</v>
      </c>
      <c r="F61" s="154">
        <v>4</v>
      </c>
      <c r="G61" s="154">
        <v>16</v>
      </c>
      <c r="H61" s="154">
        <v>0</v>
      </c>
      <c r="I61" s="154">
        <v>100</v>
      </c>
      <c r="J61" s="154">
        <f t="shared" si="4"/>
        <v>16</v>
      </c>
      <c r="K61" s="154"/>
      <c r="AH61" s="154" t="s">
        <v>328</v>
      </c>
      <c r="AI61" s="154" t="s">
        <v>329</v>
      </c>
      <c r="AJ61" s="154"/>
      <c r="AM61" s="35">
        <f t="shared" si="5"/>
        <v>16.384</v>
      </c>
      <c r="AN61" s="35">
        <f t="shared" si="6"/>
        <v>0</v>
      </c>
      <c r="AO61" s="35">
        <f>IF(ISBLANK($A61),,ROUNDDOWN(I61*AQ6*1.024,))</f>
        <v>92</v>
      </c>
      <c r="AP61" s="35">
        <f>IF(ISBLANK($A61),,ROUNDDOWN(L61*AQ6*1.024,))</f>
        <v>0</v>
      </c>
      <c r="AQ61" s="35">
        <f>IF(ISBLANK($A61),,ROUNDDOWN(N61*AQ6*1.024,))</f>
        <v>0</v>
      </c>
      <c r="AR61" s="35">
        <f>IF(ISBLANK($A61),,ROUNDDOWN(P61*AQ6*1.024,))</f>
        <v>0</v>
      </c>
      <c r="AS61" s="35">
        <f>IF(ISBLANK($A61),,ROUNDDOWN(R61*AQ6*1.024,))</f>
        <v>0</v>
      </c>
      <c r="AT61" s="35">
        <f t="shared" si="7"/>
        <v>0</v>
      </c>
      <c r="AU61" s="35">
        <f>IF(ISBLANK($A61),,ROUNDDOWN(V61*AQ6*1.024,))</f>
        <v>0</v>
      </c>
      <c r="AV61" s="35">
        <f>IF(ISBLANK($A61),,ROUNDDOWN(X61*AQ6*1.024,))</f>
        <v>0</v>
      </c>
    </row>
    <row r="62" spans="1:48">
      <c r="A62" s="35" t="s">
        <v>385</v>
      </c>
      <c r="C62" s="35" t="s">
        <v>333</v>
      </c>
      <c r="D62" s="39" t="s">
        <v>362</v>
      </c>
      <c r="E62" s="156" t="s">
        <v>77</v>
      </c>
      <c r="F62" s="154">
        <v>4</v>
      </c>
      <c r="G62" s="154">
        <v>14</v>
      </c>
      <c r="H62" s="154">
        <v>0</v>
      </c>
      <c r="I62" s="154">
        <v>100</v>
      </c>
      <c r="J62" s="154">
        <f t="shared" si="4"/>
        <v>14</v>
      </c>
      <c r="K62" s="154"/>
      <c r="AH62" s="154" t="s">
        <v>328</v>
      </c>
      <c r="AI62" s="154" t="s">
        <v>329</v>
      </c>
      <c r="AJ62" s="154"/>
      <c r="AM62" s="35">
        <f t="shared" si="5"/>
        <v>14.336</v>
      </c>
      <c r="AN62" s="35">
        <f t="shared" si="6"/>
        <v>0</v>
      </c>
      <c r="AO62" s="35">
        <f>IF(ISBLANK($A62),,ROUNDDOWN(I62*AQ$6*1.024,))</f>
        <v>92</v>
      </c>
      <c r="AP62" s="35">
        <f>IF(ISBLANK($A62),,ROUNDDOWN(L62*AQ$6*1.024,))</f>
        <v>0</v>
      </c>
      <c r="AQ62" s="35">
        <f>IF(ISBLANK($A62),,ROUNDDOWN(N62*AQ$6*1.024,))</f>
        <v>0</v>
      </c>
      <c r="AR62" s="35">
        <f>IF(ISBLANK($A62),,ROUNDDOWN(P62*AQ$6*1.024,))</f>
        <v>0</v>
      </c>
      <c r="AS62" s="35">
        <f>IF(ISBLANK($A62),,ROUNDDOWN(R62*AQ$6*1.024,))</f>
        <v>0</v>
      </c>
      <c r="AT62" s="35">
        <f t="shared" si="7"/>
        <v>0</v>
      </c>
      <c r="AU62" s="35">
        <f>IF(ISBLANK($A62),,ROUNDDOWN(V62*AQ$6*1.024,))</f>
        <v>0</v>
      </c>
      <c r="AV62" s="35">
        <f>IF(ISBLANK($A62),,ROUNDDOWN(X62*AQ$6*1.024,))</f>
        <v>0</v>
      </c>
    </row>
    <row r="63" spans="1:48">
      <c r="A63" s="35" t="s">
        <v>516</v>
      </c>
      <c r="C63" s="35" t="s">
        <v>333</v>
      </c>
      <c r="D63" s="39" t="s">
        <v>362</v>
      </c>
      <c r="E63" s="156" t="s">
        <v>79</v>
      </c>
      <c r="F63" s="154">
        <v>4</v>
      </c>
      <c r="G63" s="154">
        <v>16</v>
      </c>
      <c r="H63" s="154">
        <v>0</v>
      </c>
      <c r="I63" s="154">
        <v>100</v>
      </c>
      <c r="J63" s="154">
        <f t="shared" si="4"/>
        <v>16</v>
      </c>
      <c r="K63" s="154"/>
      <c r="AH63" s="154" t="s">
        <v>328</v>
      </c>
      <c r="AI63" s="154" t="s">
        <v>329</v>
      </c>
      <c r="AJ63" s="154"/>
      <c r="AM63" s="35">
        <f t="shared" si="5"/>
        <v>16.384</v>
      </c>
      <c r="AN63" s="35">
        <f t="shared" si="6"/>
        <v>0</v>
      </c>
      <c r="AO63" s="35">
        <f>IF(ISBLANK($A63),,ROUNDDOWN(I63*AQ$6*1.024,))</f>
        <v>92</v>
      </c>
      <c r="AP63" s="35">
        <f>IF(ISBLANK($A63),,ROUNDDOWN(L63*AQ$6*1.024,))</f>
        <v>0</v>
      </c>
      <c r="AQ63" s="35">
        <f>IF(ISBLANK($A63),,ROUNDDOWN(N63*AQ$6*1.024,))</f>
        <v>0</v>
      </c>
      <c r="AR63" s="35">
        <f>IF(ISBLANK($A63),,ROUNDDOWN(P63*AQ$6*1.024,))</f>
        <v>0</v>
      </c>
      <c r="AS63" s="35">
        <f>IF(ISBLANK($A63),,ROUNDDOWN(R63*AQ$6*1.024,))</f>
        <v>0</v>
      </c>
      <c r="AT63" s="35">
        <f t="shared" si="7"/>
        <v>0</v>
      </c>
      <c r="AU63" s="35">
        <f>IF(ISBLANK($A63),,ROUNDDOWN(V63*AQ$6*1.024,))</f>
        <v>0</v>
      </c>
      <c r="AV63" s="35">
        <f>IF(ISBLANK($A63),,ROUNDDOWN(X63*AQ$6*1.024,))</f>
        <v>0</v>
      </c>
    </row>
    <row r="64" spans="1:48">
      <c r="A64" s="35" t="s">
        <v>386</v>
      </c>
      <c r="C64" s="35" t="s">
        <v>333</v>
      </c>
      <c r="D64" s="35" t="s">
        <v>453</v>
      </c>
      <c r="E64" s="35" t="s">
        <v>110</v>
      </c>
      <c r="F64" s="154">
        <v>6</v>
      </c>
      <c r="G64" s="154">
        <v>20</v>
      </c>
      <c r="H64" s="154">
        <v>0</v>
      </c>
      <c r="I64" s="154">
        <v>201</v>
      </c>
      <c r="J64" s="154">
        <f t="shared" si="4"/>
        <v>20</v>
      </c>
      <c r="K64" s="154"/>
      <c r="AH64" s="154" t="s">
        <v>328</v>
      </c>
      <c r="AI64" s="154" t="s">
        <v>329</v>
      </c>
      <c r="AJ64" s="154"/>
      <c r="AM64" s="35">
        <f t="shared" si="5"/>
        <v>20.48</v>
      </c>
      <c r="AN64" s="35">
        <f t="shared" si="6"/>
        <v>0</v>
      </c>
      <c r="AO64" s="35">
        <f>IF(ISBLANK($A64),,ROUNDDOWN(I64*AQ6*1.024,))</f>
        <v>185</v>
      </c>
      <c r="AP64" s="35">
        <f>IF(ISBLANK($A64),,ROUNDDOWN(L64*AQ6*1.024,))</f>
        <v>0</v>
      </c>
      <c r="AQ64" s="35">
        <f>IF(ISBLANK($A64),,ROUNDDOWN(N64*AQ6*1.024,))</f>
        <v>0</v>
      </c>
      <c r="AR64" s="35">
        <f>IF(ISBLANK($A64),,ROUNDDOWN(P64*AQ6*1.024,))</f>
        <v>0</v>
      </c>
      <c r="AS64" s="35">
        <f>IF(ISBLANK($A64),,ROUNDDOWN(R64*AQ6*1.024,))</f>
        <v>0</v>
      </c>
      <c r="AT64" s="35">
        <f t="shared" si="7"/>
        <v>0</v>
      </c>
      <c r="AU64" s="35">
        <f>IF(ISBLANK($A64),,ROUNDDOWN(V64*AQ6*1.024,))</f>
        <v>0</v>
      </c>
      <c r="AV64" s="35">
        <f>IF(ISBLANK($A64),,ROUNDDOWN(X64*AQ6*1.024,))</f>
        <v>0</v>
      </c>
    </row>
    <row r="65" spans="1:48">
      <c r="A65" s="35" t="s">
        <v>387</v>
      </c>
      <c r="C65" s="35" t="s">
        <v>333</v>
      </c>
      <c r="D65" s="35" t="s">
        <v>453</v>
      </c>
      <c r="E65" s="35" t="s">
        <v>110</v>
      </c>
      <c r="F65" s="154">
        <v>6</v>
      </c>
      <c r="G65" s="154">
        <v>20</v>
      </c>
      <c r="H65" s="154">
        <v>0</v>
      </c>
      <c r="I65" s="177">
        <v>201</v>
      </c>
      <c r="J65" s="154">
        <f t="shared" si="4"/>
        <v>20</v>
      </c>
      <c r="K65" s="154"/>
      <c r="AH65" s="154" t="s">
        <v>328</v>
      </c>
      <c r="AI65" s="154" t="s">
        <v>329</v>
      </c>
      <c r="AJ65" s="154"/>
      <c r="AM65" s="35">
        <f t="shared" si="5"/>
        <v>20.48</v>
      </c>
      <c r="AN65" s="35">
        <f t="shared" si="6"/>
        <v>0</v>
      </c>
      <c r="AO65" s="35">
        <f>IF(ISBLANK($A65),,ROUNDDOWN(I65*AQ6*1.024,))</f>
        <v>185</v>
      </c>
      <c r="AP65" s="35">
        <f>IF(ISBLANK($A65),,ROUNDDOWN(L65*AQ6*1.024,))</f>
        <v>0</v>
      </c>
      <c r="AQ65" s="35">
        <f>IF(ISBLANK($A65),,ROUNDDOWN(N65*AQ6*1.024,))</f>
        <v>0</v>
      </c>
      <c r="AR65" s="35">
        <f>IF(ISBLANK($A65),,ROUNDDOWN(P65*AQ6*1.024,))</f>
        <v>0</v>
      </c>
      <c r="AS65" s="35">
        <f>IF(ISBLANK($A65),,ROUNDDOWN(R65*AQ6*1.024,))</f>
        <v>0</v>
      </c>
      <c r="AT65" s="35">
        <f t="shared" si="7"/>
        <v>0</v>
      </c>
      <c r="AU65" s="35">
        <f>IF(ISBLANK($A65),,ROUNDDOWN(V65*AQ6*1.024,))</f>
        <v>0</v>
      </c>
      <c r="AV65" s="35">
        <f>IF(ISBLANK($A65),,ROUNDDOWN(X65*AQ6*1.024,))</f>
        <v>0</v>
      </c>
    </row>
    <row r="66" spans="1:48">
      <c r="A66" s="35" t="s">
        <v>496</v>
      </c>
      <c r="C66" s="35" t="s">
        <v>333</v>
      </c>
      <c r="D66" s="35" t="s">
        <v>453</v>
      </c>
      <c r="E66" s="35" t="s">
        <v>110</v>
      </c>
      <c r="F66" s="154">
        <v>6</v>
      </c>
      <c r="G66" s="154">
        <v>20</v>
      </c>
      <c r="H66" s="154">
        <v>0</v>
      </c>
      <c r="I66" s="177">
        <v>201</v>
      </c>
      <c r="J66" s="154">
        <f t="shared" si="4"/>
        <v>20</v>
      </c>
      <c r="K66" s="154"/>
      <c r="AH66" s="154" t="s">
        <v>328</v>
      </c>
      <c r="AI66" s="154" t="s">
        <v>329</v>
      </c>
      <c r="AJ66" s="154"/>
      <c r="AM66" s="35">
        <f t="shared" si="5"/>
        <v>20.48</v>
      </c>
      <c r="AN66" s="35">
        <f t="shared" si="6"/>
        <v>0</v>
      </c>
      <c r="AO66" s="35">
        <f>IF(ISBLANK($A66),,ROUNDDOWN(I66*AQ6*1.024,))</f>
        <v>185</v>
      </c>
      <c r="AP66" s="35">
        <f>IF(ISBLANK($A66),,ROUNDDOWN(L66*AQ6*1.024,))</f>
        <v>0</v>
      </c>
      <c r="AQ66" s="35">
        <f>IF(ISBLANK($A66),,ROUNDDOWN(N66*AQ6*1.024,))</f>
        <v>0</v>
      </c>
      <c r="AR66" s="35">
        <f>IF(ISBLANK($A66),,ROUNDDOWN(P66*AQ6*1.024,))</f>
        <v>0</v>
      </c>
      <c r="AS66" s="35">
        <f>IF(ISBLANK($A66),,ROUNDDOWN(R66*AQ6*1.024,))</f>
        <v>0</v>
      </c>
      <c r="AT66" s="35">
        <f t="shared" si="7"/>
        <v>0</v>
      </c>
      <c r="AU66" s="35">
        <f>IF(ISBLANK($A66),,ROUNDDOWN(V66*AQ6*1.024,))</f>
        <v>0</v>
      </c>
      <c r="AV66" s="35">
        <f>IF(ISBLANK($A66),,ROUNDDOWN(X66*AQ6*1.024,))</f>
        <v>0</v>
      </c>
    </row>
    <row r="67" spans="1:48">
      <c r="A67" s="35" t="s">
        <v>497</v>
      </c>
      <c r="C67" s="35" t="s">
        <v>333</v>
      </c>
      <c r="D67" s="35" t="s">
        <v>453</v>
      </c>
      <c r="E67" s="35" t="s">
        <v>110</v>
      </c>
      <c r="F67" s="154">
        <v>6</v>
      </c>
      <c r="G67" s="154">
        <v>20</v>
      </c>
      <c r="H67" s="154">
        <v>0</v>
      </c>
      <c r="I67" s="177">
        <v>201</v>
      </c>
      <c r="J67" s="154">
        <f t="shared" si="4"/>
        <v>20</v>
      </c>
      <c r="K67" s="154"/>
      <c r="AH67" s="154" t="s">
        <v>328</v>
      </c>
      <c r="AI67" s="154" t="s">
        <v>329</v>
      </c>
      <c r="AJ67" s="154"/>
      <c r="AM67" s="35">
        <f t="shared" si="5"/>
        <v>20.48</v>
      </c>
      <c r="AN67" s="35">
        <f t="shared" si="6"/>
        <v>0</v>
      </c>
      <c r="AO67" s="35">
        <f>IF(ISBLANK($A67),,ROUNDDOWN(I67*AQ6*1.024,))</f>
        <v>185</v>
      </c>
      <c r="AP67" s="35">
        <f>IF(ISBLANK($A67),,ROUNDDOWN(L67*AQ6*1.024,))</f>
        <v>0</v>
      </c>
      <c r="AQ67" s="35">
        <f>IF(ISBLANK($A67),,ROUNDDOWN(N67*AQ6*1.024,))</f>
        <v>0</v>
      </c>
      <c r="AR67" s="35">
        <f>IF(ISBLANK($A67),,ROUNDDOWN(P67*AQ6*1.024,))</f>
        <v>0</v>
      </c>
      <c r="AS67" s="35">
        <f>IF(ISBLANK($A67),,ROUNDDOWN(R67*AQ6*1.024,))</f>
        <v>0</v>
      </c>
      <c r="AT67" s="35">
        <f t="shared" si="7"/>
        <v>0</v>
      </c>
      <c r="AU67" s="35">
        <f>IF(ISBLANK($A67),,ROUNDDOWN(V67*AQ6*1.024,))</f>
        <v>0</v>
      </c>
      <c r="AV67" s="35">
        <f>IF(ISBLANK($A67),,ROUNDDOWN(X67*AQ6*1.024,))</f>
        <v>0</v>
      </c>
    </row>
    <row r="68" spans="1:48">
      <c r="A68" s="35" t="s">
        <v>388</v>
      </c>
      <c r="C68" s="35" t="s">
        <v>333</v>
      </c>
      <c r="D68" s="35" t="s">
        <v>453</v>
      </c>
      <c r="E68" s="35" t="s">
        <v>30</v>
      </c>
      <c r="F68" s="154">
        <v>2</v>
      </c>
      <c r="G68" s="154">
        <v>4</v>
      </c>
      <c r="H68" s="154">
        <v>0</v>
      </c>
      <c r="I68" s="154">
        <v>41</v>
      </c>
      <c r="J68" s="154">
        <f t="shared" si="4"/>
        <v>4</v>
      </c>
      <c r="K68" s="154"/>
      <c r="AH68" s="154" t="s">
        <v>328</v>
      </c>
      <c r="AI68" s="154" t="s">
        <v>329</v>
      </c>
      <c r="AJ68" s="154"/>
      <c r="AM68" s="35">
        <f t="shared" si="5"/>
        <v>4.0960000000000001</v>
      </c>
      <c r="AN68" s="35">
        <f t="shared" si="6"/>
        <v>0</v>
      </c>
      <c r="AO68" s="35">
        <f>IF(ISBLANK($A68),,ROUNDDOWN(I68*AQ6*1.024,))</f>
        <v>37</v>
      </c>
      <c r="AP68" s="35">
        <f>IF(ISBLANK($A68),,ROUNDDOWN(L68*AQ6*1.024,))</f>
        <v>0</v>
      </c>
      <c r="AQ68" s="35">
        <f>IF(ISBLANK($A68),,ROUNDDOWN(N68*AQ6*1.024,))</f>
        <v>0</v>
      </c>
      <c r="AR68" s="35">
        <f>IF(ISBLANK($A68),,ROUNDDOWN(P68*AQ6*1.024,))</f>
        <v>0</v>
      </c>
      <c r="AS68" s="35">
        <f>IF(ISBLANK($A68),,ROUNDDOWN(R68*AQ6*1.024,))</f>
        <v>0</v>
      </c>
      <c r="AT68" s="35">
        <f t="shared" si="7"/>
        <v>0</v>
      </c>
      <c r="AU68" s="35">
        <f>IF(ISBLANK($A68),,ROUNDDOWN(V68*AQ6*1.024,))</f>
        <v>0</v>
      </c>
      <c r="AV68" s="35">
        <f>IF(ISBLANK($A68),,ROUNDDOWN(X68*AQ6*1.024,))</f>
        <v>0</v>
      </c>
    </row>
    <row r="69" spans="1:48">
      <c r="A69" s="35" t="s">
        <v>389</v>
      </c>
      <c r="C69" s="35" t="s">
        <v>333</v>
      </c>
      <c r="D69" s="35" t="s">
        <v>453</v>
      </c>
      <c r="E69" s="35" t="s">
        <v>22</v>
      </c>
      <c r="F69" s="154">
        <v>2</v>
      </c>
      <c r="G69" s="154">
        <v>4</v>
      </c>
      <c r="H69" s="154">
        <v>0</v>
      </c>
      <c r="I69" s="154">
        <v>31</v>
      </c>
      <c r="J69" s="154">
        <f t="shared" si="4"/>
        <v>4</v>
      </c>
      <c r="K69" s="154"/>
      <c r="AH69" s="154" t="s">
        <v>328</v>
      </c>
      <c r="AI69" s="154" t="s">
        <v>329</v>
      </c>
      <c r="AJ69" s="154"/>
      <c r="AM69" s="35">
        <f t="shared" si="5"/>
        <v>4.0960000000000001</v>
      </c>
      <c r="AN69" s="35">
        <f t="shared" si="6"/>
        <v>0</v>
      </c>
      <c r="AO69" s="35">
        <f>IF(ISBLANK($A69),,ROUNDDOWN(I69*AQ6*1.024,))</f>
        <v>28</v>
      </c>
      <c r="AP69" s="35">
        <f>IF(ISBLANK($A69),,ROUNDDOWN(L69*AQ6*1.024,))</f>
        <v>0</v>
      </c>
      <c r="AQ69" s="35">
        <f>IF(ISBLANK($A69),,ROUNDDOWN(N69*AQ6*1.024,))</f>
        <v>0</v>
      </c>
      <c r="AR69" s="35">
        <f>IF(ISBLANK($A69),,ROUNDDOWN(P69*AQ6*1.024,))</f>
        <v>0</v>
      </c>
      <c r="AS69" s="35">
        <f>IF(ISBLANK($A69),,ROUNDDOWN(R69*AQ6*1.024,))</f>
        <v>0</v>
      </c>
      <c r="AT69" s="35">
        <f t="shared" si="7"/>
        <v>0</v>
      </c>
      <c r="AU69" s="35">
        <f>IF(ISBLANK($A69),,ROUNDDOWN(V69*AQ6*1.024,))</f>
        <v>0</v>
      </c>
      <c r="AV69" s="35">
        <f>IF(ISBLANK($A69),,ROUNDDOWN(X69*AQ6*1.024,))</f>
        <v>0</v>
      </c>
    </row>
    <row r="70" spans="1:48">
      <c r="A70" s="35" t="s">
        <v>390</v>
      </c>
      <c r="C70" s="35" t="s">
        <v>333</v>
      </c>
      <c r="D70" s="35" t="s">
        <v>453</v>
      </c>
      <c r="E70" s="35" t="s">
        <v>26</v>
      </c>
      <c r="F70" s="154">
        <v>4</v>
      </c>
      <c r="G70" s="154">
        <v>4</v>
      </c>
      <c r="H70" s="154">
        <v>0</v>
      </c>
      <c r="I70" s="154">
        <v>31</v>
      </c>
      <c r="J70" s="154">
        <f t="shared" si="4"/>
        <v>4</v>
      </c>
      <c r="K70" s="154"/>
      <c r="AH70" s="154" t="s">
        <v>328</v>
      </c>
      <c r="AI70" s="154" t="s">
        <v>329</v>
      </c>
      <c r="AJ70" s="154"/>
      <c r="AM70" s="35">
        <f t="shared" si="5"/>
        <v>4.0960000000000001</v>
      </c>
      <c r="AN70" s="35">
        <f t="shared" si="6"/>
        <v>0</v>
      </c>
      <c r="AO70" s="35">
        <f>IF(ISBLANK($A70),,ROUNDDOWN(I70*AQ6*1.024,))</f>
        <v>28</v>
      </c>
      <c r="AP70" s="35">
        <f>IF(ISBLANK($A70),,ROUNDDOWN(L70*AQ6*1.024,))</f>
        <v>0</v>
      </c>
      <c r="AQ70" s="35">
        <f>IF(ISBLANK($A70),,ROUNDDOWN(N70*AQ6*1.024,))</f>
        <v>0</v>
      </c>
      <c r="AR70" s="35">
        <f>IF(ISBLANK($A70),,ROUNDDOWN(P70*AQ6*1.024,))</f>
        <v>0</v>
      </c>
      <c r="AS70" s="35">
        <f>IF(ISBLANK($A70),,ROUNDDOWN(R70*AQ6*1.024,))</f>
        <v>0</v>
      </c>
      <c r="AT70" s="35">
        <f t="shared" si="7"/>
        <v>0</v>
      </c>
      <c r="AU70" s="35">
        <f>IF(ISBLANK($A70),,ROUNDDOWN(V70*AQ6*1.024,))</f>
        <v>0</v>
      </c>
      <c r="AV70" s="35">
        <f>IF(ISBLANK($A70),,ROUNDDOWN(X70*AQ6*1.024,))</f>
        <v>0</v>
      </c>
    </row>
    <row r="71" spans="1:48" ht="15">
      <c r="A71" s="35" t="s">
        <v>391</v>
      </c>
      <c r="C71" s="35" t="s">
        <v>333</v>
      </c>
      <c r="D71" s="35" t="s">
        <v>453</v>
      </c>
      <c r="E71" s="35" t="s">
        <v>38</v>
      </c>
      <c r="F71" s="154">
        <v>6</v>
      </c>
      <c r="G71" s="154">
        <v>7</v>
      </c>
      <c r="H71" s="154">
        <v>0</v>
      </c>
      <c r="I71" s="152">
        <v>111</v>
      </c>
      <c r="J71" s="154">
        <f t="shared" si="4"/>
        <v>7</v>
      </c>
      <c r="K71" s="40"/>
      <c r="L71" s="154"/>
      <c r="M71" s="154"/>
      <c r="N71" s="40"/>
      <c r="O71" s="41"/>
      <c r="P71" s="154"/>
      <c r="Q71" s="154"/>
      <c r="R71" s="154"/>
      <c r="S71" s="154"/>
      <c r="T71" s="154"/>
      <c r="U71" s="154"/>
      <c r="V71" s="154"/>
      <c r="X71" s="154"/>
      <c r="Z71" s="154"/>
      <c r="AA71" s="154"/>
      <c r="AB71" s="154"/>
      <c r="AC71" s="154"/>
      <c r="AD71" s="154"/>
      <c r="AE71" s="154"/>
      <c r="AF71" s="180"/>
      <c r="AG71" s="180"/>
      <c r="AH71" s="154" t="s">
        <v>328</v>
      </c>
      <c r="AI71" s="154" t="s">
        <v>329</v>
      </c>
      <c r="AJ71" s="154" t="s">
        <v>329</v>
      </c>
      <c r="AM71" s="35">
        <f t="shared" si="5"/>
        <v>7.1680000000000001</v>
      </c>
      <c r="AN71" s="35">
        <f t="shared" si="6"/>
        <v>0</v>
      </c>
      <c r="AO71" s="35">
        <f>IF(ISBLANK($A71),,ROUNDDOWN(I71*AQ6*1.024,))</f>
        <v>102</v>
      </c>
      <c r="AP71" s="35">
        <f>IF(ISBLANK($A71),,ROUNDDOWN(L71*AQ6*1.024,))</f>
        <v>0</v>
      </c>
      <c r="AQ71" s="35">
        <f>IF(ISBLANK($A71),,ROUNDDOWN(N71*AQ6*1.024,))</f>
        <v>0</v>
      </c>
      <c r="AR71" s="35">
        <f>IF(ISBLANK($A71),,ROUNDDOWN(P71*AQ6*1.024,))</f>
        <v>0</v>
      </c>
      <c r="AS71" s="35">
        <f>IF(ISBLANK($A71),,ROUNDDOWN(R71*AQ6*1.024,))</f>
        <v>0</v>
      </c>
      <c r="AT71" s="35">
        <f t="shared" si="7"/>
        <v>0</v>
      </c>
      <c r="AU71" s="35">
        <f>IF(ISBLANK($A71),,ROUNDDOWN(V71*AQ6*1.024,))</f>
        <v>0</v>
      </c>
      <c r="AV71" s="35">
        <f>IF(ISBLANK($A71),,ROUNDDOWN(X71*AQ6*1.024,))</f>
        <v>0</v>
      </c>
    </row>
    <row r="72" spans="1:48" ht="15">
      <c r="A72" s="35" t="s">
        <v>517</v>
      </c>
      <c r="C72" s="35" t="s">
        <v>333</v>
      </c>
      <c r="D72" s="35" t="s">
        <v>453</v>
      </c>
      <c r="E72" s="35" t="s">
        <v>38</v>
      </c>
      <c r="F72" s="154">
        <v>6</v>
      </c>
      <c r="G72" s="154">
        <v>7</v>
      </c>
      <c r="H72" s="154">
        <v>0</v>
      </c>
      <c r="I72" s="152">
        <v>111</v>
      </c>
      <c r="J72" s="154">
        <f t="shared" si="4"/>
        <v>7</v>
      </c>
      <c r="K72" s="40"/>
      <c r="L72" s="154"/>
      <c r="M72" s="154"/>
      <c r="N72" s="40"/>
      <c r="O72" s="41"/>
      <c r="P72" s="154"/>
      <c r="Q72" s="154"/>
      <c r="R72" s="154"/>
      <c r="S72" s="154"/>
      <c r="T72" s="154"/>
      <c r="U72" s="154"/>
      <c r="V72" s="154"/>
      <c r="X72" s="154"/>
      <c r="Z72" s="154"/>
      <c r="AA72" s="154"/>
      <c r="AB72" s="154"/>
      <c r="AC72" s="154"/>
      <c r="AD72" s="154"/>
      <c r="AE72" s="154"/>
      <c r="AF72" s="180"/>
      <c r="AG72" s="180"/>
      <c r="AH72" s="154" t="s">
        <v>328</v>
      </c>
      <c r="AI72" s="154" t="s">
        <v>329</v>
      </c>
      <c r="AJ72" s="154"/>
      <c r="AM72" s="35">
        <f t="shared" si="5"/>
        <v>7.1680000000000001</v>
      </c>
      <c r="AN72" s="35">
        <f t="shared" si="6"/>
        <v>0</v>
      </c>
      <c r="AO72" s="35">
        <f>IF(ISBLANK($A72),,ROUNDDOWN(I72*AQ6*1.024,))</f>
        <v>102</v>
      </c>
      <c r="AP72" s="35">
        <f>IF(ISBLANK($A72),,ROUNDDOWN(L72*AQ6*1.024,))</f>
        <v>0</v>
      </c>
      <c r="AQ72" s="35">
        <f>IF(ISBLANK($A72),,ROUNDDOWN(N72*AQ6*1.024,))</f>
        <v>0</v>
      </c>
      <c r="AR72" s="35">
        <f>IF(ISBLANK($A72),,ROUNDDOWN(P72*AQ6*1.024,))</f>
        <v>0</v>
      </c>
      <c r="AS72" s="35">
        <f>IF(ISBLANK($A72),,ROUNDDOWN(R72*AQ6*1.024,))</f>
        <v>0</v>
      </c>
      <c r="AT72" s="35">
        <f t="shared" si="7"/>
        <v>0</v>
      </c>
      <c r="AU72" s="35">
        <f>IF(ISBLANK($A72),,ROUNDDOWN(V72*AQ6*1.024,))</f>
        <v>0</v>
      </c>
      <c r="AV72" s="35">
        <f>IF(ISBLANK($A72),,ROUNDDOWN(X72*AQ6*1.024,))</f>
        <v>0</v>
      </c>
    </row>
    <row r="73" spans="1:48" ht="15">
      <c r="A73" s="156" t="s">
        <v>392</v>
      </c>
      <c r="B73" s="156"/>
      <c r="C73" s="156"/>
      <c r="D73" s="35" t="s">
        <v>453</v>
      </c>
      <c r="E73" s="156" t="s">
        <v>49</v>
      </c>
      <c r="F73" s="152">
        <v>2</v>
      </c>
      <c r="G73" s="152">
        <v>2</v>
      </c>
      <c r="H73" s="152">
        <v>0</v>
      </c>
      <c r="I73" s="152">
        <v>16</v>
      </c>
      <c r="J73" s="154">
        <f t="shared" si="4"/>
        <v>2</v>
      </c>
      <c r="K73" s="40"/>
      <c r="L73" s="154"/>
      <c r="M73" s="154"/>
      <c r="N73" s="40"/>
      <c r="O73" s="41"/>
      <c r="P73" s="154"/>
      <c r="Q73" s="154"/>
      <c r="R73" s="154"/>
      <c r="S73" s="154"/>
      <c r="T73" s="154"/>
      <c r="U73" s="154"/>
      <c r="V73" s="154"/>
      <c r="X73" s="154"/>
      <c r="Z73" s="154"/>
      <c r="AA73" s="154"/>
      <c r="AB73" s="154"/>
      <c r="AC73" s="154"/>
      <c r="AD73" s="154"/>
      <c r="AE73" s="154"/>
      <c r="AF73" s="180"/>
      <c r="AG73" s="180"/>
      <c r="AH73" s="154" t="s">
        <v>328</v>
      </c>
      <c r="AI73" s="154" t="s">
        <v>329</v>
      </c>
      <c r="AJ73" s="154"/>
      <c r="AM73" s="35">
        <f t="shared" si="5"/>
        <v>2.048</v>
      </c>
      <c r="AN73" s="35">
        <f t="shared" si="6"/>
        <v>0</v>
      </c>
      <c r="AO73" s="35">
        <f>IF(ISBLANK($A73),,ROUNDDOWN(I73*AQ6*1.024,))</f>
        <v>14</v>
      </c>
      <c r="AP73" s="35">
        <f>IF(ISBLANK($A73),,ROUNDDOWN(L73*AQ6*1.024,))</f>
        <v>0</v>
      </c>
      <c r="AQ73" s="35">
        <f>IF(ISBLANK($A73),,ROUNDDOWN(N73*AQ6*1.024,))</f>
        <v>0</v>
      </c>
      <c r="AR73" s="35">
        <f>IF(ISBLANK($A73),,ROUNDDOWN(P73*AQ6*1.024,))</f>
        <v>0</v>
      </c>
      <c r="AS73" s="35">
        <f>IF(ISBLANK($A73),,ROUNDDOWN(R73*AQ6*1.024,))</f>
        <v>0</v>
      </c>
      <c r="AT73" s="35">
        <f t="shared" si="7"/>
        <v>0</v>
      </c>
      <c r="AU73" s="35">
        <f>IF(ISBLANK($A73),,ROUNDDOWN(V73*AQ6*1.024,))</f>
        <v>0</v>
      </c>
      <c r="AV73" s="35">
        <f>IF(ISBLANK($A73),,ROUNDDOWN(X73*AQ6*1.024,))</f>
        <v>0</v>
      </c>
    </row>
    <row r="74" spans="1:48" ht="15">
      <c r="A74" s="156" t="s">
        <v>393</v>
      </c>
      <c r="B74" s="156"/>
      <c r="C74" s="156"/>
      <c r="D74" s="35" t="s">
        <v>453</v>
      </c>
      <c r="E74" s="156" t="s">
        <v>49</v>
      </c>
      <c r="F74" s="152">
        <v>2</v>
      </c>
      <c r="G74" s="152">
        <v>2</v>
      </c>
      <c r="H74" s="152">
        <v>0</v>
      </c>
      <c r="I74" s="152">
        <v>16</v>
      </c>
      <c r="J74" s="154">
        <f t="shared" si="4"/>
        <v>2</v>
      </c>
      <c r="K74" s="40"/>
      <c r="L74" s="154"/>
      <c r="M74" s="154"/>
      <c r="N74" s="40"/>
      <c r="O74" s="41"/>
      <c r="P74" s="154"/>
      <c r="Q74" s="154"/>
      <c r="R74" s="154"/>
      <c r="S74" s="154"/>
      <c r="T74" s="154"/>
      <c r="U74" s="154"/>
      <c r="V74" s="154"/>
      <c r="X74" s="154"/>
      <c r="Z74" s="154"/>
      <c r="AA74" s="154"/>
      <c r="AB74" s="154"/>
      <c r="AC74" s="154"/>
      <c r="AD74" s="154"/>
      <c r="AE74" s="154"/>
      <c r="AF74" s="180"/>
      <c r="AG74" s="180"/>
      <c r="AH74" s="154" t="s">
        <v>328</v>
      </c>
      <c r="AI74" s="154" t="s">
        <v>329</v>
      </c>
      <c r="AJ74" s="154"/>
      <c r="AM74" s="35">
        <f t="shared" si="5"/>
        <v>2.048</v>
      </c>
      <c r="AN74" s="35">
        <f t="shared" si="6"/>
        <v>0</v>
      </c>
      <c r="AO74" s="35">
        <f>IF(ISBLANK($A74),,ROUNDDOWN(I74*AQ6*1.024,))</f>
        <v>14</v>
      </c>
      <c r="AP74" s="35">
        <f>IF(ISBLANK($A74),,ROUNDDOWN(L74*AQ6*1.024,))</f>
        <v>0</v>
      </c>
      <c r="AQ74" s="35">
        <f>IF(ISBLANK($A74),,ROUNDDOWN(N74*AQ6*1.024,))</f>
        <v>0</v>
      </c>
      <c r="AR74" s="35">
        <f>IF(ISBLANK($A74),,ROUNDDOWN(P74*AQ6*1.024,))</f>
        <v>0</v>
      </c>
      <c r="AS74" s="35">
        <f>IF(ISBLANK($A74),,ROUNDDOWN(R74*AQ6*1.024,))</f>
        <v>0</v>
      </c>
      <c r="AT74" s="35">
        <f t="shared" si="7"/>
        <v>0</v>
      </c>
      <c r="AU74" s="35">
        <f>IF(ISBLANK($A74),,ROUNDDOWN(V74*AQ6*1.024,))</f>
        <v>0</v>
      </c>
      <c r="AV74" s="35">
        <f>IF(ISBLANK($A74),,ROUNDDOWN(X74*AQ6*1.024,))</f>
        <v>0</v>
      </c>
    </row>
    <row r="75" spans="1:48" ht="15">
      <c r="A75" s="156" t="s">
        <v>394</v>
      </c>
      <c r="B75" s="156"/>
      <c r="C75" s="156" t="s">
        <v>333</v>
      </c>
      <c r="D75" s="35" t="s">
        <v>453</v>
      </c>
      <c r="E75" s="156" t="s">
        <v>53</v>
      </c>
      <c r="F75" s="152">
        <v>6</v>
      </c>
      <c r="G75" s="152">
        <v>5</v>
      </c>
      <c r="H75" s="152">
        <v>0</v>
      </c>
      <c r="I75" s="152">
        <v>41</v>
      </c>
      <c r="J75" s="154">
        <f t="shared" si="4"/>
        <v>5</v>
      </c>
      <c r="K75" s="40"/>
      <c r="L75" s="154"/>
      <c r="M75" s="154"/>
      <c r="N75" s="40"/>
      <c r="O75" s="41"/>
      <c r="P75" s="154"/>
      <c r="Q75" s="154"/>
      <c r="R75" s="154"/>
      <c r="S75" s="154"/>
      <c r="T75" s="154"/>
      <c r="U75" s="154"/>
      <c r="V75" s="154"/>
      <c r="X75" s="154"/>
      <c r="Z75" s="154"/>
      <c r="AA75" s="154"/>
      <c r="AB75" s="154"/>
      <c r="AC75" s="154"/>
      <c r="AD75" s="154"/>
      <c r="AE75" s="154"/>
      <c r="AF75" s="180"/>
      <c r="AG75" s="180"/>
      <c r="AH75" s="154" t="s">
        <v>328</v>
      </c>
      <c r="AI75" s="154" t="s">
        <v>329</v>
      </c>
      <c r="AJ75" s="154"/>
      <c r="AM75" s="35">
        <f t="shared" si="5"/>
        <v>5.12</v>
      </c>
      <c r="AN75" s="35">
        <f t="shared" si="6"/>
        <v>0</v>
      </c>
      <c r="AO75" s="35">
        <f>IF(ISBLANK($A75),,ROUNDDOWN(I75*AQ6*1.024,))</f>
        <v>37</v>
      </c>
      <c r="AP75" s="35">
        <f>IF(ISBLANK($A75),,ROUNDDOWN(L75*AQ6*1.024,))</f>
        <v>0</v>
      </c>
      <c r="AQ75" s="35">
        <f>IF(ISBLANK($A75),,ROUNDDOWN(N75*AQ6*1.024,))</f>
        <v>0</v>
      </c>
      <c r="AR75" s="35">
        <f>IF(ISBLANK($A75),,ROUNDDOWN(P75*AQ6*1.024,))</f>
        <v>0</v>
      </c>
      <c r="AS75" s="35">
        <f>IF(ISBLANK($A75),,ROUNDDOWN(R75*AQ6*1.024,))</f>
        <v>0</v>
      </c>
      <c r="AT75" s="35">
        <f t="shared" si="7"/>
        <v>0</v>
      </c>
      <c r="AU75" s="35">
        <f>IF(ISBLANK($A75),,ROUNDDOWN(V75*AQ6*1.024,))</f>
        <v>0</v>
      </c>
      <c r="AV75" s="35">
        <f>IF(ISBLANK($A75),,ROUNDDOWN(X75*AQ6*1.024,))</f>
        <v>0</v>
      </c>
    </row>
    <row r="76" spans="1:48" ht="15">
      <c r="A76" s="156" t="s">
        <v>395</v>
      </c>
      <c r="B76" s="156"/>
      <c r="C76" s="156"/>
      <c r="D76" s="35" t="s">
        <v>453</v>
      </c>
      <c r="E76" s="156" t="s">
        <v>57</v>
      </c>
      <c r="F76" s="152">
        <v>2</v>
      </c>
      <c r="G76" s="152">
        <v>2</v>
      </c>
      <c r="H76" s="152">
        <v>0</v>
      </c>
      <c r="I76" s="152">
        <v>31</v>
      </c>
      <c r="J76" s="152">
        <f t="shared" si="4"/>
        <v>2</v>
      </c>
      <c r="K76" s="40"/>
      <c r="L76" s="154"/>
      <c r="M76" s="154"/>
      <c r="N76" s="40"/>
      <c r="O76" s="41"/>
      <c r="P76" s="154"/>
      <c r="Q76" s="154"/>
      <c r="R76" s="154"/>
      <c r="S76" s="154"/>
      <c r="T76" s="154"/>
      <c r="U76" s="154"/>
      <c r="V76" s="154"/>
      <c r="X76" s="154"/>
      <c r="Y76" s="115"/>
      <c r="Z76" s="114"/>
      <c r="AA76" s="114"/>
      <c r="AB76" s="114"/>
      <c r="AC76" s="114"/>
      <c r="AD76" s="114"/>
      <c r="AE76" s="114"/>
      <c r="AF76" s="114"/>
      <c r="AG76" s="114"/>
      <c r="AH76" s="114" t="s">
        <v>328</v>
      </c>
      <c r="AI76" s="114" t="s">
        <v>329</v>
      </c>
      <c r="AJ76" s="114"/>
      <c r="AK76" s="115"/>
      <c r="AM76" s="35">
        <f t="shared" si="5"/>
        <v>2.048</v>
      </c>
      <c r="AN76" s="35">
        <f t="shared" si="6"/>
        <v>0</v>
      </c>
      <c r="AO76" s="35">
        <f>IF(ISBLANK($A76),,ROUNDDOWN(I76*AQ$6*1.024,))</f>
        <v>28</v>
      </c>
      <c r="AP76" s="35">
        <f>IF(ISBLANK($A76),,ROUNDDOWN(L76*AQ$6*1.024,))</f>
        <v>0</v>
      </c>
      <c r="AQ76" s="35">
        <f>IF(ISBLANK($A76),,ROUNDDOWN(N76*AQ$6*1.024,))</f>
        <v>0</v>
      </c>
      <c r="AR76" s="35">
        <f>IF(ISBLANK($A76),,ROUNDDOWN(P76*AQ$6*1.024,))</f>
        <v>0</v>
      </c>
      <c r="AS76" s="35">
        <f>IF(ISBLANK($A76),,ROUNDDOWN(R76*AQ$6*1.024,))</f>
        <v>0</v>
      </c>
      <c r="AT76" s="35">
        <f t="shared" si="7"/>
        <v>0</v>
      </c>
      <c r="AU76" s="35">
        <f>IF(ISBLANK($A76),,ROUNDDOWN(V76*AQ$6*1.024,))</f>
        <v>0</v>
      </c>
      <c r="AV76" s="35">
        <f>IF(ISBLANK($A76),,ROUNDDOWN(X76*AQ$6*1.024,))</f>
        <v>0</v>
      </c>
    </row>
    <row r="77" spans="1:48" s="3" customFormat="1" ht="13.5" customHeight="1">
      <c r="A77" s="156" t="s">
        <v>396</v>
      </c>
      <c r="B77" s="156"/>
      <c r="C77" s="156"/>
      <c r="D77" s="156" t="s">
        <v>397</v>
      </c>
      <c r="E77" s="156" t="s">
        <v>398</v>
      </c>
      <c r="F77" s="152">
        <v>4</v>
      </c>
      <c r="G77" s="152">
        <v>16</v>
      </c>
      <c r="H77" s="152">
        <v>0</v>
      </c>
      <c r="I77" s="152">
        <v>150</v>
      </c>
      <c r="J77" s="152">
        <f t="shared" si="4"/>
        <v>16</v>
      </c>
      <c r="K77" s="152" t="s">
        <v>126</v>
      </c>
      <c r="L77" s="152"/>
      <c r="M77" s="152"/>
      <c r="N77" s="1"/>
      <c r="O77"/>
      <c r="P77" s="152"/>
      <c r="Q77" s="152"/>
      <c r="R77" s="152"/>
      <c r="S77" s="152"/>
      <c r="T77" s="152"/>
      <c r="U77" s="152"/>
      <c r="V77" s="152">
        <v>3000</v>
      </c>
      <c r="W77" s="152" t="s">
        <v>126</v>
      </c>
      <c r="X77" s="152"/>
      <c r="Y77" s="101"/>
      <c r="Z77" s="101"/>
      <c r="AA77" s="101"/>
      <c r="AB77" s="101"/>
      <c r="AC77" s="101"/>
      <c r="AD77" s="101"/>
      <c r="AE77" s="101"/>
      <c r="AF77" s="101"/>
      <c r="AG77" s="101"/>
      <c r="AH77" s="102"/>
      <c r="AI77" s="102"/>
      <c r="AJ77" s="102"/>
      <c r="AK77" s="156"/>
      <c r="AL77" s="156"/>
      <c r="AM77" s="156">
        <f t="shared" si="5"/>
        <v>16.384</v>
      </c>
      <c r="AN77" s="156">
        <f t="shared" si="6"/>
        <v>0</v>
      </c>
      <c r="AO77" s="35">
        <f>IF(ISBLANK($A77),,ROUNDDOWN(I77*AQ$6*1.024,))</f>
        <v>138</v>
      </c>
      <c r="AP77" s="35">
        <f>IF(ISBLANK($A77),,ROUNDDOWN(L77*AQ$6*1.024,))</f>
        <v>0</v>
      </c>
      <c r="AQ77" s="35">
        <f>IF(ISBLANK($A77),,ROUNDDOWN(N77*AQ$6*1.024,))</f>
        <v>0</v>
      </c>
      <c r="AR77" s="35">
        <f>IF(ISBLANK($A77),,ROUNDDOWN(P77*AQ$6*1.024,))</f>
        <v>0</v>
      </c>
      <c r="AS77" s="35">
        <f>IF(ISBLANK($A77),,ROUNDDOWN(R77*AQ$6*1.024,))</f>
        <v>0</v>
      </c>
      <c r="AT77" s="35">
        <f t="shared" si="7"/>
        <v>0</v>
      </c>
      <c r="AU77" s="35">
        <f>IF(ISBLANK($A77),,ROUNDDOWN(V77*AQ$6*1.024,))</f>
        <v>2764</v>
      </c>
      <c r="AV77" s="35">
        <f>IF(ISBLANK($A77),,ROUNDDOWN(X77*AQ$6*1.024,))</f>
        <v>0</v>
      </c>
    </row>
    <row r="78" spans="1:48" s="3" customFormat="1" ht="13.5" customHeight="1">
      <c r="A78" s="156" t="s">
        <v>399</v>
      </c>
      <c r="B78" s="156"/>
      <c r="C78" s="156"/>
      <c r="D78" s="156" t="s">
        <v>397</v>
      </c>
      <c r="E78" s="156" t="s">
        <v>400</v>
      </c>
      <c r="F78" s="152">
        <v>4</v>
      </c>
      <c r="G78" s="152">
        <v>4</v>
      </c>
      <c r="H78" s="152">
        <v>0</v>
      </c>
      <c r="I78" s="152">
        <v>21</v>
      </c>
      <c r="J78" s="152">
        <f t="shared" si="4"/>
        <v>4</v>
      </c>
      <c r="K78" s="152" t="s">
        <v>126</v>
      </c>
      <c r="L78" s="152"/>
      <c r="M78" s="152"/>
      <c r="N78" s="1"/>
      <c r="O78"/>
      <c r="P78" s="152"/>
      <c r="Q78" s="152"/>
      <c r="R78" s="152"/>
      <c r="S78" s="152"/>
      <c r="T78" s="152"/>
      <c r="U78" s="152"/>
      <c r="V78" s="152">
        <v>0</v>
      </c>
      <c r="W78" s="152" t="s">
        <v>126</v>
      </c>
      <c r="X78" s="152"/>
      <c r="Y78" s="101"/>
      <c r="Z78" s="101"/>
      <c r="AA78" s="101"/>
      <c r="AB78" s="101"/>
      <c r="AC78" s="101"/>
      <c r="AD78" s="101"/>
      <c r="AE78" s="101"/>
      <c r="AF78" s="101"/>
      <c r="AG78" s="101"/>
      <c r="AH78" s="102"/>
      <c r="AI78" s="102"/>
      <c r="AJ78" s="102"/>
      <c r="AK78" s="101"/>
      <c r="AL78" s="101"/>
      <c r="AM78" s="101">
        <f t="shared" si="5"/>
        <v>4.0960000000000001</v>
      </c>
      <c r="AN78" s="101">
        <f t="shared" si="6"/>
        <v>0</v>
      </c>
      <c r="AO78" s="115">
        <f>IF(ISBLANK($A78),,ROUNDDOWN(I78*AQ$6*1.024,))</f>
        <v>19</v>
      </c>
      <c r="AP78" s="115">
        <f>IF(ISBLANK($A78),,ROUNDDOWN(L78*AQ$6*1.024,))</f>
        <v>0</v>
      </c>
      <c r="AQ78" s="115">
        <f>IF(ISBLANK($A78),,ROUNDDOWN(N78*AQ$6*1.024,))</f>
        <v>0</v>
      </c>
      <c r="AR78" s="115">
        <f>IF(ISBLANK($A78),,ROUNDDOWN(P78*AQ$6*1.024,))</f>
        <v>0</v>
      </c>
      <c r="AS78" s="115">
        <f>IF(ISBLANK($A78),,ROUNDDOWN(R78*AQ$6*1.024,))</f>
        <v>0</v>
      </c>
      <c r="AT78" s="115">
        <f t="shared" si="7"/>
        <v>0</v>
      </c>
      <c r="AU78" s="115">
        <f>IF(ISBLANK($A78),,ROUNDDOWN(V78*AQ$6*1.024,))</f>
        <v>0</v>
      </c>
      <c r="AV78" s="115">
        <f>IF(ISBLANK($A78),,ROUNDDOWN(X78*AQ$6*1.024,))</f>
        <v>0</v>
      </c>
    </row>
    <row r="79" spans="1:48" s="13" customFormat="1" ht="13.5" customHeight="1">
      <c r="A79" s="13" t="s">
        <v>693</v>
      </c>
      <c r="C79" s="13" t="s">
        <v>333</v>
      </c>
      <c r="D79" s="13" t="s">
        <v>453</v>
      </c>
      <c r="E79" s="182" t="s">
        <v>694</v>
      </c>
      <c r="F79" s="186">
        <f>IF(OR(E50=1,E50=2,E50=3,E50=4),VLOOKUP(E50,A138:F143,2,FALSE),VLOOKUP(1,A138:F143,2,FALSE))</f>
        <v>8</v>
      </c>
      <c r="G79" s="186">
        <f>IF(OR(E50=1,E50=2,E50=3,E50=4),VLOOKUP(E50,A138:F143,3,FALSE),VLOOKUP(1,A138:F143,3,FALSE))</f>
        <v>32</v>
      </c>
      <c r="H79" s="8">
        <v>0</v>
      </c>
      <c r="I79" s="8">
        <v>71</v>
      </c>
      <c r="J79" s="8">
        <f t="shared" si="4"/>
        <v>32</v>
      </c>
      <c r="K79" s="36"/>
      <c r="L79" s="8"/>
      <c r="M79" s="8"/>
      <c r="N79" s="134"/>
      <c r="O79" s="133"/>
      <c r="P79" s="8"/>
      <c r="Q79" s="8"/>
      <c r="R79" s="8"/>
      <c r="S79" s="8"/>
      <c r="T79" s="8"/>
      <c r="U79" s="8"/>
      <c r="V79" s="8"/>
      <c r="W79" s="8"/>
      <c r="X79" s="8"/>
      <c r="AF79" s="186">
        <f>IF(OR(E50=1,E50=2,E50=3,E50=4),VLOOKUP(E50,A138:F143,4,FALSE),VLOOKUP(1,A138:F143,4,FALSE))</f>
        <v>200</v>
      </c>
      <c r="AG79" s="36" t="s">
        <v>695</v>
      </c>
      <c r="AH79" s="8" t="s">
        <v>328</v>
      </c>
      <c r="AI79" s="8" t="s">
        <v>329</v>
      </c>
      <c r="AJ79" s="8"/>
      <c r="AM79" s="13">
        <f t="shared" si="5"/>
        <v>32.768000000000001</v>
      </c>
      <c r="AN79" s="13">
        <f t="shared" ref="AN79" si="8">IF(ISBLANK($A79),,H79*1.024)</f>
        <v>0</v>
      </c>
      <c r="AO79" s="42">
        <f>IF(ISBLANK($A79),,ROUNDDOWN(I79*AQ$6*1.024,))</f>
        <v>65</v>
      </c>
      <c r="AP79" s="42">
        <f>IF(ISBLANK($A79),,ROUNDDOWN(L79*AQ$6*1.024,))</f>
        <v>0</v>
      </c>
      <c r="AQ79" s="42">
        <f>IF(ISBLANK($A79),,ROUNDDOWN(N79*AQ$6*1.024,))</f>
        <v>0</v>
      </c>
      <c r="AR79" s="42">
        <f>IF(ISBLANK($A79),,ROUNDDOWN(P79*AQ$6*1.024,))</f>
        <v>0</v>
      </c>
      <c r="AS79" s="42">
        <f>IF(ISBLANK($A79),,ROUNDDOWN(R79*AQ$6*1.024,))</f>
        <v>0</v>
      </c>
      <c r="AT79" s="42">
        <f t="shared" ref="AT79" si="9">IF(ISBLANK($A79),,ROUNDDOWN(T79*AQ$6*1.024,))</f>
        <v>0</v>
      </c>
      <c r="AU79" s="42">
        <f>IF(ISBLANK($A79),,ROUNDDOWN(V79*AQ$6*1.024,))</f>
        <v>0</v>
      </c>
      <c r="AV79" s="42">
        <f>IF(ISBLANK($A79),,ROUNDDOWN(X79*AQ$6*1.024,))</f>
        <v>0</v>
      </c>
    </row>
    <row r="80" spans="1:48">
      <c r="A80" s="43"/>
      <c r="B80" s="43"/>
      <c r="C80" s="43"/>
      <c r="D80" s="43"/>
      <c r="E80" s="43"/>
      <c r="F80" s="44">
        <f>SUM(F53:F79)+F44</f>
        <v>354</v>
      </c>
      <c r="G80" s="44">
        <f>SUM(G53:G79)+G44</f>
        <v>1049</v>
      </c>
      <c r="H80" s="44">
        <f>SUM(H53:H79)+H44</f>
        <v>417</v>
      </c>
      <c r="I80" s="44">
        <f>SUM(I53:I79)+I44</f>
        <v>6205</v>
      </c>
      <c r="J80" s="44"/>
      <c r="K80" s="44"/>
      <c r="L80" s="44">
        <f>SUM(L53:L79)+L44</f>
        <v>500</v>
      </c>
      <c r="M80" s="44"/>
      <c r="N80" s="44">
        <f>SUM(N53:N79)+N44</f>
        <v>9000</v>
      </c>
      <c r="O80" s="44"/>
      <c r="P80" s="44">
        <f>SUM(P53:P79)+P44</f>
        <v>13500</v>
      </c>
      <c r="Q80" s="44"/>
      <c r="R80" s="44">
        <f>SUM(R53:R79)+R44</f>
        <v>850</v>
      </c>
      <c r="S80" s="44"/>
      <c r="T80" s="44">
        <f>SUM(T53:T79)+T44</f>
        <v>300</v>
      </c>
      <c r="U80" s="44"/>
      <c r="V80" s="44">
        <f>SUM(V53:V79)+V44</f>
        <v>3000</v>
      </c>
      <c r="W80" s="44"/>
      <c r="X80" s="44">
        <f>SUM(X53:X79)+X44</f>
        <v>31056</v>
      </c>
      <c r="Z80" s="44">
        <f>SUM(Z53:Z79)+Z44</f>
        <v>200</v>
      </c>
      <c r="AB80" s="44">
        <f>SUM(AB53:AB79)+AB44</f>
        <v>50</v>
      </c>
      <c r="AD80" s="44">
        <f>SUM(AD53:AD79)+AD44</f>
        <v>200</v>
      </c>
      <c r="AF80" s="44">
        <f>SUM(AF53:AF79)+AF44</f>
        <v>200</v>
      </c>
      <c r="AI80" s="154" t="s">
        <v>702</v>
      </c>
      <c r="AJ80" s="154">
        <f>3</f>
        <v>3</v>
      </c>
    </row>
    <row r="82" spans="1:48">
      <c r="A82" s="7" t="s">
        <v>401</v>
      </c>
    </row>
    <row r="83" spans="1:48" s="3" customFormat="1" ht="13.5" customHeight="1">
      <c r="A83" s="156" t="s">
        <v>402</v>
      </c>
      <c r="B83" s="156"/>
      <c r="C83" s="156" t="s">
        <v>69</v>
      </c>
      <c r="D83" s="156" t="s">
        <v>403</v>
      </c>
      <c r="E83" s="156" t="s">
        <v>404</v>
      </c>
      <c r="F83" s="152">
        <v>2</v>
      </c>
      <c r="G83" s="152">
        <v>8</v>
      </c>
      <c r="H83" s="152">
        <v>0</v>
      </c>
      <c r="I83" s="152">
        <v>200</v>
      </c>
      <c r="J83" s="154">
        <v>0</v>
      </c>
      <c r="K83" s="1" t="s">
        <v>405</v>
      </c>
      <c r="L83" s="152"/>
      <c r="M83" s="152"/>
      <c r="N83" s="1"/>
      <c r="O83"/>
      <c r="P83" s="152"/>
      <c r="Q83" s="152"/>
      <c r="R83" s="152"/>
      <c r="S83" s="152"/>
      <c r="T83" s="152"/>
      <c r="U83" s="152"/>
      <c r="V83" s="152"/>
      <c r="W83" s="152"/>
      <c r="X83" s="152"/>
      <c r="Y83" s="156"/>
      <c r="Z83" s="156"/>
      <c r="AA83" s="156"/>
      <c r="AB83" s="156"/>
      <c r="AC83" s="156"/>
      <c r="AD83" s="156"/>
      <c r="AE83" s="156"/>
      <c r="AF83" s="156"/>
      <c r="AG83" s="156"/>
      <c r="AH83" s="152" t="s">
        <v>406</v>
      </c>
      <c r="AI83" s="152" t="s">
        <v>329</v>
      </c>
      <c r="AJ83" s="152"/>
      <c r="AK83" s="156"/>
      <c r="AL83" s="156"/>
      <c r="AM83" s="156">
        <f t="shared" ref="AM83:AM91" si="10">IF(ISBLANK($A83),,G83*1.024)</f>
        <v>8.1920000000000002</v>
      </c>
      <c r="AN83" s="156">
        <f t="shared" ref="AN83:AN91" si="11">IF(ISBLANK($A83),,H83*1.024)</f>
        <v>0</v>
      </c>
      <c r="AO83" s="156">
        <f t="shared" ref="AO83:AO91" si="12">IF(ISBLANK($A83),,ROUNDDOWN(I83*$AQ$6*1.024,))</f>
        <v>184</v>
      </c>
      <c r="AP83" s="156">
        <f t="shared" ref="AP83:AP91" si="13">IF(ISBLANK($A83),,ROUNDDOWN(L83*$AQ$6*1.024,))</f>
        <v>0</v>
      </c>
      <c r="AQ83" s="156">
        <f t="shared" ref="AQ83:AQ91" si="14">IF(ISBLANK($A83),,ROUNDDOWN(N83*$AQ$6*1.024,))</f>
        <v>0</v>
      </c>
      <c r="AR83" s="156">
        <f t="shared" ref="AR83:AR91" si="15">IF(ISBLANK($A83),,ROUNDDOWN(P83*$AQ$6*1.024,))</f>
        <v>0</v>
      </c>
      <c r="AS83" s="156">
        <f t="shared" ref="AS83:AS91" si="16">IF(ISBLANK($A83),,ROUNDDOWN(R83*$AQ$6*1.024,))</f>
        <v>0</v>
      </c>
      <c r="AT83" s="156">
        <f t="shared" ref="AT83:AT91" si="17">IF(ISBLANK($A83),,ROUNDDOWN(V83*$AQ$6*1.024,))</f>
        <v>0</v>
      </c>
      <c r="AU83" s="156">
        <f t="shared" ref="AU83:AU91" si="18">IF(ISBLANK($A83),,ROUNDDOWN(X83*$AQ$6*1.024,))</f>
        <v>0</v>
      </c>
      <c r="AV83" s="35">
        <f t="shared" ref="AV83:AV91" si="19">IF(ISBLANK($A83),,ROUNDDOWN(X83*AQ$6*1.024,))</f>
        <v>0</v>
      </c>
    </row>
    <row r="84" spans="1:48" s="3" customFormat="1" ht="13.5" customHeight="1">
      <c r="A84" s="156" t="s">
        <v>407</v>
      </c>
      <c r="B84" s="156"/>
      <c r="C84" s="156" t="s">
        <v>69</v>
      </c>
      <c r="D84" s="156" t="s">
        <v>403</v>
      </c>
      <c r="E84" s="156" t="s">
        <v>408</v>
      </c>
      <c r="F84" s="152">
        <v>4</v>
      </c>
      <c r="G84" s="152">
        <v>8</v>
      </c>
      <c r="H84" s="152">
        <v>0</v>
      </c>
      <c r="I84" s="152">
        <v>220</v>
      </c>
      <c r="J84" s="152">
        <v>0</v>
      </c>
      <c r="K84" s="1" t="s">
        <v>405</v>
      </c>
      <c r="L84" s="152"/>
      <c r="M84" s="152"/>
      <c r="N84" s="1"/>
      <c r="O84"/>
      <c r="P84" s="152"/>
      <c r="Q84" s="152"/>
      <c r="R84" s="152"/>
      <c r="S84" s="152"/>
      <c r="T84" s="152"/>
      <c r="U84" s="152"/>
      <c r="V84" s="152"/>
      <c r="W84" s="152"/>
      <c r="X84" s="152"/>
      <c r="Y84" s="156"/>
      <c r="Z84" s="156"/>
      <c r="AA84" s="156"/>
      <c r="AB84" s="156"/>
      <c r="AC84" s="156"/>
      <c r="AD84" s="156"/>
      <c r="AE84" s="156"/>
      <c r="AF84" s="156"/>
      <c r="AG84" s="156"/>
      <c r="AH84" s="152" t="s">
        <v>406</v>
      </c>
      <c r="AI84" s="152" t="s">
        <v>329</v>
      </c>
      <c r="AJ84" s="152"/>
      <c r="AK84" s="156"/>
      <c r="AL84" s="156"/>
      <c r="AM84" s="156">
        <f t="shared" si="10"/>
        <v>8.1920000000000002</v>
      </c>
      <c r="AN84" s="156">
        <f t="shared" si="11"/>
        <v>0</v>
      </c>
      <c r="AO84" s="156">
        <f t="shared" si="12"/>
        <v>202</v>
      </c>
      <c r="AP84" s="156">
        <f t="shared" si="13"/>
        <v>0</v>
      </c>
      <c r="AQ84" s="156">
        <f t="shared" si="14"/>
        <v>0</v>
      </c>
      <c r="AR84" s="156">
        <f t="shared" si="15"/>
        <v>0</v>
      </c>
      <c r="AS84" s="156">
        <f t="shared" si="16"/>
        <v>0</v>
      </c>
      <c r="AT84" s="156">
        <f t="shared" si="17"/>
        <v>0</v>
      </c>
      <c r="AU84" s="156">
        <f t="shared" si="18"/>
        <v>0</v>
      </c>
      <c r="AV84" s="35">
        <f t="shared" si="19"/>
        <v>0</v>
      </c>
    </row>
    <row r="85" spans="1:48" s="3" customFormat="1" ht="13.5" customHeight="1">
      <c r="A85" s="156" t="s">
        <v>409</v>
      </c>
      <c r="B85" s="156"/>
      <c r="C85" s="156" t="s">
        <v>69</v>
      </c>
      <c r="D85" s="156" t="s">
        <v>403</v>
      </c>
      <c r="E85" s="156" t="s">
        <v>410</v>
      </c>
      <c r="F85" s="152">
        <v>4</v>
      </c>
      <c r="G85" s="152">
        <v>8</v>
      </c>
      <c r="H85" s="152">
        <v>0</v>
      </c>
      <c r="I85" s="152">
        <v>220</v>
      </c>
      <c r="J85" s="152">
        <v>0</v>
      </c>
      <c r="K85" s="1" t="s">
        <v>405</v>
      </c>
      <c r="L85" s="152"/>
      <c r="M85" s="152"/>
      <c r="N85" s="1"/>
      <c r="O85"/>
      <c r="P85" s="152"/>
      <c r="Q85" s="152"/>
      <c r="R85" s="152"/>
      <c r="S85" s="152"/>
      <c r="T85" s="152"/>
      <c r="U85" s="152"/>
      <c r="V85" s="152"/>
      <c r="W85" s="152"/>
      <c r="X85" s="152"/>
      <c r="Y85" s="156"/>
      <c r="Z85" s="156"/>
      <c r="AA85" s="156"/>
      <c r="AB85" s="156"/>
      <c r="AC85" s="156"/>
      <c r="AD85" s="156"/>
      <c r="AE85" s="156"/>
      <c r="AF85" s="156"/>
      <c r="AG85" s="156"/>
      <c r="AH85" s="152" t="s">
        <v>406</v>
      </c>
      <c r="AI85" s="152" t="s">
        <v>329</v>
      </c>
      <c r="AJ85" s="152"/>
      <c r="AK85" s="156"/>
      <c r="AL85" s="156"/>
      <c r="AM85" s="156">
        <f t="shared" si="10"/>
        <v>8.1920000000000002</v>
      </c>
      <c r="AN85" s="156">
        <f t="shared" si="11"/>
        <v>0</v>
      </c>
      <c r="AO85" s="156">
        <f t="shared" si="12"/>
        <v>202</v>
      </c>
      <c r="AP85" s="156">
        <f t="shared" si="13"/>
        <v>0</v>
      </c>
      <c r="AQ85" s="156">
        <f t="shared" si="14"/>
        <v>0</v>
      </c>
      <c r="AR85" s="156">
        <f t="shared" si="15"/>
        <v>0</v>
      </c>
      <c r="AS85" s="156">
        <f t="shared" si="16"/>
        <v>0</v>
      </c>
      <c r="AT85" s="156">
        <f t="shared" si="17"/>
        <v>0</v>
      </c>
      <c r="AU85" s="156">
        <f t="shared" si="18"/>
        <v>0</v>
      </c>
      <c r="AV85" s="35">
        <f t="shared" si="19"/>
        <v>0</v>
      </c>
    </row>
    <row r="86" spans="1:48" s="3" customFormat="1" ht="13.5" customHeight="1">
      <c r="A86" s="156" t="s">
        <v>411</v>
      </c>
      <c r="B86" s="156"/>
      <c r="C86" s="156" t="s">
        <v>69</v>
      </c>
      <c r="D86" s="156" t="s">
        <v>403</v>
      </c>
      <c r="E86" s="156" t="s">
        <v>412</v>
      </c>
      <c r="F86" s="152">
        <v>4</v>
      </c>
      <c r="G86" s="152">
        <v>8</v>
      </c>
      <c r="H86" s="152">
        <v>0</v>
      </c>
      <c r="I86" s="152">
        <v>220</v>
      </c>
      <c r="J86" s="152">
        <v>0</v>
      </c>
      <c r="K86" s="1" t="s">
        <v>405</v>
      </c>
      <c r="L86" s="152"/>
      <c r="M86" s="152"/>
      <c r="N86" s="1"/>
      <c r="O86"/>
      <c r="P86" s="152"/>
      <c r="Q86" s="152"/>
      <c r="R86" s="152"/>
      <c r="S86" s="152"/>
      <c r="T86" s="152"/>
      <c r="U86" s="152"/>
      <c r="V86" s="152"/>
      <c r="W86" s="152"/>
      <c r="X86" s="152"/>
      <c r="Y86" s="156"/>
      <c r="Z86" s="156"/>
      <c r="AA86" s="156"/>
      <c r="AB86" s="156"/>
      <c r="AC86" s="156"/>
      <c r="AD86" s="156"/>
      <c r="AE86" s="156"/>
      <c r="AF86" s="156"/>
      <c r="AG86" s="156"/>
      <c r="AH86" s="152" t="s">
        <v>406</v>
      </c>
      <c r="AI86" s="152" t="s">
        <v>329</v>
      </c>
      <c r="AJ86" s="152"/>
      <c r="AK86" s="156"/>
      <c r="AL86" s="156"/>
      <c r="AM86" s="156">
        <f t="shared" si="10"/>
        <v>8.1920000000000002</v>
      </c>
      <c r="AN86" s="156">
        <f t="shared" si="11"/>
        <v>0</v>
      </c>
      <c r="AO86" s="156">
        <f t="shared" si="12"/>
        <v>202</v>
      </c>
      <c r="AP86" s="156">
        <f t="shared" si="13"/>
        <v>0</v>
      </c>
      <c r="AQ86" s="156">
        <f t="shared" si="14"/>
        <v>0</v>
      </c>
      <c r="AR86" s="156">
        <f t="shared" si="15"/>
        <v>0</v>
      </c>
      <c r="AS86" s="156">
        <f t="shared" si="16"/>
        <v>0</v>
      </c>
      <c r="AT86" s="156">
        <f t="shared" si="17"/>
        <v>0</v>
      </c>
      <c r="AU86" s="156">
        <f t="shared" si="18"/>
        <v>0</v>
      </c>
      <c r="AV86" s="35">
        <f t="shared" si="19"/>
        <v>0</v>
      </c>
    </row>
    <row r="87" spans="1:48" s="3" customFormat="1" ht="13.5" customHeight="1">
      <c r="A87" s="156" t="s">
        <v>413</v>
      </c>
      <c r="B87" s="156"/>
      <c r="C87" s="156" t="s">
        <v>69</v>
      </c>
      <c r="D87" s="156" t="s">
        <v>403</v>
      </c>
      <c r="E87" s="156" t="s">
        <v>414</v>
      </c>
      <c r="F87" s="152">
        <v>3</v>
      </c>
      <c r="G87" s="152">
        <v>4</v>
      </c>
      <c r="H87" s="152">
        <v>0</v>
      </c>
      <c r="I87" s="152">
        <v>50</v>
      </c>
      <c r="J87" s="152">
        <v>0</v>
      </c>
      <c r="K87" s="1" t="s">
        <v>405</v>
      </c>
      <c r="L87" s="152"/>
      <c r="M87" s="152"/>
      <c r="N87" s="1"/>
      <c r="O87"/>
      <c r="P87" s="152"/>
      <c r="Q87" s="152"/>
      <c r="R87" s="152"/>
      <c r="S87" s="152"/>
      <c r="T87" s="152"/>
      <c r="U87" s="152"/>
      <c r="V87" s="152"/>
      <c r="W87" s="152"/>
      <c r="X87" s="152"/>
      <c r="Y87" s="156"/>
      <c r="Z87" s="156"/>
      <c r="AA87" s="156"/>
      <c r="AB87" s="156"/>
      <c r="AC87" s="156"/>
      <c r="AD87" s="156"/>
      <c r="AE87" s="156"/>
      <c r="AF87" s="156"/>
      <c r="AG87" s="156"/>
      <c r="AH87" s="152" t="s">
        <v>406</v>
      </c>
      <c r="AI87" s="152" t="s">
        <v>329</v>
      </c>
      <c r="AJ87" s="152"/>
      <c r="AK87" s="156"/>
      <c r="AL87" s="156"/>
      <c r="AM87" s="156">
        <f t="shared" si="10"/>
        <v>4.0960000000000001</v>
      </c>
      <c r="AN87" s="156">
        <f t="shared" si="11"/>
        <v>0</v>
      </c>
      <c r="AO87" s="156">
        <f t="shared" si="12"/>
        <v>46</v>
      </c>
      <c r="AP87" s="156">
        <f t="shared" si="13"/>
        <v>0</v>
      </c>
      <c r="AQ87" s="156">
        <f t="shared" si="14"/>
        <v>0</v>
      </c>
      <c r="AR87" s="156">
        <f t="shared" si="15"/>
        <v>0</v>
      </c>
      <c r="AS87" s="156">
        <f t="shared" si="16"/>
        <v>0</v>
      </c>
      <c r="AT87" s="156">
        <f t="shared" si="17"/>
        <v>0</v>
      </c>
      <c r="AU87" s="156">
        <f t="shared" si="18"/>
        <v>0</v>
      </c>
      <c r="AV87" s="35">
        <f t="shared" si="19"/>
        <v>0</v>
      </c>
    </row>
    <row r="88" spans="1:48" s="3" customFormat="1" ht="13.5" customHeight="1">
      <c r="A88" s="156" t="s">
        <v>415</v>
      </c>
      <c r="B88" s="156"/>
      <c r="C88" s="156" t="s">
        <v>69</v>
      </c>
      <c r="D88" s="156" t="s">
        <v>403</v>
      </c>
      <c r="E88" s="156" t="s">
        <v>416</v>
      </c>
      <c r="F88" s="152">
        <v>3</v>
      </c>
      <c r="G88" s="152">
        <v>4</v>
      </c>
      <c r="H88" s="152">
        <v>0</v>
      </c>
      <c r="I88" s="152">
        <v>50</v>
      </c>
      <c r="J88" s="152">
        <v>0</v>
      </c>
      <c r="K88" s="152" t="s">
        <v>405</v>
      </c>
      <c r="L88" s="152"/>
      <c r="M88" s="152"/>
      <c r="N88" s="1"/>
      <c r="O88"/>
      <c r="P88" s="152"/>
      <c r="Q88" s="152"/>
      <c r="R88" s="152"/>
      <c r="S88" s="152"/>
      <c r="T88" s="152"/>
      <c r="U88" s="152"/>
      <c r="V88" s="152"/>
      <c r="W88" s="152"/>
      <c r="X88" s="152"/>
      <c r="Y88" s="156"/>
      <c r="Z88" s="156"/>
      <c r="AA88" s="156"/>
      <c r="AB88" s="156"/>
      <c r="AC88" s="156"/>
      <c r="AD88" s="156"/>
      <c r="AE88" s="156"/>
      <c r="AF88" s="156"/>
      <c r="AG88" s="156"/>
      <c r="AH88" s="152" t="s">
        <v>406</v>
      </c>
      <c r="AI88" s="152" t="s">
        <v>329</v>
      </c>
      <c r="AJ88" s="152"/>
      <c r="AK88" s="156"/>
      <c r="AL88" s="156"/>
      <c r="AM88" s="156">
        <f t="shared" si="10"/>
        <v>4.0960000000000001</v>
      </c>
      <c r="AN88" s="156">
        <f t="shared" si="11"/>
        <v>0</v>
      </c>
      <c r="AO88" s="156">
        <f t="shared" si="12"/>
        <v>46</v>
      </c>
      <c r="AP88" s="156">
        <f t="shared" si="13"/>
        <v>0</v>
      </c>
      <c r="AQ88" s="156">
        <f t="shared" si="14"/>
        <v>0</v>
      </c>
      <c r="AR88" s="156">
        <f t="shared" si="15"/>
        <v>0</v>
      </c>
      <c r="AS88" s="156">
        <f t="shared" si="16"/>
        <v>0</v>
      </c>
      <c r="AT88" s="156">
        <f t="shared" si="17"/>
        <v>0</v>
      </c>
      <c r="AU88" s="156">
        <f t="shared" si="18"/>
        <v>0</v>
      </c>
      <c r="AV88" s="35">
        <f t="shared" si="19"/>
        <v>0</v>
      </c>
    </row>
    <row r="89" spans="1:48" s="3" customFormat="1" ht="13.5" customHeight="1">
      <c r="A89" s="156" t="s">
        <v>417</v>
      </c>
      <c r="B89" s="156"/>
      <c r="C89" s="156" t="s">
        <v>69</v>
      </c>
      <c r="D89" s="156" t="s">
        <v>403</v>
      </c>
      <c r="E89" s="156" t="s">
        <v>418</v>
      </c>
      <c r="F89" s="152">
        <v>16</v>
      </c>
      <c r="G89" s="152">
        <v>96</v>
      </c>
      <c r="H89" s="152">
        <v>0</v>
      </c>
      <c r="I89" s="152">
        <v>50</v>
      </c>
      <c r="J89" s="152">
        <v>0</v>
      </c>
      <c r="K89" s="152" t="s">
        <v>405</v>
      </c>
      <c r="L89" s="152"/>
      <c r="M89" s="152"/>
      <c r="N89" s="1"/>
      <c r="O89"/>
      <c r="P89" s="152"/>
      <c r="Q89" s="152"/>
      <c r="R89" s="152"/>
      <c r="S89" s="152"/>
      <c r="T89" s="152"/>
      <c r="U89" s="152"/>
      <c r="V89" s="152"/>
      <c r="W89" s="152"/>
      <c r="X89" s="152"/>
      <c r="Y89" s="156"/>
      <c r="Z89" s="156"/>
      <c r="AA89" s="156"/>
      <c r="AB89" s="156"/>
      <c r="AC89" s="156"/>
      <c r="AD89" s="156"/>
      <c r="AE89" s="156"/>
      <c r="AF89" s="156"/>
      <c r="AG89" s="156"/>
      <c r="AH89" s="152" t="s">
        <v>419</v>
      </c>
      <c r="AI89" s="152"/>
      <c r="AJ89" s="152"/>
      <c r="AK89" s="156"/>
      <c r="AL89" s="156"/>
      <c r="AM89" s="156">
        <f t="shared" si="10"/>
        <v>98.304000000000002</v>
      </c>
      <c r="AN89" s="156">
        <f t="shared" si="11"/>
        <v>0</v>
      </c>
      <c r="AO89" s="156">
        <f t="shared" si="12"/>
        <v>46</v>
      </c>
      <c r="AP89" s="156">
        <f t="shared" si="13"/>
        <v>0</v>
      </c>
      <c r="AQ89" s="156">
        <f t="shared" si="14"/>
        <v>0</v>
      </c>
      <c r="AR89" s="156">
        <f t="shared" si="15"/>
        <v>0</v>
      </c>
      <c r="AS89" s="156">
        <f t="shared" si="16"/>
        <v>0</v>
      </c>
      <c r="AT89" s="156">
        <f t="shared" si="17"/>
        <v>0</v>
      </c>
      <c r="AU89" s="156">
        <f t="shared" si="18"/>
        <v>0</v>
      </c>
      <c r="AV89" s="35">
        <f t="shared" si="19"/>
        <v>0</v>
      </c>
    </row>
    <row r="90" spans="1:48" s="3" customFormat="1" ht="13.5" customHeight="1">
      <c r="A90" s="156" t="s">
        <v>420</v>
      </c>
      <c r="B90" s="156"/>
      <c r="C90" s="156" t="s">
        <v>69</v>
      </c>
      <c r="D90" s="156" t="s">
        <v>403</v>
      </c>
      <c r="E90" s="156" t="s">
        <v>421</v>
      </c>
      <c r="F90" s="152">
        <v>16</v>
      </c>
      <c r="G90" s="152">
        <v>96</v>
      </c>
      <c r="H90" s="152">
        <v>0</v>
      </c>
      <c r="I90" s="152">
        <v>50</v>
      </c>
      <c r="J90" s="152">
        <v>0</v>
      </c>
      <c r="K90" s="152" t="s">
        <v>405</v>
      </c>
      <c r="L90" s="156"/>
      <c r="M90" s="156"/>
      <c r="N90" s="132"/>
      <c r="O90"/>
      <c r="P90" s="152"/>
      <c r="Q90" s="152"/>
      <c r="R90" s="152"/>
      <c r="S90" s="152"/>
      <c r="T90" s="152"/>
      <c r="U90" s="152"/>
      <c r="V90" s="152"/>
      <c r="W90" s="152"/>
      <c r="X90" s="152"/>
      <c r="Y90" s="156"/>
      <c r="Z90" s="156"/>
      <c r="AA90" s="156"/>
      <c r="AB90" s="156"/>
      <c r="AC90" s="156"/>
      <c r="AD90" s="156"/>
      <c r="AE90" s="156"/>
      <c r="AF90" s="156"/>
      <c r="AG90" s="156"/>
      <c r="AH90" s="152" t="s">
        <v>419</v>
      </c>
      <c r="AI90" s="152"/>
      <c r="AJ90" s="152"/>
      <c r="AK90" s="156"/>
      <c r="AL90" s="156"/>
      <c r="AM90" s="156">
        <f t="shared" si="10"/>
        <v>98.304000000000002</v>
      </c>
      <c r="AN90" s="156">
        <f t="shared" si="11"/>
        <v>0</v>
      </c>
      <c r="AO90" s="156">
        <f t="shared" si="12"/>
        <v>46</v>
      </c>
      <c r="AP90" s="156">
        <f t="shared" si="13"/>
        <v>0</v>
      </c>
      <c r="AQ90" s="156">
        <f t="shared" si="14"/>
        <v>0</v>
      </c>
      <c r="AR90" s="156">
        <f t="shared" si="15"/>
        <v>0</v>
      </c>
      <c r="AS90" s="156">
        <f t="shared" si="16"/>
        <v>0</v>
      </c>
      <c r="AT90" s="156">
        <f t="shared" si="17"/>
        <v>0</v>
      </c>
      <c r="AU90" s="156">
        <f t="shared" si="18"/>
        <v>0</v>
      </c>
      <c r="AV90" s="35">
        <f t="shared" si="19"/>
        <v>0</v>
      </c>
    </row>
    <row r="91" spans="1:48" s="3" customFormat="1" ht="13.5" customHeight="1">
      <c r="A91" s="101" t="s">
        <v>422</v>
      </c>
      <c r="B91" s="101"/>
      <c r="C91" s="101" t="s">
        <v>69</v>
      </c>
      <c r="D91" s="101" t="s">
        <v>403</v>
      </c>
      <c r="E91" s="101" t="s">
        <v>423</v>
      </c>
      <c r="F91" s="102">
        <v>16</v>
      </c>
      <c r="G91" s="102">
        <v>96</v>
      </c>
      <c r="H91" s="102">
        <v>0</v>
      </c>
      <c r="I91" s="102">
        <v>50</v>
      </c>
      <c r="J91" s="102">
        <v>0</v>
      </c>
      <c r="K91" s="102" t="s">
        <v>405</v>
      </c>
      <c r="L91" s="101"/>
      <c r="M91" s="101"/>
      <c r="N91" s="167"/>
      <c r="O91" s="168"/>
      <c r="P91" s="102"/>
      <c r="Q91" s="102"/>
      <c r="R91" s="102"/>
      <c r="S91" s="102"/>
      <c r="T91" s="102"/>
      <c r="U91" s="102"/>
      <c r="V91" s="102"/>
      <c r="W91" s="102"/>
      <c r="X91" s="102"/>
      <c r="Y91" s="101"/>
      <c r="Z91" s="101"/>
      <c r="AA91" s="101"/>
      <c r="AB91" s="101"/>
      <c r="AC91" s="101"/>
      <c r="AD91" s="101"/>
      <c r="AE91" s="101"/>
      <c r="AF91" s="101"/>
      <c r="AG91" s="101"/>
      <c r="AH91" s="102" t="s">
        <v>419</v>
      </c>
      <c r="AI91" s="102"/>
      <c r="AJ91" s="102"/>
      <c r="AK91" s="101"/>
      <c r="AL91" s="101"/>
      <c r="AM91" s="101">
        <f t="shared" si="10"/>
        <v>98.304000000000002</v>
      </c>
      <c r="AN91" s="101">
        <f t="shared" si="11"/>
        <v>0</v>
      </c>
      <c r="AO91" s="101">
        <f t="shared" si="12"/>
        <v>46</v>
      </c>
      <c r="AP91" s="101">
        <f t="shared" si="13"/>
        <v>0</v>
      </c>
      <c r="AQ91" s="101">
        <f t="shared" si="14"/>
        <v>0</v>
      </c>
      <c r="AR91" s="101">
        <f t="shared" si="15"/>
        <v>0</v>
      </c>
      <c r="AS91" s="101">
        <f t="shared" si="16"/>
        <v>0</v>
      </c>
      <c r="AT91" s="101">
        <f t="shared" si="17"/>
        <v>0</v>
      </c>
      <c r="AU91" s="101">
        <f t="shared" si="18"/>
        <v>0</v>
      </c>
      <c r="AV91" s="101">
        <f t="shared" si="19"/>
        <v>0</v>
      </c>
    </row>
    <row r="92" spans="1:48" s="156" customFormat="1" ht="13.5" customHeight="1">
      <c r="A92" s="156" t="s">
        <v>673</v>
      </c>
      <c r="C92" s="156" t="s">
        <v>674</v>
      </c>
      <c r="D92" s="156" t="s">
        <v>397</v>
      </c>
      <c r="E92" s="156" t="s">
        <v>675</v>
      </c>
      <c r="F92" s="164">
        <v>4</v>
      </c>
      <c r="G92" s="164">
        <v>4</v>
      </c>
      <c r="H92" s="164">
        <v>0</v>
      </c>
      <c r="I92" s="164">
        <v>25</v>
      </c>
      <c r="J92" s="164">
        <f>G92-H92</f>
        <v>4</v>
      </c>
      <c r="K92" s="165" t="s">
        <v>676</v>
      </c>
      <c r="N92" s="132"/>
      <c r="O92"/>
      <c r="P92" s="164"/>
      <c r="Q92" s="164"/>
      <c r="R92" s="164"/>
      <c r="S92" s="164"/>
      <c r="T92" s="164"/>
      <c r="U92" s="164"/>
      <c r="V92" s="164"/>
      <c r="W92" s="164"/>
      <c r="X92" s="164"/>
      <c r="AH92" s="164" t="s">
        <v>328</v>
      </c>
      <c r="AI92" s="164" t="s">
        <v>329</v>
      </c>
      <c r="AJ92" s="164"/>
      <c r="AM92" s="156">
        <f>IF(ISBLANK($A92),,G92*1.024)</f>
        <v>4.0960000000000001</v>
      </c>
      <c r="AN92" s="101">
        <f t="shared" ref="AN92:AN93" si="20">IF(ISBLANK($A92),,H92*1.024)</f>
        <v>0</v>
      </c>
      <c r="AO92" s="101">
        <f t="shared" ref="AO92:AO93" si="21">IF(ISBLANK($A92),,ROUNDDOWN(I92*$AQ$6*1.024,))</f>
        <v>23</v>
      </c>
      <c r="AP92" s="101">
        <f t="shared" ref="AP92:AP93" si="22">IF(ISBLANK($A92),,ROUNDDOWN(L92*$AQ$6*1.024,))</f>
        <v>0</v>
      </c>
      <c r="AQ92" s="101">
        <f t="shared" ref="AQ92:AQ93" si="23">IF(ISBLANK($A92),,ROUNDDOWN(N92*$AQ$6*1.024,))</f>
        <v>0</v>
      </c>
      <c r="AR92" s="101">
        <f t="shared" ref="AR92:AR93" si="24">IF(ISBLANK($A92),,ROUNDDOWN(P92*$AQ$6*1.024,))</f>
        <v>0</v>
      </c>
      <c r="AS92" s="101">
        <f t="shared" ref="AS92:AS93" si="25">IF(ISBLANK($A92),,ROUNDDOWN(R92*$AQ$6*1.024,))</f>
        <v>0</v>
      </c>
      <c r="AT92" s="101">
        <f t="shared" ref="AT92:AT93" si="26">IF(ISBLANK($A92),,ROUNDDOWN(V92*$AQ$6*1.024,))</f>
        <v>0</v>
      </c>
      <c r="AU92" s="101">
        <f t="shared" ref="AU92:AU93" si="27">IF(ISBLANK($A92),,ROUNDDOWN(X92*$AQ$6*1.024,))</f>
        <v>0</v>
      </c>
      <c r="AV92" s="101">
        <f t="shared" ref="AV92:AV93" si="28">IF(ISBLANK($A92),,ROUNDDOWN(X92*AQ$6*1.024,))</f>
        <v>0</v>
      </c>
    </row>
    <row r="93" spans="1:48" s="13" customFormat="1" ht="13.5" customHeight="1">
      <c r="A93" s="13" t="s">
        <v>677</v>
      </c>
      <c r="C93" s="13" t="s">
        <v>674</v>
      </c>
      <c r="D93" s="13" t="s">
        <v>397</v>
      </c>
      <c r="E93" s="13" t="s">
        <v>678</v>
      </c>
      <c r="F93" s="8">
        <v>4</v>
      </c>
      <c r="G93" s="8">
        <v>4</v>
      </c>
      <c r="H93" s="8">
        <v>0</v>
      </c>
      <c r="I93" s="8">
        <v>25</v>
      </c>
      <c r="J93" s="8">
        <f>G93-H93</f>
        <v>4</v>
      </c>
      <c r="K93" s="36" t="s">
        <v>676</v>
      </c>
      <c r="AH93" s="8" t="s">
        <v>328</v>
      </c>
      <c r="AI93" s="8" t="s">
        <v>329</v>
      </c>
      <c r="AM93" s="13">
        <f>IF(ISBLANK($A93),,G93*1.024)</f>
        <v>4.0960000000000001</v>
      </c>
      <c r="AN93" s="13">
        <f t="shared" si="20"/>
        <v>0</v>
      </c>
      <c r="AO93" s="13">
        <f t="shared" si="21"/>
        <v>23</v>
      </c>
      <c r="AP93" s="13">
        <f t="shared" si="22"/>
        <v>0</v>
      </c>
      <c r="AQ93" s="13">
        <f t="shared" si="23"/>
        <v>0</v>
      </c>
      <c r="AR93" s="13">
        <f t="shared" si="24"/>
        <v>0</v>
      </c>
      <c r="AS93" s="13">
        <f t="shared" si="25"/>
        <v>0</v>
      </c>
      <c r="AT93" s="13">
        <f t="shared" si="26"/>
        <v>0</v>
      </c>
      <c r="AU93" s="13">
        <f t="shared" si="27"/>
        <v>0</v>
      </c>
      <c r="AV93" s="13">
        <f t="shared" si="28"/>
        <v>0</v>
      </c>
    </row>
    <row r="94" spans="1:48" s="3" customFormat="1">
      <c r="A94" s="156"/>
      <c r="B94" s="156"/>
      <c r="C94" s="156"/>
      <c r="D94" s="156"/>
      <c r="E94" s="156"/>
      <c r="F94" s="152">
        <f>SUM(F83:F93)+F80</f>
        <v>430</v>
      </c>
      <c r="G94" s="164">
        <f>SUM(G83:G93)+G80</f>
        <v>1385</v>
      </c>
      <c r="H94" s="164">
        <f>SUM(H83:H93)+H80</f>
        <v>417</v>
      </c>
      <c r="I94" s="164">
        <f>SUM(I83:I93)+I80</f>
        <v>7365</v>
      </c>
      <c r="J94" s="152"/>
      <c r="K94" s="152"/>
      <c r="L94" s="164">
        <f>SUM(L83:L93)+L80</f>
        <v>500</v>
      </c>
      <c r="M94" s="152"/>
      <c r="N94" s="164">
        <f>SUM(N83:N93)+N80</f>
        <v>9000</v>
      </c>
      <c r="O94" s="152"/>
      <c r="P94" s="164">
        <f>SUM(P83:P93)+P80</f>
        <v>13500</v>
      </c>
      <c r="Q94" s="152"/>
      <c r="R94" s="164">
        <f>SUM(R83:R93)+R80</f>
        <v>850</v>
      </c>
      <c r="S94" s="152"/>
      <c r="T94" s="164">
        <f>SUM(T83:T93)+T80</f>
        <v>300</v>
      </c>
      <c r="U94" s="152"/>
      <c r="V94" s="164">
        <f>SUM(V83:V93)+V80</f>
        <v>3000</v>
      </c>
      <c r="W94" s="152"/>
      <c r="X94" s="164">
        <f>SUM(X83:X93)+X80</f>
        <v>31056</v>
      </c>
      <c r="Y94" s="156"/>
      <c r="Z94" s="164">
        <f>SUM(Z83:Z93)+Z80</f>
        <v>200</v>
      </c>
      <c r="AA94" s="156"/>
      <c r="AB94" s="164">
        <f>SUM(AB83:AB93)+AB80</f>
        <v>50</v>
      </c>
      <c r="AC94" s="156"/>
      <c r="AD94" s="164">
        <f>SUM(AD83:AD93)+AD80</f>
        <v>200</v>
      </c>
      <c r="AE94" s="156"/>
      <c r="AF94" s="179">
        <f>SUM(AF83:AF93)+AF80</f>
        <v>200</v>
      </c>
      <c r="AG94" s="156"/>
      <c r="AH94" s="156"/>
      <c r="AI94" s="154" t="s">
        <v>703</v>
      </c>
      <c r="AJ94" s="152">
        <f>3</f>
        <v>3</v>
      </c>
      <c r="AK94" s="156"/>
      <c r="AL94" s="156"/>
      <c r="AM94" s="156"/>
      <c r="AN94" s="156"/>
      <c r="AO94" s="156"/>
      <c r="AP94" s="156"/>
      <c r="AQ94" s="156"/>
      <c r="AR94" s="156"/>
      <c r="AS94" s="156"/>
      <c r="AT94" s="156"/>
      <c r="AU94" s="156"/>
      <c r="AV94" s="156"/>
    </row>
    <row r="95" spans="1:48">
      <c r="A95" s="38"/>
    </row>
    <row r="96" spans="1:48">
      <c r="A96" s="7" t="s">
        <v>424</v>
      </c>
    </row>
    <row r="97" spans="1:48">
      <c r="A97" s="156" t="s">
        <v>425</v>
      </c>
      <c r="B97" s="156"/>
      <c r="C97" s="156" t="s">
        <v>426</v>
      </c>
      <c r="D97" s="156" t="s">
        <v>427</v>
      </c>
      <c r="E97" s="156" t="s">
        <v>8</v>
      </c>
      <c r="F97" s="152">
        <v>2</v>
      </c>
      <c r="G97" s="152">
        <v>4</v>
      </c>
      <c r="H97" s="152">
        <v>4</v>
      </c>
      <c r="I97" s="152">
        <v>350</v>
      </c>
      <c r="J97" s="152">
        <f t="shared" ref="J97:J102" si="29">G97-H97</f>
        <v>0</v>
      </c>
      <c r="K97" s="154" t="s">
        <v>428</v>
      </c>
      <c r="L97" s="154"/>
      <c r="M97" s="154"/>
      <c r="N97" s="154"/>
      <c r="O97" s="154"/>
      <c r="P97" s="154"/>
      <c r="Q97" s="154"/>
      <c r="R97" s="154"/>
      <c r="S97" s="154"/>
      <c r="T97" s="154"/>
      <c r="U97" s="154"/>
      <c r="V97" s="154"/>
      <c r="Z97" s="154"/>
      <c r="AA97" s="154"/>
      <c r="AB97" s="154"/>
      <c r="AC97" s="154"/>
      <c r="AD97" s="154"/>
      <c r="AE97" s="154"/>
      <c r="AF97" s="180"/>
      <c r="AG97" s="180"/>
      <c r="AH97" s="154" t="s">
        <v>328</v>
      </c>
      <c r="AI97" s="154" t="s">
        <v>329</v>
      </c>
      <c r="AJ97" s="154"/>
      <c r="AM97" s="35">
        <f t="shared" ref="AM97:AM106" si="30">IF(ISBLANK($A97),,G97*1.024)</f>
        <v>4.0960000000000001</v>
      </c>
      <c r="AN97" s="35">
        <f t="shared" ref="AN97:AN106" si="31">IF(ISBLANK($A97),,H97*1.024)</f>
        <v>4.0960000000000001</v>
      </c>
      <c r="AO97" s="35">
        <f>IF(ISBLANK($A97),,ROUNDDOWN(I97*AQ6*1.024,))</f>
        <v>322</v>
      </c>
      <c r="AP97" s="35">
        <f>IF(ISBLANK($A97),,ROUNDDOWN(L97*AQ6*1.024,))</f>
        <v>0</v>
      </c>
      <c r="AQ97" s="35">
        <f>IF(ISBLANK($A97),,ROUNDDOWN(N97*AQ6*1.024,))</f>
        <v>0</v>
      </c>
      <c r="AR97" s="35">
        <f>IF(ISBLANK($A97),,ROUNDDOWN(P97*AQ6*1.024,))</f>
        <v>0</v>
      </c>
      <c r="AS97" s="35">
        <f>IF(ISBLANK($A97),,ROUNDDOWN(R97*AQ6*1.024,))</f>
        <v>0</v>
      </c>
      <c r="AT97" s="35">
        <f t="shared" ref="AT97:AT106" si="32">IF(ISBLANK($A97),,ROUNDDOWN(T97*AQ$6*1.024,))</f>
        <v>0</v>
      </c>
      <c r="AU97" s="35">
        <f>IF(ISBLANK($A97),,ROUNDDOWN(V97*AQ6*1.024,))</f>
        <v>0</v>
      </c>
      <c r="AV97" s="35">
        <f>IF(ISBLANK($A97),,ROUNDDOWN(X97*AQ6*1.024,))</f>
        <v>0</v>
      </c>
    </row>
    <row r="98" spans="1:48">
      <c r="A98" s="156" t="s">
        <v>429</v>
      </c>
      <c r="B98" s="156"/>
      <c r="C98" s="156" t="s">
        <v>426</v>
      </c>
      <c r="D98" s="156" t="s">
        <v>427</v>
      </c>
      <c r="E98" s="156" t="s">
        <v>430</v>
      </c>
      <c r="F98" s="152">
        <v>6</v>
      </c>
      <c r="G98" s="152">
        <v>10</v>
      </c>
      <c r="H98" s="152">
        <v>10</v>
      </c>
      <c r="I98" s="152">
        <v>100</v>
      </c>
      <c r="J98" s="152">
        <f t="shared" si="29"/>
        <v>0</v>
      </c>
      <c r="K98" s="154" t="s">
        <v>428</v>
      </c>
      <c r="L98" s="154"/>
      <c r="M98" s="154"/>
      <c r="N98" s="154">
        <v>200</v>
      </c>
      <c r="O98" s="154" t="s">
        <v>431</v>
      </c>
      <c r="P98" s="154"/>
      <c r="Q98" s="154"/>
      <c r="R98" s="154"/>
      <c r="S98" s="154"/>
      <c r="T98" s="154"/>
      <c r="U98" s="154"/>
      <c r="V98" s="154"/>
      <c r="Z98" s="154"/>
      <c r="AA98" s="154"/>
      <c r="AB98" s="154"/>
      <c r="AC98" s="154"/>
      <c r="AD98" s="154"/>
      <c r="AE98" s="154"/>
      <c r="AF98" s="180"/>
      <c r="AG98" s="180"/>
      <c r="AH98" s="154" t="s">
        <v>328</v>
      </c>
      <c r="AI98" s="154" t="s">
        <v>329</v>
      </c>
      <c r="AJ98" s="154"/>
      <c r="AM98" s="35">
        <f t="shared" si="30"/>
        <v>10.24</v>
      </c>
      <c r="AN98" s="35">
        <f t="shared" si="31"/>
        <v>10.24</v>
      </c>
      <c r="AO98" s="35">
        <f>IF(ISBLANK($A98),,ROUNDDOWN(I98*AQ6*1.024,))</f>
        <v>92</v>
      </c>
      <c r="AP98" s="35">
        <f>IF(ISBLANK($A98),,ROUNDDOWN(L98*AQ6*1.024,))</f>
        <v>0</v>
      </c>
      <c r="AQ98" s="35">
        <f>IF(ISBLANK($A98),,ROUNDDOWN(N98*AQ6*1.024,))</f>
        <v>184</v>
      </c>
      <c r="AR98" s="35">
        <f>IF(ISBLANK($A98),,ROUNDDOWN(P98*AQ6*1.024,))</f>
        <v>0</v>
      </c>
      <c r="AS98" s="35">
        <f>IF(ISBLANK($A98),,ROUNDDOWN(R98*AQ6*1.024,))</f>
        <v>0</v>
      </c>
      <c r="AT98" s="35">
        <f t="shared" si="32"/>
        <v>0</v>
      </c>
      <c r="AU98" s="35">
        <f>IF(ISBLANK($A98),,ROUNDDOWN(V98*AQ6*1.024,))</f>
        <v>0</v>
      </c>
      <c r="AV98" s="35">
        <f>IF(ISBLANK($A98),,ROUNDDOWN(X98*AQ6*1.024,))</f>
        <v>0</v>
      </c>
    </row>
    <row r="99" spans="1:48">
      <c r="A99" s="156" t="s">
        <v>432</v>
      </c>
      <c r="B99" s="156"/>
      <c r="C99" s="156" t="s">
        <v>426</v>
      </c>
      <c r="D99" s="156" t="s">
        <v>427</v>
      </c>
      <c r="E99" s="156" t="s">
        <v>433</v>
      </c>
      <c r="F99" s="152">
        <v>8</v>
      </c>
      <c r="G99" s="152">
        <v>16</v>
      </c>
      <c r="H99" s="152">
        <v>16</v>
      </c>
      <c r="I99" s="152">
        <v>60</v>
      </c>
      <c r="J99" s="152">
        <f t="shared" si="29"/>
        <v>0</v>
      </c>
      <c r="K99" s="154" t="s">
        <v>434</v>
      </c>
      <c r="L99" s="154"/>
      <c r="M99" s="154"/>
      <c r="N99" s="154"/>
      <c r="O99" s="154"/>
      <c r="P99" s="154"/>
      <c r="Q99" s="154"/>
      <c r="R99" s="154"/>
      <c r="S99" s="154"/>
      <c r="T99" s="154"/>
      <c r="U99" s="154"/>
      <c r="V99" s="154"/>
      <c r="Z99" s="154"/>
      <c r="AA99" s="154"/>
      <c r="AB99" s="154"/>
      <c r="AC99" s="154"/>
      <c r="AD99" s="154"/>
      <c r="AE99" s="154"/>
      <c r="AF99" s="180"/>
      <c r="AG99" s="180"/>
      <c r="AH99" s="154" t="s">
        <v>346</v>
      </c>
      <c r="AI99" s="152" t="s">
        <v>347</v>
      </c>
      <c r="AJ99" s="154"/>
      <c r="AM99" s="35">
        <f t="shared" si="30"/>
        <v>16.384</v>
      </c>
      <c r="AN99" s="35">
        <f t="shared" si="31"/>
        <v>16.384</v>
      </c>
      <c r="AO99" s="35">
        <f>IF(ISBLANK($A99),,ROUNDDOWN(I99*AQ6*1.024,))</f>
        <v>55</v>
      </c>
      <c r="AP99" s="35">
        <f>IF(ISBLANK($A99),,ROUNDDOWN(L99*AQ6*1.024,))</f>
        <v>0</v>
      </c>
      <c r="AQ99" s="35">
        <f>IF(ISBLANK($A99),,ROUNDDOWN(N99*AQ6*1.024,))</f>
        <v>0</v>
      </c>
      <c r="AR99" s="35">
        <f>IF(ISBLANK($A99),,ROUNDDOWN(P99*AQ6*1.024,))</f>
        <v>0</v>
      </c>
      <c r="AS99" s="35">
        <f>IF(ISBLANK($A99),,ROUNDDOWN(R99*AQ6*1.024,))</f>
        <v>0</v>
      </c>
      <c r="AT99" s="35">
        <f t="shared" si="32"/>
        <v>0</v>
      </c>
      <c r="AU99" s="35">
        <f>IF(ISBLANK($A99),,ROUNDDOWN(V99*AQ6*1.024,))</f>
        <v>0</v>
      </c>
      <c r="AV99" s="35">
        <f>IF(ISBLANK($A99),,ROUNDDOWN(X99*AQ6*1.024,))</f>
        <v>0</v>
      </c>
    </row>
    <row r="100" spans="1:48">
      <c r="A100" s="156" t="s">
        <v>435</v>
      </c>
      <c r="B100" s="156"/>
      <c r="C100" s="156" t="s">
        <v>426</v>
      </c>
      <c r="D100" s="156" t="s">
        <v>427</v>
      </c>
      <c r="E100" s="156" t="s">
        <v>436</v>
      </c>
      <c r="F100" s="152">
        <v>10</v>
      </c>
      <c r="G100" s="152">
        <v>10</v>
      </c>
      <c r="H100" s="152">
        <v>10</v>
      </c>
      <c r="I100" s="152">
        <v>40</v>
      </c>
      <c r="J100" s="152">
        <f t="shared" si="29"/>
        <v>0</v>
      </c>
      <c r="K100" s="154" t="s">
        <v>434</v>
      </c>
      <c r="L100" s="154"/>
      <c r="M100" s="154"/>
      <c r="N100" s="154"/>
      <c r="O100" s="154"/>
      <c r="P100" s="154"/>
      <c r="Q100" s="154"/>
      <c r="R100" s="154"/>
      <c r="S100" s="154"/>
      <c r="T100" s="154"/>
      <c r="U100" s="154"/>
      <c r="V100" s="154"/>
      <c r="Z100" s="154"/>
      <c r="AA100" s="154"/>
      <c r="AB100" s="154"/>
      <c r="AC100" s="154"/>
      <c r="AD100" s="154"/>
      <c r="AE100" s="154"/>
      <c r="AF100" s="180"/>
      <c r="AG100" s="180"/>
      <c r="AH100" s="154" t="s">
        <v>346</v>
      </c>
      <c r="AI100" s="152" t="s">
        <v>347</v>
      </c>
      <c r="AJ100" s="154"/>
      <c r="AM100" s="35">
        <f t="shared" si="30"/>
        <v>10.24</v>
      </c>
      <c r="AN100" s="35">
        <f t="shared" si="31"/>
        <v>10.24</v>
      </c>
      <c r="AO100" s="35">
        <f>IF(ISBLANK($A100),,ROUNDDOWN(I100*AQ6*1.024,))</f>
        <v>36</v>
      </c>
      <c r="AP100" s="35">
        <f>IF(ISBLANK($A100),,ROUNDDOWN(L100*AQ6*1.024,))</f>
        <v>0</v>
      </c>
      <c r="AQ100" s="35">
        <f>IF(ISBLANK($A100),,ROUNDDOWN(N100*AQ6*1.024,))</f>
        <v>0</v>
      </c>
      <c r="AR100" s="35">
        <f>IF(ISBLANK($A100),,ROUNDDOWN(P100*AQ6*1.024,))</f>
        <v>0</v>
      </c>
      <c r="AS100" s="35">
        <f>IF(ISBLANK($A100),,ROUNDDOWN(R100*AQ6*1.024,))</f>
        <v>0</v>
      </c>
      <c r="AT100" s="35">
        <f t="shared" si="32"/>
        <v>0</v>
      </c>
      <c r="AU100" s="35">
        <f>IF(ISBLANK($A100),,ROUNDDOWN(V100*AQ6*1.024,))</f>
        <v>0</v>
      </c>
      <c r="AV100" s="35">
        <f>IF(ISBLANK($A100),,ROUNDDOWN(X100*AQ6*1.024,))</f>
        <v>0</v>
      </c>
    </row>
    <row r="101" spans="1:48">
      <c r="A101" s="156" t="s">
        <v>437</v>
      </c>
      <c r="B101" s="156"/>
      <c r="C101" s="156" t="s">
        <v>426</v>
      </c>
      <c r="D101" s="156" t="s">
        <v>427</v>
      </c>
      <c r="E101" s="156" t="s">
        <v>438</v>
      </c>
      <c r="F101" s="152">
        <v>4</v>
      </c>
      <c r="G101" s="152">
        <v>16</v>
      </c>
      <c r="H101" s="152">
        <v>0</v>
      </c>
      <c r="I101" s="152">
        <v>550</v>
      </c>
      <c r="J101" s="152">
        <f t="shared" si="29"/>
        <v>16</v>
      </c>
      <c r="K101" s="154" t="s">
        <v>439</v>
      </c>
      <c r="L101" s="154"/>
      <c r="M101" s="154"/>
      <c r="N101" s="154"/>
      <c r="O101" s="154"/>
      <c r="P101" s="154"/>
      <c r="Q101" s="154"/>
      <c r="R101" s="154"/>
      <c r="S101" s="154"/>
      <c r="T101" s="154"/>
      <c r="U101" s="154"/>
      <c r="V101" s="154"/>
      <c r="Z101" s="154"/>
      <c r="AA101" s="154"/>
      <c r="AB101" s="154"/>
      <c r="AC101" s="154"/>
      <c r="AD101" s="154"/>
      <c r="AE101" s="154"/>
      <c r="AF101" s="180"/>
      <c r="AG101" s="180"/>
      <c r="AH101" s="154" t="s">
        <v>346</v>
      </c>
      <c r="AI101" s="152" t="s">
        <v>347</v>
      </c>
      <c r="AJ101" s="154"/>
      <c r="AM101" s="35">
        <f t="shared" si="30"/>
        <v>16.384</v>
      </c>
      <c r="AN101" s="35">
        <f t="shared" si="31"/>
        <v>0</v>
      </c>
      <c r="AO101" s="35">
        <f>IF(ISBLANK($A101),,ROUNDDOWN(I101*AQ6*1.024,))</f>
        <v>506</v>
      </c>
      <c r="AP101" s="35">
        <f>IF(ISBLANK($A101),,ROUNDDOWN(L101*AQ6*1.024,))</f>
        <v>0</v>
      </c>
      <c r="AQ101" s="35">
        <f>IF(ISBLANK($A101),,ROUNDDOWN(N101*AQ6*1.024,))</f>
        <v>0</v>
      </c>
      <c r="AR101" s="35">
        <f>IF(ISBLANK($A101),,ROUNDDOWN(P101*AQ6*1.024,))</f>
        <v>0</v>
      </c>
      <c r="AS101" s="35">
        <f>IF(ISBLANK($A101),,ROUNDDOWN(R101*AQ6*1.024,))</f>
        <v>0</v>
      </c>
      <c r="AT101" s="35">
        <f t="shared" si="32"/>
        <v>0</v>
      </c>
      <c r="AU101" s="35">
        <f>IF(ISBLANK($A101),,ROUNDDOWN(V101*AQ6*1.024,))</f>
        <v>0</v>
      </c>
      <c r="AV101" s="35">
        <f>IF(ISBLANK($A101),,ROUNDDOWN(X101*AQ6*1.024,))</f>
        <v>0</v>
      </c>
    </row>
    <row r="102" spans="1:48">
      <c r="A102" s="156" t="s">
        <v>440</v>
      </c>
      <c r="B102" s="156"/>
      <c r="C102" s="156" t="s">
        <v>426</v>
      </c>
      <c r="D102" s="156" t="s">
        <v>427</v>
      </c>
      <c r="E102" s="156" t="s">
        <v>441</v>
      </c>
      <c r="F102" s="152">
        <v>2</v>
      </c>
      <c r="G102" s="152">
        <v>4</v>
      </c>
      <c r="H102" s="152">
        <v>4</v>
      </c>
      <c r="I102" s="152">
        <v>40</v>
      </c>
      <c r="J102" s="152">
        <f t="shared" si="29"/>
        <v>0</v>
      </c>
      <c r="K102" s="154" t="s">
        <v>434</v>
      </c>
      <c r="L102" s="154"/>
      <c r="M102" s="154"/>
      <c r="N102" s="154"/>
      <c r="O102" s="154"/>
      <c r="P102" s="154"/>
      <c r="Q102" s="154"/>
      <c r="R102" s="154">
        <v>50</v>
      </c>
      <c r="S102" s="154" t="s">
        <v>442</v>
      </c>
      <c r="T102" s="154"/>
      <c r="U102" s="154"/>
      <c r="V102" s="154"/>
      <c r="Z102" s="154"/>
      <c r="AA102" s="154"/>
      <c r="AB102" s="154"/>
      <c r="AC102" s="154"/>
      <c r="AD102" s="154"/>
      <c r="AE102" s="154"/>
      <c r="AF102" s="180"/>
      <c r="AG102" s="180"/>
      <c r="AH102" s="154" t="s">
        <v>328</v>
      </c>
      <c r="AI102" s="154" t="s">
        <v>329</v>
      </c>
      <c r="AJ102" s="154"/>
      <c r="AM102" s="35">
        <f t="shared" si="30"/>
        <v>4.0960000000000001</v>
      </c>
      <c r="AN102" s="35">
        <f t="shared" si="31"/>
        <v>4.0960000000000001</v>
      </c>
      <c r="AO102" s="35">
        <f>IF(ISBLANK($A102),,ROUNDDOWN(I102*AQ6*1.024,))</f>
        <v>36</v>
      </c>
      <c r="AP102" s="35">
        <f>IF(ISBLANK($A102),,ROUNDDOWN(L102*AQ6*1.024,))</f>
        <v>0</v>
      </c>
      <c r="AQ102" s="35">
        <f>IF(ISBLANK($A102),,ROUNDDOWN(N102*AQ6*1.024,))</f>
        <v>0</v>
      </c>
      <c r="AR102" s="35">
        <f>IF(ISBLANK($A102),,ROUNDDOWN(P102*AQ6*1.024,))</f>
        <v>0</v>
      </c>
      <c r="AS102" s="35">
        <f>IF(ISBLANK($A102),,ROUNDDOWN(R102*AQ6*1.024,))</f>
        <v>46</v>
      </c>
      <c r="AT102" s="35">
        <f t="shared" si="32"/>
        <v>0</v>
      </c>
      <c r="AU102" s="35">
        <f>IF(ISBLANK($A102),,ROUNDDOWN(V102*AQ6*1.024,))</f>
        <v>0</v>
      </c>
      <c r="AV102" s="35">
        <f>IF(ISBLANK($A102),,ROUNDDOWN(X102*AQ6*1.024,))</f>
        <v>0</v>
      </c>
    </row>
    <row r="103" spans="1:48">
      <c r="A103" s="35" t="s">
        <v>443</v>
      </c>
      <c r="C103" s="156" t="s">
        <v>444</v>
      </c>
      <c r="D103" s="35" t="s">
        <v>427</v>
      </c>
      <c r="E103" s="156" t="s">
        <v>45</v>
      </c>
      <c r="F103" s="154">
        <v>8</v>
      </c>
      <c r="G103" s="154">
        <v>32</v>
      </c>
      <c r="H103" s="152">
        <v>0</v>
      </c>
      <c r="I103" s="154">
        <v>80</v>
      </c>
      <c r="J103" s="154">
        <f>G103-H103</f>
        <v>32</v>
      </c>
      <c r="K103" s="154" t="s">
        <v>445</v>
      </c>
      <c r="L103" s="154"/>
      <c r="M103" s="154"/>
      <c r="N103" s="154"/>
      <c r="O103" s="154"/>
      <c r="P103" s="154"/>
      <c r="Q103" s="154"/>
      <c r="R103" s="154"/>
      <c r="S103" s="154"/>
      <c r="T103" s="154"/>
      <c r="U103" s="154"/>
      <c r="V103" s="154"/>
      <c r="Z103" s="154"/>
      <c r="AA103" s="154"/>
      <c r="AB103" s="154"/>
      <c r="AC103" s="154"/>
      <c r="AD103" s="154"/>
      <c r="AE103" s="154"/>
      <c r="AF103" s="180"/>
      <c r="AG103" s="180"/>
      <c r="AH103" s="154" t="s">
        <v>328</v>
      </c>
      <c r="AI103" s="154" t="s">
        <v>329</v>
      </c>
      <c r="AJ103" s="154"/>
      <c r="AM103" s="35">
        <f t="shared" si="30"/>
        <v>32.768000000000001</v>
      </c>
      <c r="AN103" s="35">
        <f t="shared" si="31"/>
        <v>0</v>
      </c>
      <c r="AO103" s="35">
        <f>IF(ISBLANK($A103),,ROUNDDOWN(I103*AQ6*1.024,))</f>
        <v>73</v>
      </c>
      <c r="AP103" s="35">
        <f>IF(ISBLANK($A103),,ROUNDDOWN(L103*AQ6*1.024,))</f>
        <v>0</v>
      </c>
      <c r="AQ103" s="35">
        <f>IF(ISBLANK($A103),,ROUNDDOWN(N103*AQ6*1.024,))</f>
        <v>0</v>
      </c>
      <c r="AR103" s="35">
        <f>IF(ISBLANK($A103),,ROUNDDOWN(P103*AQ6*1.024,))</f>
        <v>0</v>
      </c>
      <c r="AS103" s="35">
        <f>IF(ISBLANK($A103),,ROUNDDOWN(R103*AQ6*1.024,))</f>
        <v>0</v>
      </c>
      <c r="AT103" s="35">
        <f t="shared" si="32"/>
        <v>0</v>
      </c>
      <c r="AU103" s="35">
        <f>IF(ISBLANK($A103),,ROUNDDOWN(V103*AQ6*1.024,))</f>
        <v>0</v>
      </c>
      <c r="AV103" s="35">
        <f>IF(ISBLANK($A103),,ROUNDDOWN(X103*AQ6*1.024,))</f>
        <v>0</v>
      </c>
    </row>
    <row r="104" spans="1:48">
      <c r="A104" s="115" t="s">
        <v>446</v>
      </c>
      <c r="B104" s="115"/>
      <c r="C104" s="101" t="s">
        <v>444</v>
      </c>
      <c r="D104" s="115" t="s">
        <v>427</v>
      </c>
      <c r="E104" s="101" t="s">
        <v>45</v>
      </c>
      <c r="F104" s="114">
        <v>8</v>
      </c>
      <c r="G104" s="114">
        <v>32</v>
      </c>
      <c r="H104" s="102">
        <v>0</v>
      </c>
      <c r="I104" s="114">
        <v>80</v>
      </c>
      <c r="J104" s="114">
        <f>G104-H104</f>
        <v>32</v>
      </c>
      <c r="K104" s="114" t="s">
        <v>445</v>
      </c>
      <c r="L104" s="114"/>
      <c r="M104" s="114"/>
      <c r="N104" s="114"/>
      <c r="O104" s="114"/>
      <c r="P104" s="114"/>
      <c r="Q104" s="114"/>
      <c r="R104" s="114"/>
      <c r="S104" s="114"/>
      <c r="T104" s="114"/>
      <c r="U104" s="114"/>
      <c r="V104" s="114"/>
      <c r="W104" s="115"/>
      <c r="X104" s="115"/>
      <c r="Y104" s="115"/>
      <c r="Z104" s="114"/>
      <c r="AA104" s="114"/>
      <c r="AB104" s="114"/>
      <c r="AC104" s="114"/>
      <c r="AD104" s="114"/>
      <c r="AE104" s="114"/>
      <c r="AF104" s="114"/>
      <c r="AG104" s="114"/>
      <c r="AH104" s="114" t="s">
        <v>328</v>
      </c>
      <c r="AI104" s="114" t="s">
        <v>329</v>
      </c>
      <c r="AJ104" s="114"/>
      <c r="AM104" s="35">
        <f t="shared" si="30"/>
        <v>32.768000000000001</v>
      </c>
      <c r="AN104" s="35">
        <f t="shared" si="31"/>
        <v>0</v>
      </c>
      <c r="AO104" s="35">
        <f>IF(ISBLANK($A104),,ROUNDDOWN(I104*AQ6*1.024,))</f>
        <v>73</v>
      </c>
      <c r="AP104" s="35">
        <f>IF(ISBLANK($A104),,ROUNDDOWN(L104*AQ6*1.024,))</f>
        <v>0</v>
      </c>
      <c r="AQ104" s="35">
        <f>IF(ISBLANK($A104),,ROUNDDOWN(N104*AQ6*1.024,))</f>
        <v>0</v>
      </c>
      <c r="AR104" s="35">
        <f>IF(ISBLANK($A104),,ROUNDDOWN(P104*AQ6*1.024,))</f>
        <v>0</v>
      </c>
      <c r="AS104" s="35">
        <f>IF(ISBLANK($A104),,ROUNDDOWN(R104*AQ6*1.024,))</f>
        <v>0</v>
      </c>
      <c r="AT104" s="35">
        <f t="shared" si="32"/>
        <v>0</v>
      </c>
      <c r="AU104" s="35">
        <f>IF(ISBLANK($A104),,ROUNDDOWN(V104*AQ6*1.024,))</f>
        <v>0</v>
      </c>
      <c r="AV104" s="35">
        <f>IF(ISBLANK($A104),,ROUNDDOWN(X104*AQ6*1.024,))</f>
        <v>0</v>
      </c>
    </row>
    <row r="105" spans="1:48" s="101" customFormat="1">
      <c r="A105" s="101" t="s">
        <v>447</v>
      </c>
      <c r="C105" s="101" t="s">
        <v>448</v>
      </c>
      <c r="D105" s="101" t="s">
        <v>326</v>
      </c>
      <c r="E105" s="101" t="s">
        <v>449</v>
      </c>
      <c r="F105" s="102">
        <v>4</v>
      </c>
      <c r="G105" s="102">
        <v>8</v>
      </c>
      <c r="H105" s="102">
        <v>0</v>
      </c>
      <c r="I105" s="102">
        <v>30</v>
      </c>
      <c r="J105" s="102">
        <f>G105-H105</f>
        <v>8</v>
      </c>
      <c r="K105" s="114" t="s">
        <v>450</v>
      </c>
      <c r="L105" s="114"/>
      <c r="M105" s="114"/>
      <c r="N105" s="114"/>
      <c r="O105" s="114"/>
      <c r="P105" s="114"/>
      <c r="Q105" s="114"/>
      <c r="R105" s="114"/>
      <c r="S105" s="114"/>
      <c r="T105" s="114"/>
      <c r="U105" s="114"/>
      <c r="V105" s="102"/>
      <c r="W105" s="102"/>
      <c r="X105" s="102"/>
      <c r="AH105" s="102" t="s">
        <v>328</v>
      </c>
      <c r="AI105" s="102" t="s">
        <v>329</v>
      </c>
      <c r="AJ105" s="102"/>
      <c r="AM105" s="101">
        <f t="shared" si="30"/>
        <v>8.1920000000000002</v>
      </c>
      <c r="AN105" s="101">
        <f t="shared" si="31"/>
        <v>0</v>
      </c>
      <c r="AO105" s="101">
        <f>IF(ISBLANK($A105),,ROUNDDOWN(I105*AQ6*1.024,))</f>
        <v>27</v>
      </c>
      <c r="AP105" s="101">
        <f>IF(ISBLANK($A105),,ROUNDDOWN(L105*AQ6*1.024,))</f>
        <v>0</v>
      </c>
      <c r="AQ105" s="101">
        <f>IF(ISBLANK($A105),,ROUNDDOWN(N105*AQ6*1.024,))</f>
        <v>0</v>
      </c>
      <c r="AR105" s="101">
        <f>IF(ISBLANK($A105),,ROUNDDOWN(P105*AQ6*1.024,))</f>
        <v>0</v>
      </c>
      <c r="AS105" s="101">
        <f>IF(ISBLANK($A105),,ROUNDDOWN(R105*AQ6*1.024,))</f>
        <v>0</v>
      </c>
      <c r="AT105" s="115">
        <f t="shared" si="32"/>
        <v>0</v>
      </c>
      <c r="AU105" s="101">
        <f>IF(ISBLANK($A105),,ROUNDDOWN(V105*AQ6*1.024,))</f>
        <v>0</v>
      </c>
      <c r="AV105" s="101">
        <f>IF(ISBLANK($A105),,ROUNDDOWN(X105*AQ6*1.024,))</f>
        <v>0</v>
      </c>
    </row>
    <row r="106" spans="1:48" s="13" customFormat="1">
      <c r="A106" s="13" t="s">
        <v>451</v>
      </c>
      <c r="C106" s="13" t="s">
        <v>452</v>
      </c>
      <c r="D106" s="13" t="s">
        <v>453</v>
      </c>
      <c r="E106" s="13" t="s">
        <v>65</v>
      </c>
      <c r="F106" s="8">
        <v>8</v>
      </c>
      <c r="G106" s="8">
        <v>6</v>
      </c>
      <c r="H106" s="8">
        <v>0</v>
      </c>
      <c r="I106" s="8">
        <v>70</v>
      </c>
      <c r="J106" s="8">
        <f t="shared" ref="J106" si="33">G106-H106</f>
        <v>6</v>
      </c>
      <c r="K106" s="36" t="s">
        <v>454</v>
      </c>
      <c r="L106" s="36"/>
      <c r="M106" s="36"/>
      <c r="N106" s="36"/>
      <c r="O106" s="36"/>
      <c r="P106" s="36"/>
      <c r="Q106" s="36"/>
      <c r="R106" s="36"/>
      <c r="S106" s="36"/>
      <c r="T106" s="36"/>
      <c r="U106" s="36"/>
      <c r="V106" s="8"/>
      <c r="W106" s="8"/>
      <c r="X106" s="8"/>
      <c r="AH106" s="8" t="s">
        <v>328</v>
      </c>
      <c r="AI106" s="8" t="s">
        <v>329</v>
      </c>
      <c r="AJ106" s="8"/>
      <c r="AM106" s="13">
        <f t="shared" si="30"/>
        <v>6.1440000000000001</v>
      </c>
      <c r="AN106" s="13">
        <f t="shared" si="31"/>
        <v>0</v>
      </c>
      <c r="AO106" s="13">
        <f>IF(ISBLANK($A106),,ROUNDDOWN(I106*AQ6*1.024,))</f>
        <v>64</v>
      </c>
      <c r="AP106" s="13">
        <f>IF(ISBLANK($A106),,ROUNDDOWN(L106*AQ6*1.024,))</f>
        <v>0</v>
      </c>
      <c r="AQ106" s="13">
        <f>IF(ISBLANK($A106),,ROUNDDOWN(N106*AQ6*1.024,))</f>
        <v>0</v>
      </c>
      <c r="AR106" s="13">
        <f>IF(ISBLANK($A106),,ROUNDDOWN(P106*AQ6*1.024,))</f>
        <v>0</v>
      </c>
      <c r="AS106" s="13">
        <f>IF(ISBLANK($A106),,ROUNDDOWN(R106*AQ6*1.024,))</f>
        <v>0</v>
      </c>
      <c r="AT106" s="42">
        <f t="shared" si="32"/>
        <v>0</v>
      </c>
      <c r="AU106" s="13">
        <f>IF(ISBLANK($A106),,ROUNDDOWN(V106*AQ6*1.024,))</f>
        <v>0</v>
      </c>
      <c r="AV106" s="13">
        <f>IF(ISBLANK($A106),,ROUNDDOWN(X106*AQ6*1.024,))</f>
        <v>0</v>
      </c>
    </row>
    <row r="107" spans="1:48">
      <c r="F107" s="154">
        <f>SUM(F97:F106)+F94</f>
        <v>490</v>
      </c>
      <c r="G107" s="154">
        <f>SUM(G97:G106)+G94</f>
        <v>1523</v>
      </c>
      <c r="H107" s="154">
        <f>SUM(H97:H106)+H94</f>
        <v>461</v>
      </c>
      <c r="I107" s="154">
        <f>SUM(I97:I106)+I94</f>
        <v>8765</v>
      </c>
      <c r="J107" s="154"/>
      <c r="K107" s="154"/>
      <c r="L107" s="154">
        <f>SUM(L97:L106)+L94</f>
        <v>500</v>
      </c>
      <c r="M107" s="154"/>
      <c r="N107" s="154">
        <f>SUM(N97:N106)+N94</f>
        <v>9200</v>
      </c>
      <c r="O107" s="154"/>
      <c r="P107" s="154">
        <f>SUM(P97:P106)+P94</f>
        <v>13500</v>
      </c>
      <c r="Q107" s="154"/>
      <c r="R107" s="154">
        <f>SUM(R97:R106)+R94</f>
        <v>900</v>
      </c>
      <c r="S107" s="154"/>
      <c r="T107" s="154">
        <f>SUM(T97:T106)+T94</f>
        <v>300</v>
      </c>
      <c r="U107" s="154"/>
      <c r="V107" s="154">
        <f>SUM(V97:V106)+V94</f>
        <v>3000</v>
      </c>
      <c r="W107" s="154"/>
      <c r="X107" s="154">
        <f>SUM(X97:X106)+X94</f>
        <v>31056</v>
      </c>
      <c r="Y107" s="154"/>
      <c r="Z107" s="154">
        <f>SUM(Z97:Z106)+Z94</f>
        <v>200</v>
      </c>
      <c r="AA107" s="154"/>
      <c r="AB107" s="154">
        <f>SUM(AB97:AB106)+AB94</f>
        <v>50</v>
      </c>
      <c r="AC107" s="154"/>
      <c r="AD107" s="154">
        <f>SUM(AD97:AD106)+AD94</f>
        <v>200</v>
      </c>
      <c r="AE107" s="154"/>
      <c r="AF107" s="180">
        <f>SUM(AF97:AF106)+AF94</f>
        <v>200</v>
      </c>
      <c r="AG107" s="180"/>
      <c r="AH107" s="154"/>
      <c r="AI107" s="154" t="s">
        <v>704</v>
      </c>
      <c r="AJ107" s="154">
        <v>3</v>
      </c>
    </row>
    <row r="108" spans="1:48">
      <c r="F108" s="154"/>
      <c r="G108" s="154"/>
      <c r="H108" s="154"/>
      <c r="I108" s="154"/>
      <c r="J108" s="154"/>
      <c r="K108" s="154"/>
      <c r="L108" s="154"/>
      <c r="M108" s="154"/>
      <c r="N108" s="154"/>
      <c r="O108" s="154"/>
      <c r="P108" s="154"/>
      <c r="Q108" s="154"/>
      <c r="R108" s="154"/>
      <c r="S108" s="154"/>
      <c r="T108" s="154"/>
      <c r="U108" s="154"/>
      <c r="V108" s="154"/>
      <c r="W108" s="154"/>
      <c r="X108" s="154"/>
      <c r="Y108" s="154"/>
      <c r="Z108" s="154"/>
      <c r="AA108" s="154"/>
      <c r="AB108" s="154"/>
      <c r="AC108" s="154"/>
      <c r="AD108" s="154"/>
      <c r="AE108" s="154"/>
      <c r="AF108" s="180"/>
      <c r="AG108" s="180"/>
      <c r="AH108" s="154"/>
      <c r="AI108" s="154"/>
      <c r="AJ108" s="154"/>
    </row>
    <row r="110" spans="1:48" ht="15">
      <c r="A110" s="219" t="s">
        <v>316</v>
      </c>
      <c r="B110" s="220"/>
      <c r="C110" s="220"/>
    </row>
    <row r="111" spans="1:48">
      <c r="A111" s="149" t="s">
        <v>455</v>
      </c>
      <c r="B111" s="149" t="s">
        <v>456</v>
      </c>
      <c r="C111" s="149" t="s">
        <v>457</v>
      </c>
    </row>
    <row r="112" spans="1:48">
      <c r="A112" s="124" t="s">
        <v>335</v>
      </c>
      <c r="B112" s="125">
        <f t="array" ref="B112">SUM(IF(K8:K105=A112,I8:J105,""),AD23)</f>
        <v>1009</v>
      </c>
      <c r="C112" s="126">
        <v>1350</v>
      </c>
    </row>
    <row r="113" spans="1:3">
      <c r="A113" s="124" t="s">
        <v>337</v>
      </c>
      <c r="B113" s="125">
        <f t="array" ref="B113">SUM(IF(K8:K105=A113,I8:J105,""))</f>
        <v>1132</v>
      </c>
      <c r="C113" s="126">
        <v>1550</v>
      </c>
    </row>
    <row r="114" spans="1:3">
      <c r="A114" s="124" t="s">
        <v>343</v>
      </c>
      <c r="B114" s="125">
        <f t="array" ref="B114">SUM(IF(K8:K105=A114,I8:J105,""),AB19,AD24)</f>
        <v>1198</v>
      </c>
      <c r="C114" s="126">
        <v>1600</v>
      </c>
    </row>
    <row r="115" spans="1:3">
      <c r="A115" s="124" t="s">
        <v>458</v>
      </c>
      <c r="B115" s="126">
        <v>10</v>
      </c>
      <c r="C115" s="126">
        <v>40</v>
      </c>
    </row>
    <row r="116" spans="1:3">
      <c r="A116" s="124" t="s">
        <v>459</v>
      </c>
      <c r="B116" s="126">
        <v>10</v>
      </c>
      <c r="C116" s="126">
        <v>40</v>
      </c>
    </row>
    <row r="117" spans="1:3">
      <c r="A117" s="124" t="s">
        <v>460</v>
      </c>
      <c r="B117" s="126">
        <v>10</v>
      </c>
      <c r="C117" s="126">
        <v>40</v>
      </c>
    </row>
    <row r="118" spans="1:3">
      <c r="A118" s="124" t="s">
        <v>461</v>
      </c>
      <c r="B118" s="126">
        <v>10</v>
      </c>
      <c r="C118" s="126">
        <v>40</v>
      </c>
    </row>
    <row r="119" spans="1:3">
      <c r="A119" s="124" t="s">
        <v>462</v>
      </c>
      <c r="B119" s="126">
        <v>10</v>
      </c>
      <c r="C119" s="126">
        <v>40</v>
      </c>
    </row>
    <row r="120" spans="1:3">
      <c r="A120" s="124" t="s">
        <v>499</v>
      </c>
      <c r="B120" s="126">
        <v>10</v>
      </c>
      <c r="C120" s="126">
        <v>40</v>
      </c>
    </row>
    <row r="121" spans="1:3">
      <c r="A121" s="124" t="s">
        <v>463</v>
      </c>
      <c r="B121" s="126">
        <v>460</v>
      </c>
      <c r="C121" s="126">
        <v>500</v>
      </c>
    </row>
    <row r="122" spans="1:3">
      <c r="A122" s="124" t="s">
        <v>464</v>
      </c>
      <c r="B122" s="126">
        <v>8294.4</v>
      </c>
      <c r="C122" s="126">
        <v>9000</v>
      </c>
    </row>
    <row r="123" spans="1:3">
      <c r="A123" s="124" t="s">
        <v>465</v>
      </c>
      <c r="B123" s="126">
        <v>12441.6</v>
      </c>
      <c r="C123" s="126">
        <v>13500</v>
      </c>
    </row>
    <row r="124" spans="1:3">
      <c r="A124" s="124" t="s">
        <v>130</v>
      </c>
      <c r="B124" s="126">
        <f>735+30</f>
        <v>765</v>
      </c>
      <c r="C124" s="126">
        <v>850</v>
      </c>
    </row>
    <row r="125" spans="1:3">
      <c r="A125" s="124" t="s">
        <v>137</v>
      </c>
      <c r="B125" s="126">
        <v>276.48</v>
      </c>
      <c r="C125" s="126">
        <v>300</v>
      </c>
    </row>
    <row r="126" spans="1:3">
      <c r="A126" s="124" t="s">
        <v>366</v>
      </c>
      <c r="B126" s="126">
        <v>184.32</v>
      </c>
      <c r="C126" s="126">
        <v>300</v>
      </c>
    </row>
    <row r="127" spans="1:3">
      <c r="A127" s="124" t="s">
        <v>466</v>
      </c>
      <c r="B127" s="126">
        <f>28160+460+3200</f>
        <v>31820</v>
      </c>
      <c r="C127" s="126">
        <v>32762</v>
      </c>
    </row>
    <row r="128" spans="1:3">
      <c r="A128" s="124" t="s">
        <v>500</v>
      </c>
      <c r="B128" s="126">
        <f>B127+3200</f>
        <v>35020</v>
      </c>
      <c r="C128" s="126">
        <f>C127+3400</f>
        <v>36162</v>
      </c>
    </row>
    <row r="129" spans="1:6">
      <c r="A129" s="124" t="s">
        <v>327</v>
      </c>
      <c r="B129" s="145" cm="1">
        <f t="array" ref="B129">SUM(IF(K8:K106=A129,I8:J106,""))</f>
        <v>829</v>
      </c>
      <c r="C129" s="145">
        <f>IF(E9="vCSA7.0",900, 700)</f>
        <v>900</v>
      </c>
    </row>
    <row r="130" spans="1:6">
      <c r="A130" s="124" t="s">
        <v>695</v>
      </c>
      <c r="B130" s="145">
        <f>IF(OR(E50=1,E50=2,E50=3,E50=4),VLOOKUP(E50,A138:F143,4,FALSE),VLOOKUP(1,A138:F143,4,FALSE))</f>
        <v>200</v>
      </c>
      <c r="C130" s="145">
        <f>IF(OR(E50=1,E50=2,E50=3,E50=4),VLOOKUP(E50,A138:F143,5,FALSE),VLOOKUP(1,A138:F143,5,FALSE))</f>
        <v>225</v>
      </c>
    </row>
    <row r="131" spans="1:6">
      <c r="A131" s="169" t="s">
        <v>676</v>
      </c>
      <c r="B131" s="170">
        <v>58</v>
      </c>
      <c r="C131" s="171">
        <v>100</v>
      </c>
    </row>
    <row r="132" spans="1:6">
      <c r="A132" s="124" t="s">
        <v>405</v>
      </c>
      <c r="B132" s="126">
        <v>1110</v>
      </c>
      <c r="C132" s="126">
        <v>2500</v>
      </c>
    </row>
    <row r="133" spans="1:6">
      <c r="A133" s="85" t="s">
        <v>469</v>
      </c>
      <c r="B133" s="9"/>
      <c r="C133" s="9"/>
    </row>
    <row r="138" spans="1:6" ht="15">
      <c r="A138" s="217" t="s">
        <v>711</v>
      </c>
      <c r="B138" s="218"/>
      <c r="C138" s="218"/>
      <c r="D138" s="218"/>
      <c r="E138" s="218"/>
      <c r="F138" s="218"/>
    </row>
    <row r="139" spans="1:6" ht="51">
      <c r="A139" s="189" t="s">
        <v>712</v>
      </c>
      <c r="B139" s="189" t="s">
        <v>474</v>
      </c>
      <c r="C139" s="189" t="s">
        <v>713</v>
      </c>
      <c r="D139" s="189" t="s">
        <v>714</v>
      </c>
      <c r="E139" s="189" t="s">
        <v>714</v>
      </c>
      <c r="F139" s="189" t="s">
        <v>715</v>
      </c>
    </row>
    <row r="140" spans="1:6">
      <c r="A140" s="190">
        <v>1</v>
      </c>
      <c r="B140" s="190">
        <v>8</v>
      </c>
      <c r="C140" s="190">
        <v>32</v>
      </c>
      <c r="D140" s="190">
        <v>200</v>
      </c>
      <c r="E140" s="190">
        <v>225</v>
      </c>
      <c r="F140" s="190">
        <v>3500</v>
      </c>
    </row>
    <row r="141" spans="1:6">
      <c r="A141" s="190">
        <v>2</v>
      </c>
      <c r="B141" s="190">
        <v>10</v>
      </c>
      <c r="C141" s="190">
        <v>32</v>
      </c>
      <c r="D141" s="190">
        <v>200</v>
      </c>
      <c r="E141" s="190">
        <v>225</v>
      </c>
      <c r="F141" s="190">
        <v>3500</v>
      </c>
    </row>
    <row r="142" spans="1:6">
      <c r="A142" s="190">
        <v>3</v>
      </c>
      <c r="B142" s="190">
        <v>12</v>
      </c>
      <c r="C142" s="190">
        <v>32</v>
      </c>
      <c r="D142" s="190">
        <v>315</v>
      </c>
      <c r="E142" s="190">
        <v>350</v>
      </c>
      <c r="F142" s="190">
        <v>3500</v>
      </c>
    </row>
    <row r="143" spans="1:6">
      <c r="A143" s="190">
        <v>4</v>
      </c>
      <c r="B143" s="190">
        <v>12</v>
      </c>
      <c r="C143" s="190">
        <v>32</v>
      </c>
      <c r="D143" s="190">
        <v>315</v>
      </c>
      <c r="E143" s="190">
        <v>350</v>
      </c>
      <c r="F143" s="190">
        <v>3500</v>
      </c>
    </row>
  </sheetData>
  <mergeCells count="11">
    <mergeCell ref="A138:F138"/>
    <mergeCell ref="A110:C110"/>
    <mergeCell ref="H47:O48"/>
    <mergeCell ref="A48:D48"/>
    <mergeCell ref="A1:E1"/>
    <mergeCell ref="A3:B3"/>
    <mergeCell ref="F3:G3"/>
    <mergeCell ref="A4:B4"/>
    <mergeCell ref="A5:B5"/>
    <mergeCell ref="A47:D47"/>
    <mergeCell ref="A50:D50"/>
  </mergeCells>
  <dataValidations count="2">
    <dataValidation type="list" allowBlank="1" showInputMessage="1" showErrorMessage="1" sqref="E9" xr:uid="{7176F30D-20F7-4617-812A-96D807F83B29}">
      <formula1>"vCSA7.0, vCSA6.5"</formula1>
    </dataValidation>
    <dataValidation type="list" allowBlank="1" showInputMessage="1" showErrorMessage="1" error="1 To 4 NetAct cluster are allowed to integrated to a Single NAPD." prompt="Select total number of NetAct clusters planned to integrate to NAPD. By default, computing resources shown is for ONE NetAct cluster." sqref="E50" xr:uid="{CA451EEB-B1AA-47A0-B43F-98C9F7300C83}">
      <formula1>"1,2,3,4"</formula1>
    </dataValidation>
  </dataValidations>
  <hyperlinks>
    <hyperlink ref="F3:G3" location="Shortcuts!A1" display="Back to shortcuts" xr:uid="{44C77906-4332-4095-B3E8-41B6CC4A5DED}"/>
  </hyperlinks>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C9B3B-0977-4421-A0A6-3FCB85BAE916}">
  <dimension ref="A1:AV165"/>
  <sheetViews>
    <sheetView zoomScale="85" zoomScaleNormal="85" zoomScalePageLayoutView="70" workbookViewId="0">
      <selection sqref="A1:E1"/>
    </sheetView>
  </sheetViews>
  <sheetFormatPr defaultColWidth="8.5703125" defaultRowHeight="12.75"/>
  <cols>
    <col min="1" max="1" width="16.5703125" style="35" customWidth="1"/>
    <col min="2" max="2" width="14.5703125" style="35" customWidth="1"/>
    <col min="3" max="3" width="21.5703125" style="35" customWidth="1"/>
    <col min="4" max="4" width="27.28515625" style="35" customWidth="1"/>
    <col min="5" max="5" width="55" style="35" customWidth="1"/>
    <col min="6" max="6" width="15.140625" style="35" customWidth="1"/>
    <col min="7" max="7" width="8.5703125" style="35"/>
    <col min="8" max="8" width="21.42578125" style="35" customWidth="1"/>
    <col min="9" max="10" width="8.5703125" style="35"/>
    <col min="11" max="11" width="17.85546875" style="35" customWidth="1"/>
    <col min="12" max="12" width="9.42578125" style="35" customWidth="1"/>
    <col min="13" max="13" width="9.5703125" style="35" customWidth="1"/>
    <col min="14" max="14" width="8.5703125" style="35"/>
    <col min="15" max="15" width="11.5703125" style="35" customWidth="1"/>
    <col min="16" max="16" width="8.5703125" style="35"/>
    <col min="17" max="17" width="9.5703125" style="35" customWidth="1"/>
    <col min="18" max="18" width="8.5703125" style="35"/>
    <col min="19" max="19" width="9.5703125" style="35" customWidth="1"/>
    <col min="20" max="20" width="8.5703125" style="35"/>
    <col min="21" max="21" width="9.5703125" style="35" customWidth="1"/>
    <col min="22" max="22" width="8.5703125" style="35"/>
    <col min="23" max="23" width="9.5703125" style="35" customWidth="1"/>
    <col min="24" max="24" width="12.42578125" style="35" customWidth="1"/>
    <col min="25" max="26" width="9.5703125" style="35" customWidth="1"/>
    <col min="27" max="33" width="12.5703125" style="35" customWidth="1"/>
    <col min="34" max="34" width="22" style="35" customWidth="1"/>
    <col min="35" max="35" width="12.42578125" style="35" customWidth="1"/>
    <col min="36" max="36" width="13.42578125" style="35" customWidth="1"/>
    <col min="37" max="39" width="8.5703125" style="35"/>
    <col min="40" max="40" width="21.5703125" style="35" customWidth="1"/>
    <col min="41" max="47" width="8.5703125" style="35"/>
    <col min="48" max="48" width="10.42578125" style="35" customWidth="1"/>
    <col min="49" max="16384" width="8.5703125" style="35"/>
  </cols>
  <sheetData>
    <row r="1" spans="1:48">
      <c r="A1" s="215" t="s">
        <v>4</v>
      </c>
      <c r="B1" s="215"/>
      <c r="C1" s="215"/>
      <c r="D1" s="215"/>
      <c r="E1" s="216"/>
      <c r="F1" s="60" t="s">
        <v>707</v>
      </c>
    </row>
    <row r="3" spans="1:48" ht="15">
      <c r="A3" s="230" t="s">
        <v>632</v>
      </c>
      <c r="B3" s="230"/>
      <c r="C3" s="46"/>
      <c r="D3" s="35" t="s">
        <v>304</v>
      </c>
      <c r="F3" s="226" t="s">
        <v>302</v>
      </c>
      <c r="G3" s="226"/>
    </row>
    <row r="4" spans="1:48">
      <c r="A4" s="230" t="s">
        <v>303</v>
      </c>
      <c r="B4" s="230"/>
      <c r="C4" s="35" t="s">
        <v>306</v>
      </c>
    </row>
    <row r="5" spans="1:48">
      <c r="A5" s="230" t="s">
        <v>305</v>
      </c>
      <c r="B5" s="230"/>
      <c r="C5" s="35" t="s">
        <v>647</v>
      </c>
    </row>
    <row r="6" spans="1:48">
      <c r="C6" s="156" t="s">
        <v>645</v>
      </c>
      <c r="AM6" s="38" t="s">
        <v>308</v>
      </c>
      <c r="AN6" s="38"/>
      <c r="AP6" s="35" t="s">
        <v>309</v>
      </c>
      <c r="AQ6" s="35">
        <v>0.9</v>
      </c>
    </row>
    <row r="7" spans="1:48">
      <c r="A7" s="61" t="s">
        <v>164</v>
      </c>
      <c r="B7" s="61" t="s">
        <v>310</v>
      </c>
      <c r="C7" s="61" t="s">
        <v>311</v>
      </c>
      <c r="D7" s="61" t="s">
        <v>312</v>
      </c>
      <c r="E7" s="61" t="s">
        <v>313</v>
      </c>
      <c r="F7" s="37" t="s">
        <v>103</v>
      </c>
      <c r="G7" s="37" t="s">
        <v>109</v>
      </c>
      <c r="H7" s="37" t="s">
        <v>314</v>
      </c>
      <c r="I7" s="37" t="s">
        <v>113</v>
      </c>
      <c r="J7" s="37" t="s">
        <v>315</v>
      </c>
      <c r="K7" s="37" t="s">
        <v>316</v>
      </c>
      <c r="L7" s="37" t="s">
        <v>118</v>
      </c>
      <c r="M7" s="37" t="s">
        <v>316</v>
      </c>
      <c r="N7" s="37" t="s">
        <v>20</v>
      </c>
      <c r="O7" s="37" t="s">
        <v>316</v>
      </c>
      <c r="P7" s="37" t="s">
        <v>122</v>
      </c>
      <c r="Q7" s="37" t="s">
        <v>316</v>
      </c>
      <c r="R7" s="37" t="s">
        <v>130</v>
      </c>
      <c r="S7" s="37" t="s">
        <v>316</v>
      </c>
      <c r="T7" s="37" t="s">
        <v>137</v>
      </c>
      <c r="U7" s="37" t="s">
        <v>316</v>
      </c>
      <c r="V7" s="37" t="s">
        <v>126</v>
      </c>
      <c r="W7" s="37" t="s">
        <v>316</v>
      </c>
      <c r="X7" s="37" t="s">
        <v>317</v>
      </c>
      <c r="Y7" s="37" t="s">
        <v>316</v>
      </c>
      <c r="Z7" s="37" t="s">
        <v>481</v>
      </c>
      <c r="AA7" s="37" t="s">
        <v>316</v>
      </c>
      <c r="AB7" s="4" t="s">
        <v>319</v>
      </c>
      <c r="AC7" s="4" t="s">
        <v>316</v>
      </c>
      <c r="AD7" s="4" t="s">
        <v>320</v>
      </c>
      <c r="AE7" s="4" t="s">
        <v>316</v>
      </c>
      <c r="AF7" s="4" t="s">
        <v>692</v>
      </c>
      <c r="AG7" s="4" t="s">
        <v>316</v>
      </c>
      <c r="AH7" s="37" t="s">
        <v>322</v>
      </c>
      <c r="AI7" s="37" t="s">
        <v>323</v>
      </c>
      <c r="AJ7" s="37" t="s">
        <v>324</v>
      </c>
      <c r="AM7" s="37" t="s">
        <v>109</v>
      </c>
      <c r="AN7" s="37" t="s">
        <v>314</v>
      </c>
      <c r="AO7" s="37" t="s">
        <v>113</v>
      </c>
      <c r="AP7" s="37" t="s">
        <v>118</v>
      </c>
      <c r="AQ7" s="37" t="s">
        <v>20</v>
      </c>
      <c r="AR7" s="37" t="s">
        <v>122</v>
      </c>
      <c r="AS7" s="37" t="s">
        <v>130</v>
      </c>
      <c r="AT7" s="37" t="s">
        <v>137</v>
      </c>
      <c r="AU7" s="37" t="s">
        <v>126</v>
      </c>
      <c r="AV7" s="37" t="s">
        <v>317</v>
      </c>
    </row>
    <row r="8" spans="1:48">
      <c r="A8" s="35" t="s">
        <v>325</v>
      </c>
      <c r="D8" s="35" t="s">
        <v>453</v>
      </c>
      <c r="E8" s="35" t="s">
        <v>8</v>
      </c>
      <c r="F8" s="154">
        <v>4</v>
      </c>
      <c r="G8" s="154">
        <v>4</v>
      </c>
      <c r="H8" s="154">
        <v>0</v>
      </c>
      <c r="I8" s="154">
        <v>350</v>
      </c>
      <c r="J8" s="154">
        <f>G8-H8</f>
        <v>4</v>
      </c>
      <c r="K8" s="154" t="s">
        <v>327</v>
      </c>
      <c r="L8" s="154"/>
      <c r="M8" s="154"/>
      <c r="N8" s="154"/>
      <c r="O8" s="154"/>
      <c r="P8" s="154"/>
      <c r="Q8" s="154"/>
      <c r="R8" s="154"/>
      <c r="S8" s="154"/>
      <c r="T8" s="154"/>
      <c r="U8" s="154"/>
      <c r="V8" s="154"/>
      <c r="W8" s="154"/>
      <c r="X8" s="154"/>
      <c r="Y8" s="154"/>
      <c r="Z8" s="154"/>
      <c r="AA8" s="154"/>
      <c r="AB8" s="154"/>
      <c r="AC8" s="154"/>
      <c r="AD8" s="154"/>
      <c r="AE8" s="154"/>
      <c r="AF8" s="180"/>
      <c r="AG8" s="180"/>
      <c r="AH8" s="154" t="s">
        <v>328</v>
      </c>
      <c r="AI8" s="154" t="s">
        <v>329</v>
      </c>
      <c r="AJ8" s="154"/>
      <c r="AM8" s="35">
        <f t="shared" ref="AM8:AM43" si="0">IF(ISBLANK($A8),,G8*1.024)</f>
        <v>4.0960000000000001</v>
      </c>
      <c r="AN8" s="35">
        <f t="shared" ref="AN8:AN43" si="1">IF(ISBLANK($A8),,H8*1.024)</f>
        <v>0</v>
      </c>
      <c r="AO8" s="35">
        <f>IF(ISBLANK($A8),,ROUNDDOWN(I8*AQ6*1.024,))</f>
        <v>322</v>
      </c>
      <c r="AP8" s="35">
        <f>IF(ISBLANK($A8),,ROUNDDOWN(L8*AQ6*1.024,))</f>
        <v>0</v>
      </c>
      <c r="AQ8" s="35">
        <f>IF(ISBLANK($A8),,ROUNDDOWN(N8*AQ6*1.024,))</f>
        <v>0</v>
      </c>
      <c r="AR8" s="35">
        <f>IF(ISBLANK($A8),,ROUNDDOWN(P8*AQ6*1.024,))</f>
        <v>0</v>
      </c>
      <c r="AS8" s="35">
        <f>IF(ISBLANK($A8),,ROUNDDOWN(R8*AQ6*1.024,))</f>
        <v>0</v>
      </c>
      <c r="AT8" s="35">
        <f t="shared" ref="AT8:AT43" si="2">IF(ISBLANK($A8),,ROUNDDOWN(T8*AQ$6*1.024,))</f>
        <v>0</v>
      </c>
      <c r="AU8" s="35">
        <f>IF(ISBLANK($A8),,ROUNDDOWN(V8*AQ6*1.024,))</f>
        <v>0</v>
      </c>
      <c r="AV8" s="35">
        <f>IF(ISBLANK($A8),,ROUNDDOWN(X8*AQ6*1.024,))</f>
        <v>0</v>
      </c>
    </row>
    <row r="9" spans="1:48">
      <c r="A9" s="35" t="s">
        <v>330</v>
      </c>
      <c r="D9" s="160" t="str">
        <f>IF(E9="vCSA7.0","VPOS3.0", "VPL1.0")</f>
        <v>VPOS3.0</v>
      </c>
      <c r="E9" s="160" t="s">
        <v>644</v>
      </c>
      <c r="F9" s="154">
        <v>4</v>
      </c>
      <c r="G9" s="143">
        <f>IF(E9="vCSA7.0",19, 10)</f>
        <v>19</v>
      </c>
      <c r="H9" s="154">
        <v>0</v>
      </c>
      <c r="I9" s="143">
        <f>IF(E9="vCSA7.0",450, 250)</f>
        <v>450</v>
      </c>
      <c r="J9" s="154">
        <v>25</v>
      </c>
      <c r="K9" s="154" t="s">
        <v>327</v>
      </c>
      <c r="L9" s="154"/>
      <c r="M9" s="154"/>
      <c r="N9" s="154"/>
      <c r="O9" s="154"/>
      <c r="P9" s="154"/>
      <c r="Q9" s="154"/>
      <c r="R9" s="154"/>
      <c r="S9" s="154"/>
      <c r="T9" s="154"/>
      <c r="U9" s="154"/>
      <c r="V9" s="154"/>
      <c r="W9" s="154"/>
      <c r="X9" s="154"/>
      <c r="Y9" s="154"/>
      <c r="Z9" s="154"/>
      <c r="AA9" s="154"/>
      <c r="AB9" s="154"/>
      <c r="AC9" s="154"/>
      <c r="AD9" s="154"/>
      <c r="AE9" s="154"/>
      <c r="AF9" s="180"/>
      <c r="AG9" s="180"/>
      <c r="AH9" s="154" t="s">
        <v>328</v>
      </c>
      <c r="AI9" s="154" t="s">
        <v>329</v>
      </c>
      <c r="AJ9" s="154"/>
      <c r="AM9" s="35">
        <f t="shared" si="0"/>
        <v>19.456</v>
      </c>
      <c r="AN9" s="35">
        <f t="shared" si="1"/>
        <v>0</v>
      </c>
      <c r="AO9" s="35">
        <f>IF(ISBLANK($A9),,ROUNDDOWN(I9*AQ6*1.024,))</f>
        <v>414</v>
      </c>
      <c r="AP9" s="35">
        <f>IF(ISBLANK($A9),,ROUNDDOWN(L9*AQ6*1.024,))</f>
        <v>0</v>
      </c>
      <c r="AQ9" s="35">
        <f>IF(ISBLANK($A9),,ROUNDDOWN(N9*AQ6*1.024,))</f>
        <v>0</v>
      </c>
      <c r="AR9" s="35">
        <f>IF(ISBLANK($A9),,ROUNDDOWN(P9*AQ6*1.024,))</f>
        <v>0</v>
      </c>
      <c r="AS9" s="35">
        <f>IF(ISBLANK($A9),,ROUNDDOWN(R9*AQ6*1.024,))</f>
        <v>0</v>
      </c>
      <c r="AT9" s="35">
        <f t="shared" si="2"/>
        <v>0</v>
      </c>
      <c r="AU9" s="35">
        <f>IF(ISBLANK($A9),,ROUNDDOWN(V9*AQ6*1.024,))</f>
        <v>0</v>
      </c>
      <c r="AV9" s="35">
        <f>IF(ISBLANK($A9),,ROUNDDOWN(X9*AQ6*1.024,))</f>
        <v>0</v>
      </c>
    </row>
    <row r="10" spans="1:48">
      <c r="A10" s="35" t="s">
        <v>331</v>
      </c>
      <c r="B10" s="154" t="s">
        <v>332</v>
      </c>
      <c r="C10" s="35" t="s">
        <v>333</v>
      </c>
      <c r="D10" s="35" t="s">
        <v>453</v>
      </c>
      <c r="E10" s="35" t="s">
        <v>16</v>
      </c>
      <c r="F10" s="154">
        <v>6</v>
      </c>
      <c r="G10" s="154">
        <v>6</v>
      </c>
      <c r="H10" s="154">
        <v>6</v>
      </c>
      <c r="I10" s="154">
        <v>41</v>
      </c>
      <c r="J10" s="154">
        <f t="shared" ref="J10:J41" si="3">G10-H10</f>
        <v>0</v>
      </c>
      <c r="K10" s="154" t="s">
        <v>335</v>
      </c>
      <c r="L10" s="154"/>
      <c r="M10" s="154"/>
      <c r="N10" s="154"/>
      <c r="O10" s="154"/>
      <c r="P10" s="154"/>
      <c r="Q10" s="154"/>
      <c r="R10" s="154"/>
      <c r="S10" s="154"/>
      <c r="T10" s="154"/>
      <c r="U10" s="154"/>
      <c r="V10" s="154"/>
      <c r="W10" s="154"/>
      <c r="X10" s="154"/>
      <c r="Y10" s="154"/>
      <c r="Z10" s="154"/>
      <c r="AA10" s="154"/>
      <c r="AB10" s="154"/>
      <c r="AC10" s="154"/>
      <c r="AD10" s="154"/>
      <c r="AE10" s="154"/>
      <c r="AF10" s="180"/>
      <c r="AG10" s="180"/>
      <c r="AH10" s="154" t="s">
        <v>328</v>
      </c>
      <c r="AI10" s="154" t="s">
        <v>329</v>
      </c>
      <c r="AJ10" s="154"/>
      <c r="AM10" s="35">
        <f t="shared" si="0"/>
        <v>6.1440000000000001</v>
      </c>
      <c r="AN10" s="35">
        <f t="shared" si="1"/>
        <v>6.1440000000000001</v>
      </c>
      <c r="AO10" s="35">
        <f>IF(ISBLANK($A10),,ROUNDDOWN(I10*AQ6*1.024,))</f>
        <v>37</v>
      </c>
      <c r="AP10" s="35">
        <f>IF(ISBLANK($A10),,ROUNDDOWN(L10*AQ6*1.024,))</f>
        <v>0</v>
      </c>
      <c r="AQ10" s="35">
        <f>IF(ISBLANK($A10),,ROUNDDOWN(N10*AQ6*1.024,))</f>
        <v>0</v>
      </c>
      <c r="AR10" s="35">
        <f>IF(ISBLANK($A10),,ROUNDDOWN(P10*AQ6*1.024,))</f>
        <v>0</v>
      </c>
      <c r="AS10" s="35">
        <f>IF(ISBLANK($A10),,ROUNDDOWN(R10*AQ6*1.024,))</f>
        <v>0</v>
      </c>
      <c r="AT10" s="35">
        <f t="shared" si="2"/>
        <v>0</v>
      </c>
      <c r="AU10" s="35">
        <f>IF(ISBLANK($A10),,ROUNDDOWN(V10*AQ6*1.024,))</f>
        <v>0</v>
      </c>
      <c r="AV10" s="35">
        <f>IF(ISBLANK($A10),,ROUNDDOWN(X10*AQ6*1.024,))</f>
        <v>0</v>
      </c>
    </row>
    <row r="11" spans="1:48">
      <c r="A11" s="35" t="s">
        <v>336</v>
      </c>
      <c r="B11" s="154"/>
      <c r="C11" s="35" t="s">
        <v>333</v>
      </c>
      <c r="D11" s="35" t="s">
        <v>453</v>
      </c>
      <c r="E11" s="35" t="s">
        <v>20</v>
      </c>
      <c r="F11" s="154">
        <v>24</v>
      </c>
      <c r="G11" s="154">
        <v>240</v>
      </c>
      <c r="H11" s="154">
        <v>240</v>
      </c>
      <c r="I11" s="154">
        <v>91</v>
      </c>
      <c r="J11" s="154">
        <f t="shared" si="3"/>
        <v>0</v>
      </c>
      <c r="K11" s="154" t="s">
        <v>337</v>
      </c>
      <c r="L11" s="154">
        <v>500</v>
      </c>
      <c r="M11" s="154" t="s">
        <v>522</v>
      </c>
      <c r="N11" s="154">
        <v>16400</v>
      </c>
      <c r="O11" s="154" t="s">
        <v>523</v>
      </c>
      <c r="P11" s="154">
        <v>18000</v>
      </c>
      <c r="Q11" s="154" t="s">
        <v>524</v>
      </c>
      <c r="R11" s="154"/>
      <c r="S11" s="154"/>
      <c r="T11" s="154"/>
      <c r="U11" s="154"/>
      <c r="V11" s="154"/>
      <c r="W11" s="154"/>
      <c r="X11" s="154">
        <v>33600</v>
      </c>
      <c r="Y11" s="154" t="s">
        <v>525</v>
      </c>
      <c r="Z11" s="154"/>
      <c r="AA11" s="154"/>
      <c r="AB11" s="154"/>
      <c r="AC11" s="154"/>
      <c r="AD11" s="154"/>
      <c r="AE11" s="154"/>
      <c r="AF11" s="180"/>
      <c r="AG11" s="180"/>
      <c r="AH11" s="154" t="s">
        <v>328</v>
      </c>
      <c r="AI11" s="154" t="s">
        <v>329</v>
      </c>
      <c r="AJ11" s="154"/>
      <c r="AM11" s="35">
        <f t="shared" si="0"/>
        <v>245.76</v>
      </c>
      <c r="AN11" s="35">
        <f t="shared" si="1"/>
        <v>245.76</v>
      </c>
      <c r="AO11" s="35">
        <f>IF(ISBLANK($A11),,ROUNDDOWN(I11*AQ6*1.024,))</f>
        <v>83</v>
      </c>
      <c r="AP11" s="35">
        <f>IF(ISBLANK($A11),,ROUNDDOWN(L11*AQ6*1.024,))</f>
        <v>460</v>
      </c>
      <c r="AQ11" s="35">
        <f>IF(ISBLANK($A11),,ROUNDDOWN(N11*AQ6*1.024,))</f>
        <v>15114</v>
      </c>
      <c r="AR11" s="35">
        <f>IF(ISBLANK($A11),,ROUNDDOWN(P11*AQ6*1.024,))</f>
        <v>16588</v>
      </c>
      <c r="AS11" s="35">
        <f>IF(ISBLANK($A11),,ROUNDDOWN(R11*AQ6*1.024,))</f>
        <v>0</v>
      </c>
      <c r="AT11" s="35">
        <f t="shared" si="2"/>
        <v>0</v>
      </c>
      <c r="AU11" s="35">
        <f>IF(ISBLANK($A11),,ROUNDDOWN(V11*AQ6*1.024,))</f>
        <v>0</v>
      </c>
      <c r="AV11" s="35">
        <f>IF(ISBLANK($A11),,ROUNDDOWN(X11*AQ6*1.024,))</f>
        <v>30965</v>
      </c>
    </row>
    <row r="12" spans="1:48">
      <c r="A12" s="35" t="s">
        <v>342</v>
      </c>
      <c r="B12" s="154" t="s">
        <v>332</v>
      </c>
      <c r="C12" s="35" t="s">
        <v>333</v>
      </c>
      <c r="D12" s="35" t="s">
        <v>453</v>
      </c>
      <c r="E12" s="35" t="s">
        <v>24</v>
      </c>
      <c r="F12" s="154">
        <v>9</v>
      </c>
      <c r="G12" s="154">
        <v>7</v>
      </c>
      <c r="H12" s="154">
        <v>7</v>
      </c>
      <c r="I12" s="154">
        <v>46</v>
      </c>
      <c r="J12" s="154">
        <f t="shared" si="3"/>
        <v>0</v>
      </c>
      <c r="K12" s="154" t="s">
        <v>343</v>
      </c>
      <c r="L12" s="154"/>
      <c r="M12" s="154"/>
      <c r="N12" s="154"/>
      <c r="O12" s="154"/>
      <c r="P12" s="154"/>
      <c r="Q12" s="154"/>
      <c r="R12" s="173">
        <v>1395</v>
      </c>
      <c r="S12" s="154" t="s">
        <v>526</v>
      </c>
      <c r="T12" s="152">
        <v>300</v>
      </c>
      <c r="U12" s="154" t="s">
        <v>137</v>
      </c>
      <c r="V12" s="154"/>
      <c r="W12" s="154"/>
      <c r="X12" s="154">
        <v>800</v>
      </c>
      <c r="Y12" s="154" t="s">
        <v>527</v>
      </c>
      <c r="Z12" s="154"/>
      <c r="AA12" s="154"/>
      <c r="AB12" s="154"/>
      <c r="AC12" s="154"/>
      <c r="AD12" s="154"/>
      <c r="AE12" s="154"/>
      <c r="AF12" s="180"/>
      <c r="AG12" s="180"/>
      <c r="AH12" s="154" t="s">
        <v>328</v>
      </c>
      <c r="AI12" s="154" t="s">
        <v>329</v>
      </c>
      <c r="AJ12" s="154"/>
      <c r="AM12" s="35">
        <f t="shared" si="0"/>
        <v>7.1680000000000001</v>
      </c>
      <c r="AN12" s="35">
        <f t="shared" si="1"/>
        <v>7.1680000000000001</v>
      </c>
      <c r="AO12" s="35">
        <f>IF(ISBLANK($A12),,ROUNDDOWN(I12*AQ6*1.024,))</f>
        <v>42</v>
      </c>
      <c r="AP12" s="35">
        <f>IF(ISBLANK($A12),,ROUNDDOWN(L12*AQ6*1.024,))</f>
        <v>0</v>
      </c>
      <c r="AQ12" s="35">
        <f>IF(ISBLANK($A12),,ROUNDDOWN(N12*AQ6*1.024,))</f>
        <v>0</v>
      </c>
      <c r="AR12" s="35">
        <f>IF(ISBLANK($A12),,ROUNDDOWN(P12*AQ6*1.024,))</f>
        <v>0</v>
      </c>
      <c r="AS12" s="35" t="e">
        <f>IF(ISBLANK($A12),,ROUNDDOWN(#REF!*AQ6*1.024,))</f>
        <v>#REF!</v>
      </c>
      <c r="AT12" s="35">
        <f t="shared" si="2"/>
        <v>276</v>
      </c>
      <c r="AU12" s="35">
        <f>IF(ISBLANK($A12),,ROUNDDOWN(V12*AQ6*1.024,))</f>
        <v>0</v>
      </c>
      <c r="AV12" s="35">
        <f>IF(ISBLANK($A12),,ROUNDDOWN(X12*AQ6*1.024,))</f>
        <v>737</v>
      </c>
    </row>
    <row r="13" spans="1:48">
      <c r="A13" s="35" t="s">
        <v>345</v>
      </c>
      <c r="C13" s="35" t="s">
        <v>333</v>
      </c>
      <c r="D13" s="35" t="s">
        <v>453</v>
      </c>
      <c r="E13" s="35" t="s">
        <v>28</v>
      </c>
      <c r="F13" s="154">
        <v>2</v>
      </c>
      <c r="G13" s="154">
        <v>2</v>
      </c>
      <c r="H13" s="154">
        <v>0</v>
      </c>
      <c r="I13" s="154">
        <v>31</v>
      </c>
      <c r="J13" s="154">
        <f t="shared" si="3"/>
        <v>2</v>
      </c>
      <c r="K13" s="154" t="s">
        <v>335</v>
      </c>
      <c r="L13" s="154"/>
      <c r="M13" s="154"/>
      <c r="N13" s="154"/>
      <c r="O13" s="154"/>
      <c r="P13" s="154"/>
      <c r="Q13" s="154"/>
      <c r="R13" s="154"/>
      <c r="S13" s="154"/>
      <c r="T13" s="154"/>
      <c r="U13" s="154"/>
      <c r="V13" s="154"/>
      <c r="W13" s="154"/>
      <c r="X13" s="154"/>
      <c r="Y13" s="154"/>
      <c r="Z13" s="154"/>
      <c r="AA13" s="154"/>
      <c r="AB13" s="154"/>
      <c r="AC13" s="154"/>
      <c r="AD13" s="154"/>
      <c r="AE13" s="154"/>
      <c r="AF13" s="180"/>
      <c r="AG13" s="180"/>
      <c r="AH13" s="154" t="s">
        <v>346</v>
      </c>
      <c r="AI13" s="152" t="s">
        <v>347</v>
      </c>
      <c r="AJ13" s="154" t="s">
        <v>329</v>
      </c>
      <c r="AM13" s="35">
        <f t="shared" si="0"/>
        <v>2.048</v>
      </c>
      <c r="AN13" s="35">
        <f t="shared" si="1"/>
        <v>0</v>
      </c>
      <c r="AO13" s="35">
        <f>IF(ISBLANK($A13),,ROUNDDOWN(I13*AQ6*1.024,))</f>
        <v>28</v>
      </c>
      <c r="AP13" s="35">
        <f>IF(ISBLANK($A13),,ROUNDDOWN(L13*AQ6*1.024,))</f>
        <v>0</v>
      </c>
      <c r="AQ13" s="35">
        <f>IF(ISBLANK($A13),,ROUNDDOWN(N13*AQ6*1.024,))</f>
        <v>0</v>
      </c>
      <c r="AR13" s="35">
        <f>IF(ISBLANK($A13),,ROUNDDOWN(P13*AQ6*1.024,))</f>
        <v>0</v>
      </c>
      <c r="AS13" s="35">
        <f>IF(ISBLANK($A13),,ROUNDDOWN(R13*AQ6*1.024,))</f>
        <v>0</v>
      </c>
      <c r="AT13" s="35">
        <f t="shared" si="2"/>
        <v>0</v>
      </c>
      <c r="AU13" s="35">
        <f>IF(ISBLANK($A13),,ROUNDDOWN(V13*AQ6*1.024,))</f>
        <v>0</v>
      </c>
      <c r="AV13" s="35">
        <f>IF(ISBLANK($A13),,ROUNDDOWN(X13*AQ6*1.024,))</f>
        <v>0</v>
      </c>
    </row>
    <row r="14" spans="1:48">
      <c r="A14" s="35" t="s">
        <v>348</v>
      </c>
      <c r="C14" s="35" t="s">
        <v>333</v>
      </c>
      <c r="D14" s="35" t="s">
        <v>453</v>
      </c>
      <c r="E14" s="35" t="s">
        <v>32</v>
      </c>
      <c r="F14" s="154">
        <v>2</v>
      </c>
      <c r="G14" s="154">
        <v>5</v>
      </c>
      <c r="H14" s="154">
        <v>0</v>
      </c>
      <c r="I14" s="154">
        <v>31</v>
      </c>
      <c r="J14" s="154">
        <f t="shared" si="3"/>
        <v>5</v>
      </c>
      <c r="K14" s="154" t="s">
        <v>337</v>
      </c>
      <c r="L14" s="154"/>
      <c r="M14" s="154"/>
      <c r="N14" s="154"/>
      <c r="O14" s="154"/>
      <c r="P14" s="154"/>
      <c r="Q14" s="154"/>
      <c r="R14" s="154"/>
      <c r="T14" s="154"/>
      <c r="U14" s="154"/>
      <c r="V14" s="154"/>
      <c r="W14" s="154"/>
      <c r="X14" s="154"/>
      <c r="Y14" s="154"/>
      <c r="Z14" s="154"/>
      <c r="AA14" s="154"/>
      <c r="AB14" s="154"/>
      <c r="AC14" s="154"/>
      <c r="AD14" s="154"/>
      <c r="AE14" s="154"/>
      <c r="AF14" s="180"/>
      <c r="AG14" s="180"/>
      <c r="AH14" s="154" t="s">
        <v>328</v>
      </c>
      <c r="AI14" s="154" t="s">
        <v>329</v>
      </c>
      <c r="AJ14" s="154"/>
      <c r="AM14" s="35">
        <f t="shared" si="0"/>
        <v>5.12</v>
      </c>
      <c r="AN14" s="35">
        <f t="shared" si="1"/>
        <v>0</v>
      </c>
      <c r="AO14" s="35">
        <f>IF(ISBLANK($A14),,ROUNDDOWN(I14*AQ6*1.024,))</f>
        <v>28</v>
      </c>
      <c r="AP14" s="35">
        <f>IF(ISBLANK($A14),,ROUNDDOWN(L14*AQ6*1.024,))</f>
        <v>0</v>
      </c>
      <c r="AQ14" s="35">
        <f>IF(ISBLANK($A14),,ROUNDDOWN(N14*AQ6*1.024,))</f>
        <v>0</v>
      </c>
      <c r="AR14" s="35">
        <f>IF(ISBLANK($A14),,ROUNDDOWN(P14*AQ6*1.024,))</f>
        <v>0</v>
      </c>
      <c r="AS14" s="35">
        <f>IF(ISBLANK($A14),,ROUNDDOWN(R14*AQ6*1.024,))</f>
        <v>0</v>
      </c>
      <c r="AT14" s="35">
        <f t="shared" si="2"/>
        <v>0</v>
      </c>
      <c r="AU14" s="35">
        <f>IF(ISBLANK($A14),,ROUNDDOWN(V14*AQ6*1.024,))</f>
        <v>0</v>
      </c>
      <c r="AV14" s="35">
        <f>IF(ISBLANK($A14),,ROUNDDOWN(X14*AQ6*1.024,))</f>
        <v>0</v>
      </c>
    </row>
    <row r="15" spans="1:48">
      <c r="A15" s="35" t="s">
        <v>349</v>
      </c>
      <c r="C15" s="35" t="s">
        <v>333</v>
      </c>
      <c r="D15" s="35" t="s">
        <v>453</v>
      </c>
      <c r="E15" s="35" t="s">
        <v>482</v>
      </c>
      <c r="F15" s="154">
        <v>3</v>
      </c>
      <c r="G15" s="154">
        <v>6</v>
      </c>
      <c r="H15" s="154">
        <v>0</v>
      </c>
      <c r="I15" s="154">
        <v>41</v>
      </c>
      <c r="J15" s="154">
        <f t="shared" si="3"/>
        <v>6</v>
      </c>
      <c r="K15" s="154" t="s">
        <v>343</v>
      </c>
      <c r="L15" s="154"/>
      <c r="M15" s="154"/>
      <c r="N15" s="154"/>
      <c r="O15" s="154"/>
      <c r="P15" s="154"/>
      <c r="Q15" s="154"/>
      <c r="R15" s="154"/>
      <c r="S15" s="154"/>
      <c r="T15" s="154"/>
      <c r="U15" s="154"/>
      <c r="V15" s="154"/>
      <c r="W15" s="154"/>
      <c r="X15" s="154"/>
      <c r="Y15" s="154"/>
      <c r="Z15" s="154"/>
      <c r="AA15" s="154"/>
      <c r="AB15" s="154"/>
      <c r="AC15" s="154"/>
      <c r="AD15" s="154"/>
      <c r="AE15" s="154"/>
      <c r="AF15" s="180"/>
      <c r="AG15" s="180"/>
      <c r="AH15" s="154" t="s">
        <v>346</v>
      </c>
      <c r="AI15" s="152" t="s">
        <v>347</v>
      </c>
      <c r="AJ15" s="154"/>
      <c r="AM15" s="35">
        <f t="shared" si="0"/>
        <v>6.1440000000000001</v>
      </c>
      <c r="AN15" s="35">
        <f t="shared" si="1"/>
        <v>0</v>
      </c>
      <c r="AO15" s="35">
        <f>IF(ISBLANK($A15),,ROUNDDOWN(I15*AQ6*1.024,))</f>
        <v>37</v>
      </c>
      <c r="AP15" s="35">
        <f>IF(ISBLANK($A15),,ROUNDDOWN(L15*AQ6*1.024,))</f>
        <v>0</v>
      </c>
      <c r="AQ15" s="35">
        <f>IF(ISBLANK($A15),,ROUNDDOWN(N15*AQ6*1.024,))</f>
        <v>0</v>
      </c>
      <c r="AR15" s="35">
        <f>IF(ISBLANK($A15),,ROUNDDOWN(P15*AQ6*1.024,))</f>
        <v>0</v>
      </c>
      <c r="AS15" s="35">
        <f>IF(ISBLANK($A15),,ROUNDDOWN(R15*AQ6*1.024,))</f>
        <v>0</v>
      </c>
      <c r="AT15" s="35">
        <f t="shared" si="2"/>
        <v>0</v>
      </c>
      <c r="AU15" s="35">
        <f>IF(ISBLANK($A15),,ROUNDDOWN(V15*AQ6*1.024,))</f>
        <v>0</v>
      </c>
      <c r="AV15" s="35">
        <f>IF(ISBLANK($A15),,ROUNDDOWN(X15*AQ6*1.024,))</f>
        <v>0</v>
      </c>
    </row>
    <row r="16" spans="1:48">
      <c r="A16" s="35" t="s">
        <v>351</v>
      </c>
      <c r="C16" s="35" t="s">
        <v>333</v>
      </c>
      <c r="D16" s="35" t="s">
        <v>453</v>
      </c>
      <c r="E16" s="35" t="s">
        <v>40</v>
      </c>
      <c r="F16" s="154">
        <v>5</v>
      </c>
      <c r="G16" s="154">
        <v>7</v>
      </c>
      <c r="H16" s="154">
        <v>0</v>
      </c>
      <c r="I16" s="154">
        <v>56</v>
      </c>
      <c r="J16" s="154">
        <f t="shared" si="3"/>
        <v>7</v>
      </c>
      <c r="K16" s="154" t="s">
        <v>335</v>
      </c>
      <c r="L16" s="154"/>
      <c r="M16" s="154"/>
      <c r="N16" s="154"/>
      <c r="O16" s="154"/>
      <c r="P16" s="154"/>
      <c r="Q16" s="154"/>
      <c r="R16" s="154"/>
      <c r="S16" s="154"/>
      <c r="T16" s="154"/>
      <c r="U16" s="154"/>
      <c r="V16" s="154"/>
      <c r="W16" s="154"/>
      <c r="X16" s="154"/>
      <c r="Y16" s="154"/>
      <c r="Z16" s="154"/>
      <c r="AA16" s="154"/>
      <c r="AB16" s="154"/>
      <c r="AC16" s="154"/>
      <c r="AD16" s="154"/>
      <c r="AE16" s="154"/>
      <c r="AF16" s="180"/>
      <c r="AG16" s="180"/>
      <c r="AH16" s="154" t="s">
        <v>346</v>
      </c>
      <c r="AI16" s="152" t="s">
        <v>347</v>
      </c>
      <c r="AJ16" s="154"/>
      <c r="AM16" s="35">
        <f t="shared" si="0"/>
        <v>7.1680000000000001</v>
      </c>
      <c r="AN16" s="35">
        <f t="shared" si="1"/>
        <v>0</v>
      </c>
      <c r="AO16" s="35">
        <f>IF(ISBLANK($A16),,ROUNDDOWN(I16*AQ6*1.024,))</f>
        <v>51</v>
      </c>
      <c r="AP16" s="35">
        <f>IF(ISBLANK($A16),,ROUNDDOWN(L16*AQ6*1.024,))</f>
        <v>0</v>
      </c>
      <c r="AQ16" s="35">
        <f>IF(ISBLANK($A16),,ROUNDDOWN(N16*AQ6*1.024,))</f>
        <v>0</v>
      </c>
      <c r="AR16" s="35">
        <f>IF(ISBLANK($A16),,ROUNDDOWN(P16*AQ6*1.024,))</f>
        <v>0</v>
      </c>
      <c r="AS16" s="35">
        <f>IF(ISBLANK($A16),,ROUNDDOWN(R16*AQ6*1.024,))</f>
        <v>0</v>
      </c>
      <c r="AT16" s="35">
        <f t="shared" si="2"/>
        <v>0</v>
      </c>
      <c r="AU16" s="35">
        <f>IF(ISBLANK($A16),,ROUNDDOWN(V16*AQ6*1.024,))</f>
        <v>0</v>
      </c>
      <c r="AV16" s="35">
        <f>IF(ISBLANK($A16),,ROUNDDOWN(X16*AQ6*1.024,))</f>
        <v>0</v>
      </c>
    </row>
    <row r="17" spans="1:48">
      <c r="A17" s="35" t="s">
        <v>352</v>
      </c>
      <c r="C17" s="35" t="s">
        <v>333</v>
      </c>
      <c r="D17" s="35" t="s">
        <v>453</v>
      </c>
      <c r="E17" s="35" t="s">
        <v>43</v>
      </c>
      <c r="F17" s="154">
        <v>4</v>
      </c>
      <c r="G17" s="154">
        <v>6</v>
      </c>
      <c r="H17" s="154">
        <v>0</v>
      </c>
      <c r="I17" s="154">
        <v>31</v>
      </c>
      <c r="J17" s="154">
        <f t="shared" si="3"/>
        <v>6</v>
      </c>
      <c r="K17" s="154" t="s">
        <v>337</v>
      </c>
      <c r="L17" s="154"/>
      <c r="M17" s="154"/>
      <c r="N17" s="154"/>
      <c r="O17" s="154"/>
      <c r="P17" s="154"/>
      <c r="Q17" s="154"/>
      <c r="R17" s="154"/>
      <c r="S17" s="154"/>
      <c r="T17" s="154"/>
      <c r="U17" s="154"/>
      <c r="V17" s="154"/>
      <c r="W17" s="154"/>
      <c r="X17" s="154"/>
      <c r="Y17" s="154"/>
      <c r="Z17" s="154"/>
      <c r="AA17" s="154"/>
      <c r="AB17" s="154"/>
      <c r="AC17" s="154"/>
      <c r="AD17" s="154"/>
      <c r="AE17" s="154"/>
      <c r="AF17" s="180"/>
      <c r="AG17" s="180"/>
      <c r="AH17" s="154" t="s">
        <v>346</v>
      </c>
      <c r="AI17" s="152" t="s">
        <v>347</v>
      </c>
      <c r="AJ17" s="154"/>
      <c r="AM17" s="35">
        <f t="shared" si="0"/>
        <v>6.1440000000000001</v>
      </c>
      <c r="AN17" s="35">
        <f t="shared" si="1"/>
        <v>0</v>
      </c>
      <c r="AO17" s="35">
        <f>IF(ISBLANK($A17),,ROUNDDOWN(I17*AQ6*1.024,))</f>
        <v>28</v>
      </c>
      <c r="AP17" s="35">
        <f>IF(ISBLANK($A17),,ROUNDDOWN(L17*AQ6*1.024,))</f>
        <v>0</v>
      </c>
      <c r="AQ17" s="35">
        <f>IF(ISBLANK($A17),,ROUNDDOWN(N17*AQ6*1.024,))</f>
        <v>0</v>
      </c>
      <c r="AR17" s="35">
        <f>IF(ISBLANK($A17),,ROUNDDOWN(P17*AQ6*1.024,))</f>
        <v>0</v>
      </c>
      <c r="AS17" s="35">
        <f>IF(ISBLANK($A17),,ROUNDDOWN(R17*AQ6*1.024,))</f>
        <v>0</v>
      </c>
      <c r="AT17" s="35">
        <f t="shared" si="2"/>
        <v>0</v>
      </c>
      <c r="AU17" s="35">
        <f>IF(ISBLANK($A17),,ROUNDDOWN(V17*AQ6*1.024,))</f>
        <v>0</v>
      </c>
      <c r="AV17" s="35">
        <f>IF(ISBLANK($A17),,ROUNDDOWN(X17*AQ6*1.024,))</f>
        <v>0</v>
      </c>
    </row>
    <row r="18" spans="1:48">
      <c r="A18" s="35" t="s">
        <v>353</v>
      </c>
      <c r="C18" s="35" t="s">
        <v>333</v>
      </c>
      <c r="D18" s="35" t="s">
        <v>453</v>
      </c>
      <c r="E18" s="35" t="s">
        <v>47</v>
      </c>
      <c r="F18" s="154">
        <v>4</v>
      </c>
      <c r="G18" s="154">
        <v>4</v>
      </c>
      <c r="H18" s="154">
        <v>0</v>
      </c>
      <c r="I18" s="154">
        <v>31</v>
      </c>
      <c r="J18" s="154">
        <f t="shared" si="3"/>
        <v>4</v>
      </c>
      <c r="K18" s="154" t="s">
        <v>343</v>
      </c>
      <c r="L18" s="154"/>
      <c r="M18" s="154"/>
      <c r="N18" s="154"/>
      <c r="O18" s="154"/>
      <c r="P18" s="154"/>
      <c r="Q18" s="154"/>
      <c r="R18" s="154"/>
      <c r="S18" s="154"/>
      <c r="T18" s="154"/>
      <c r="U18" s="154"/>
      <c r="V18" s="154"/>
      <c r="W18" s="154"/>
      <c r="X18" s="154"/>
      <c r="Y18" s="154"/>
      <c r="Z18" s="154"/>
      <c r="AA18" s="154"/>
      <c r="AB18" s="154"/>
      <c r="AC18" s="154"/>
      <c r="AD18" s="154"/>
      <c r="AE18" s="154"/>
      <c r="AF18" s="180"/>
      <c r="AG18" s="180"/>
      <c r="AH18" s="154" t="s">
        <v>346</v>
      </c>
      <c r="AI18" s="152" t="s">
        <v>347</v>
      </c>
      <c r="AJ18" s="154" t="s">
        <v>329</v>
      </c>
      <c r="AM18" s="35">
        <f t="shared" si="0"/>
        <v>4.0960000000000001</v>
      </c>
      <c r="AN18" s="35">
        <f t="shared" si="1"/>
        <v>0</v>
      </c>
      <c r="AO18" s="35">
        <f>IF(ISBLANK($A18),,ROUNDDOWN(I18*AQ6*1.024,))</f>
        <v>28</v>
      </c>
      <c r="AP18" s="35">
        <f>IF(ISBLANK($A18),,ROUNDDOWN(L18*AQ6*1.024,))</f>
        <v>0</v>
      </c>
      <c r="AQ18" s="35">
        <f>IF(ISBLANK($A18),,ROUNDDOWN(N18*AQ6*1.024,))</f>
        <v>0</v>
      </c>
      <c r="AR18" s="35">
        <f>IF(ISBLANK($A18),,ROUNDDOWN(P18*AQ6*1.024,))</f>
        <v>0</v>
      </c>
      <c r="AS18" s="35">
        <f>IF(ISBLANK($A18),,ROUNDDOWN(R18*AQ6*1.024,))</f>
        <v>0</v>
      </c>
      <c r="AT18" s="35">
        <f t="shared" si="2"/>
        <v>0</v>
      </c>
      <c r="AU18" s="35">
        <f>IF(ISBLANK($A18),,ROUNDDOWN(V18*AQ6*1.024,))</f>
        <v>0</v>
      </c>
      <c r="AV18" s="35">
        <f>IF(ISBLANK($A18),,ROUNDDOWN(X18*AQ6*1.024,))</f>
        <v>0</v>
      </c>
    </row>
    <row r="19" spans="1:48">
      <c r="A19" s="35" t="s">
        <v>354</v>
      </c>
      <c r="C19" s="35" t="s">
        <v>333</v>
      </c>
      <c r="D19" s="35" t="s">
        <v>453</v>
      </c>
      <c r="E19" s="35" t="s">
        <v>355</v>
      </c>
      <c r="F19" s="154">
        <v>8</v>
      </c>
      <c r="G19" s="154">
        <v>10</v>
      </c>
      <c r="H19" s="154">
        <v>0</v>
      </c>
      <c r="I19" s="154">
        <v>101</v>
      </c>
      <c r="J19" s="154">
        <f t="shared" si="3"/>
        <v>10</v>
      </c>
      <c r="K19" s="154" t="s">
        <v>335</v>
      </c>
      <c r="L19" s="154"/>
      <c r="M19" s="154"/>
      <c r="N19" s="154"/>
      <c r="O19" s="154"/>
      <c r="P19" s="154"/>
      <c r="Q19" s="154"/>
      <c r="R19" s="154"/>
      <c r="S19" s="154"/>
      <c r="T19" s="154"/>
      <c r="U19" s="154"/>
      <c r="V19" s="154"/>
      <c r="W19" s="154"/>
      <c r="X19" s="154"/>
      <c r="Y19" s="154"/>
      <c r="Z19" s="154"/>
      <c r="AA19" s="154"/>
      <c r="AB19" s="152">
        <v>50</v>
      </c>
      <c r="AC19" s="152" t="s">
        <v>343</v>
      </c>
      <c r="AD19" s="152"/>
      <c r="AE19" s="152"/>
      <c r="AF19" s="179"/>
      <c r="AG19" s="179"/>
      <c r="AH19" s="154" t="s">
        <v>328</v>
      </c>
      <c r="AI19" s="154" t="s">
        <v>329</v>
      </c>
      <c r="AJ19" s="154"/>
      <c r="AM19" s="35">
        <f t="shared" si="0"/>
        <v>10.24</v>
      </c>
      <c r="AN19" s="35">
        <f t="shared" si="1"/>
        <v>0</v>
      </c>
      <c r="AO19" s="35">
        <f>IF(ISBLANK($A19),,ROUNDDOWN(I19*AQ6*1.024,))</f>
        <v>93</v>
      </c>
      <c r="AP19" s="35">
        <f>IF(ISBLANK($A19),,ROUNDDOWN(L19*AQ6*1.024,))</f>
        <v>0</v>
      </c>
      <c r="AQ19" s="35">
        <f>IF(ISBLANK($A19),,ROUNDDOWN(N19*AQ6*1.024,))</f>
        <v>0</v>
      </c>
      <c r="AR19" s="35">
        <f>IF(ISBLANK($A19),,ROUNDDOWN(P19*AQ6*1.024,))</f>
        <v>0</v>
      </c>
      <c r="AS19" s="35">
        <f>IF(ISBLANK($A19),,ROUNDDOWN(R19*AQ6*1.024,))</f>
        <v>0</v>
      </c>
      <c r="AT19" s="35">
        <f t="shared" si="2"/>
        <v>0</v>
      </c>
      <c r="AU19" s="35">
        <f>IF(ISBLANK($A19),,ROUNDDOWN(V19*AQ6*1.024,))</f>
        <v>0</v>
      </c>
      <c r="AV19" s="35">
        <f>IF(ISBLANK($A19),,ROUNDDOWN(X19*AQ6*1.024,))</f>
        <v>0</v>
      </c>
    </row>
    <row r="20" spans="1:48">
      <c r="A20" s="35" t="s">
        <v>356</v>
      </c>
      <c r="C20" s="35" t="s">
        <v>333</v>
      </c>
      <c r="D20" s="35" t="s">
        <v>453</v>
      </c>
      <c r="E20" s="35" t="s">
        <v>55</v>
      </c>
      <c r="F20" s="154">
        <v>6</v>
      </c>
      <c r="G20" s="154">
        <v>6</v>
      </c>
      <c r="H20" s="154">
        <v>0</v>
      </c>
      <c r="I20" s="154">
        <v>169</v>
      </c>
      <c r="J20" s="154">
        <f t="shared" si="3"/>
        <v>6</v>
      </c>
      <c r="K20" s="154" t="s">
        <v>337</v>
      </c>
      <c r="L20" s="154"/>
      <c r="M20" s="154"/>
      <c r="N20" s="154"/>
      <c r="O20" s="154"/>
      <c r="P20" s="154"/>
      <c r="Q20" s="154"/>
      <c r="R20" s="154"/>
      <c r="S20" s="154"/>
      <c r="T20" s="154"/>
      <c r="U20" s="154"/>
      <c r="V20" s="154"/>
      <c r="W20" s="154"/>
      <c r="X20" s="154"/>
      <c r="Y20" s="154"/>
      <c r="Z20" s="154"/>
      <c r="AA20" s="154"/>
      <c r="AB20" s="154"/>
      <c r="AC20" s="154"/>
      <c r="AD20" s="154"/>
      <c r="AE20" s="154"/>
      <c r="AF20" s="180"/>
      <c r="AG20" s="180"/>
      <c r="AH20" s="154" t="s">
        <v>346</v>
      </c>
      <c r="AI20" s="152" t="s">
        <v>347</v>
      </c>
      <c r="AJ20" s="154"/>
      <c r="AM20" s="35">
        <f t="shared" si="0"/>
        <v>6.1440000000000001</v>
      </c>
      <c r="AN20" s="35">
        <f t="shared" si="1"/>
        <v>0</v>
      </c>
      <c r="AO20" s="35">
        <f>IF(ISBLANK($A20),,ROUNDDOWN(I20*AQ6*1.024,))</f>
        <v>155</v>
      </c>
      <c r="AP20" s="35">
        <f>IF(ISBLANK($A20),,ROUNDDOWN(L20*AQ6*1.024,))</f>
        <v>0</v>
      </c>
      <c r="AQ20" s="35">
        <f>IF(ISBLANK($A20),,ROUNDDOWN(N20*AQ6*1.024,))</f>
        <v>0</v>
      </c>
      <c r="AR20" s="35">
        <f>IF(ISBLANK($A20),,ROUNDDOWN(P20*AQ6*1.024,))</f>
        <v>0</v>
      </c>
      <c r="AS20" s="35">
        <f>IF(ISBLANK($A20),,ROUNDDOWN(R20*AQ6*1.024,))</f>
        <v>0</v>
      </c>
      <c r="AT20" s="35">
        <f t="shared" si="2"/>
        <v>0</v>
      </c>
      <c r="AU20" s="35">
        <f>IF(ISBLANK($A20),,ROUNDDOWN(V20*AQ6*1.024,))</f>
        <v>0</v>
      </c>
      <c r="AV20" s="35">
        <f>IF(ISBLANK($A20),,ROUNDDOWN(X20*AQ6*1.024,))</f>
        <v>0</v>
      </c>
    </row>
    <row r="21" spans="1:48">
      <c r="A21" s="35" t="s">
        <v>357</v>
      </c>
      <c r="C21" s="35" t="s">
        <v>333</v>
      </c>
      <c r="D21" s="35" t="s">
        <v>453</v>
      </c>
      <c r="E21" s="35" t="s">
        <v>483</v>
      </c>
      <c r="F21" s="154">
        <v>8</v>
      </c>
      <c r="G21" s="154">
        <v>8</v>
      </c>
      <c r="H21" s="154">
        <v>0</v>
      </c>
      <c r="I21" s="154">
        <v>61</v>
      </c>
      <c r="J21" s="154">
        <f t="shared" si="3"/>
        <v>8</v>
      </c>
      <c r="K21" s="154" t="s">
        <v>343</v>
      </c>
      <c r="L21" s="154"/>
      <c r="M21" s="154"/>
      <c r="N21" s="154"/>
      <c r="O21" s="154"/>
      <c r="P21" s="154"/>
      <c r="Q21" s="154"/>
      <c r="R21" s="154"/>
      <c r="S21" s="154"/>
      <c r="T21" s="154"/>
      <c r="U21" s="154"/>
      <c r="V21" s="154"/>
      <c r="W21" s="154"/>
      <c r="X21" s="154"/>
      <c r="Y21" s="154"/>
      <c r="Z21" s="154"/>
      <c r="AA21" s="154"/>
      <c r="AB21" s="154"/>
      <c r="AC21" s="154"/>
      <c r="AD21" s="154"/>
      <c r="AE21" s="154"/>
      <c r="AF21" s="180"/>
      <c r="AG21" s="180"/>
      <c r="AH21" s="154" t="s">
        <v>328</v>
      </c>
      <c r="AI21" s="154" t="s">
        <v>329</v>
      </c>
      <c r="AJ21" s="154"/>
      <c r="AM21" s="35">
        <f t="shared" si="0"/>
        <v>8.1920000000000002</v>
      </c>
      <c r="AN21" s="35">
        <f t="shared" si="1"/>
        <v>0</v>
      </c>
      <c r="AO21" s="35">
        <f>IF(ISBLANK($A21),,ROUNDDOWN(I21*AQ6*1.024,))</f>
        <v>56</v>
      </c>
      <c r="AP21" s="35">
        <f>IF(ISBLANK($A21),,ROUNDDOWN(L21*AQ6*1.024,))</f>
        <v>0</v>
      </c>
      <c r="AQ21" s="35">
        <f>IF(ISBLANK($A21),,ROUNDDOWN(N21*AQ6*1.024,))</f>
        <v>0</v>
      </c>
      <c r="AR21" s="35">
        <f>IF(ISBLANK($A21),,ROUNDDOWN(P21*AQ6*1.024,))</f>
        <v>0</v>
      </c>
      <c r="AS21" s="35">
        <f>IF(ISBLANK($A21),,ROUNDDOWN(R21*AQ6*1.024,))</f>
        <v>0</v>
      </c>
      <c r="AT21" s="35">
        <f t="shared" si="2"/>
        <v>0</v>
      </c>
      <c r="AU21" s="35">
        <f>IF(ISBLANK($A21),,ROUNDDOWN(V21*AQ6*1.024,))</f>
        <v>0</v>
      </c>
      <c r="AV21" s="35">
        <f>IF(ISBLANK($A21),,ROUNDDOWN(X21*AQ6*1.024,))</f>
        <v>0</v>
      </c>
    </row>
    <row r="22" spans="1:48">
      <c r="A22" s="35" t="s">
        <v>358</v>
      </c>
      <c r="C22" s="35" t="s">
        <v>333</v>
      </c>
      <c r="D22" s="35" t="s">
        <v>453</v>
      </c>
      <c r="E22" s="35" t="s">
        <v>483</v>
      </c>
      <c r="F22" s="154">
        <v>8</v>
      </c>
      <c r="G22" s="154">
        <v>8</v>
      </c>
      <c r="H22" s="154">
        <v>0</v>
      </c>
      <c r="I22" s="154">
        <v>61</v>
      </c>
      <c r="J22" s="154">
        <f t="shared" si="3"/>
        <v>8</v>
      </c>
      <c r="K22" s="154" t="s">
        <v>335</v>
      </c>
      <c r="L22" s="154"/>
      <c r="M22" s="154"/>
      <c r="N22" s="154"/>
      <c r="O22" s="154"/>
      <c r="P22" s="154"/>
      <c r="Q22" s="154"/>
      <c r="R22" s="154"/>
      <c r="S22" s="154"/>
      <c r="T22" s="154"/>
      <c r="U22" s="154"/>
      <c r="V22" s="154"/>
      <c r="W22" s="154"/>
      <c r="X22" s="154"/>
      <c r="Y22" s="154"/>
      <c r="Z22" s="154"/>
      <c r="AA22" s="154"/>
      <c r="AB22" s="154"/>
      <c r="AC22" s="154"/>
      <c r="AD22" s="154"/>
      <c r="AE22" s="154"/>
      <c r="AF22" s="180"/>
      <c r="AG22" s="180"/>
      <c r="AH22" s="154" t="s">
        <v>328</v>
      </c>
      <c r="AI22" s="154" t="s">
        <v>329</v>
      </c>
      <c r="AJ22" s="154"/>
      <c r="AM22" s="35">
        <f t="shared" si="0"/>
        <v>8.1920000000000002</v>
      </c>
      <c r="AN22" s="35">
        <f t="shared" si="1"/>
        <v>0</v>
      </c>
      <c r="AO22" s="35">
        <f>IF(ISBLANK($A22),,ROUNDDOWN(I22*AQ6*1.024,))</f>
        <v>56</v>
      </c>
      <c r="AP22" s="35">
        <f>IF(ISBLANK($A22),,ROUNDDOWN(L22*AQ6*1.024,))</f>
        <v>0</v>
      </c>
      <c r="AQ22" s="35">
        <f>IF(ISBLANK($A22),,ROUNDDOWN(N22*AQ6*1.024,))</f>
        <v>0</v>
      </c>
      <c r="AR22" s="35">
        <f>IF(ISBLANK($A22),,ROUNDDOWN(P22*AQ6*1.024,))</f>
        <v>0</v>
      </c>
      <c r="AS22" s="35">
        <f>IF(ISBLANK($A22),,ROUNDDOWN(R22*AQ6*1.024,))</f>
        <v>0</v>
      </c>
      <c r="AT22" s="35">
        <f t="shared" si="2"/>
        <v>0</v>
      </c>
      <c r="AU22" s="35">
        <f>IF(ISBLANK($A22),,ROUNDDOWN(V22*AQ6*1.024,))</f>
        <v>0</v>
      </c>
      <c r="AV22" s="35">
        <f>IF(ISBLANK($A22),,ROUNDDOWN(X22*AQ6*1.024,))</f>
        <v>0</v>
      </c>
    </row>
    <row r="23" spans="1:48">
      <c r="A23" s="35" t="s">
        <v>359</v>
      </c>
      <c r="C23" s="35" t="s">
        <v>333</v>
      </c>
      <c r="D23" s="35" t="s">
        <v>453</v>
      </c>
      <c r="E23" s="35" t="s">
        <v>63</v>
      </c>
      <c r="F23" s="154">
        <v>6</v>
      </c>
      <c r="G23" s="154">
        <v>18</v>
      </c>
      <c r="H23" s="154">
        <v>0</v>
      </c>
      <c r="I23" s="154">
        <v>141</v>
      </c>
      <c r="J23" s="154">
        <f t="shared" si="3"/>
        <v>18</v>
      </c>
      <c r="K23" s="154" t="s">
        <v>337</v>
      </c>
      <c r="L23" s="154"/>
      <c r="M23" s="154"/>
      <c r="N23" s="154"/>
      <c r="O23" s="154"/>
      <c r="P23" s="154"/>
      <c r="Q23" s="154"/>
      <c r="R23" s="154"/>
      <c r="S23" s="154"/>
      <c r="T23" s="154"/>
      <c r="U23" s="154"/>
      <c r="V23" s="154"/>
      <c r="W23" s="154"/>
      <c r="X23" s="154"/>
      <c r="Y23" s="154"/>
      <c r="Z23" s="154"/>
      <c r="AA23" s="154"/>
      <c r="AB23" s="154"/>
      <c r="AC23" s="154"/>
      <c r="AD23" s="152">
        <v>100</v>
      </c>
      <c r="AE23" s="152" t="s">
        <v>337</v>
      </c>
      <c r="AF23" s="179"/>
      <c r="AG23" s="179"/>
      <c r="AH23" s="154" t="s">
        <v>328</v>
      </c>
      <c r="AI23" s="154" t="s">
        <v>329</v>
      </c>
      <c r="AJ23" s="154"/>
      <c r="AM23" s="35">
        <f t="shared" si="0"/>
        <v>18.432000000000002</v>
      </c>
      <c r="AN23" s="35">
        <f t="shared" si="1"/>
        <v>0</v>
      </c>
      <c r="AO23" s="35">
        <f>IF(ISBLANK($A23),,ROUNDDOWN(I23*AQ6*1.024,))</f>
        <v>129</v>
      </c>
      <c r="AP23" s="35">
        <f>IF(ISBLANK($A23),,ROUNDDOWN(L23*AQ6*1.024,))</f>
        <v>0</v>
      </c>
      <c r="AQ23" s="35">
        <f>IF(ISBLANK($A23),,ROUNDDOWN(N23*AQ6*1.024,))</f>
        <v>0</v>
      </c>
      <c r="AR23" s="35">
        <f>IF(ISBLANK($A23),,ROUNDDOWN(P23*AQ6*1.024,))</f>
        <v>0</v>
      </c>
      <c r="AS23" s="35">
        <f>IF(ISBLANK($A23),,ROUNDDOWN(R23*AQ6*1.024,))</f>
        <v>0</v>
      </c>
      <c r="AT23" s="35">
        <f t="shared" si="2"/>
        <v>0</v>
      </c>
      <c r="AU23" s="35">
        <f>IF(ISBLANK($A23),,ROUNDDOWN(V23*AQ6*1.024,))</f>
        <v>0</v>
      </c>
      <c r="AV23" s="35">
        <f>IF(ISBLANK($A23),,ROUNDDOWN(X23*AQ6*1.024,))</f>
        <v>0</v>
      </c>
    </row>
    <row r="24" spans="1:48">
      <c r="A24" s="35" t="s">
        <v>360</v>
      </c>
      <c r="C24" s="35" t="s">
        <v>333</v>
      </c>
      <c r="D24" s="35" t="s">
        <v>453</v>
      </c>
      <c r="E24" s="35" t="s">
        <v>67</v>
      </c>
      <c r="F24" s="154">
        <v>6</v>
      </c>
      <c r="G24" s="154">
        <v>18</v>
      </c>
      <c r="H24" s="154">
        <v>0</v>
      </c>
      <c r="I24" s="154">
        <v>141</v>
      </c>
      <c r="J24" s="154">
        <f t="shared" si="3"/>
        <v>18</v>
      </c>
      <c r="K24" s="154" t="s">
        <v>343</v>
      </c>
      <c r="L24" s="154"/>
      <c r="M24" s="154"/>
      <c r="N24" s="154"/>
      <c r="O24" s="154"/>
      <c r="P24" s="154"/>
      <c r="Q24" s="154"/>
      <c r="R24" s="154"/>
      <c r="S24" s="154"/>
      <c r="T24" s="154"/>
      <c r="U24" s="154"/>
      <c r="V24" s="154"/>
      <c r="W24" s="154"/>
      <c r="X24" s="154"/>
      <c r="Y24" s="154"/>
      <c r="Z24" s="154"/>
      <c r="AA24" s="154"/>
      <c r="AB24" s="154"/>
      <c r="AC24" s="154"/>
      <c r="AD24" s="152">
        <v>100</v>
      </c>
      <c r="AE24" s="152" t="s">
        <v>343</v>
      </c>
      <c r="AF24" s="179"/>
      <c r="AG24" s="179"/>
      <c r="AH24" s="154" t="s">
        <v>328</v>
      </c>
      <c r="AI24" s="154" t="s">
        <v>329</v>
      </c>
      <c r="AJ24" s="154"/>
      <c r="AM24" s="35">
        <f t="shared" si="0"/>
        <v>18.432000000000002</v>
      </c>
      <c r="AN24" s="35">
        <f t="shared" si="1"/>
        <v>0</v>
      </c>
      <c r="AO24" s="35">
        <f>IF(ISBLANK($A24),,ROUNDDOWN(I24*AQ6*1.024,))</f>
        <v>129</v>
      </c>
      <c r="AP24" s="35">
        <f>IF(ISBLANK($A24),,ROUNDDOWN(L24*AQ6*1.024,))</f>
        <v>0</v>
      </c>
      <c r="AQ24" s="35">
        <f>IF(ISBLANK($A24),,ROUNDDOWN(N24*AQ6*1.024,))</f>
        <v>0</v>
      </c>
      <c r="AR24" s="35">
        <f>IF(ISBLANK($A24),,ROUNDDOWN(P24*AQ6*1.024,))</f>
        <v>0</v>
      </c>
      <c r="AS24" s="35">
        <f>IF(ISBLANK($A24),,ROUNDDOWN(R24*AQ6*1.024,))</f>
        <v>0</v>
      </c>
      <c r="AT24" s="35">
        <f t="shared" si="2"/>
        <v>0</v>
      </c>
      <c r="AU24" s="35">
        <f>IF(ISBLANK($A24),,ROUNDDOWN(V24*AQ6*1.024,))</f>
        <v>0</v>
      </c>
      <c r="AV24" s="35">
        <f>IF(ISBLANK($A24),,ROUNDDOWN(X24*AQ6*1.024,))</f>
        <v>0</v>
      </c>
    </row>
    <row r="25" spans="1:48">
      <c r="A25" s="35" t="s">
        <v>361</v>
      </c>
      <c r="C25" s="35" t="s">
        <v>333</v>
      </c>
      <c r="D25" s="35" t="s">
        <v>453</v>
      </c>
      <c r="E25" s="35" t="s">
        <v>71</v>
      </c>
      <c r="F25" s="154">
        <v>5</v>
      </c>
      <c r="G25" s="154">
        <v>7</v>
      </c>
      <c r="H25" s="154">
        <v>0</v>
      </c>
      <c r="I25" s="154">
        <v>41</v>
      </c>
      <c r="J25" s="154">
        <f t="shared" si="3"/>
        <v>7</v>
      </c>
      <c r="K25" s="154" t="s">
        <v>335</v>
      </c>
      <c r="L25" s="154"/>
      <c r="M25" s="154"/>
      <c r="N25" s="154"/>
      <c r="O25" s="154"/>
      <c r="P25" s="154"/>
      <c r="Q25" s="154"/>
      <c r="R25" s="154"/>
      <c r="S25" s="154"/>
      <c r="T25" s="154"/>
      <c r="U25" s="154"/>
      <c r="V25" s="154"/>
      <c r="W25" s="154"/>
      <c r="X25" s="154"/>
      <c r="Y25" s="154"/>
      <c r="Z25" s="154"/>
      <c r="AA25" s="154"/>
      <c r="AB25" s="154"/>
      <c r="AC25" s="154"/>
      <c r="AD25" s="154"/>
      <c r="AE25" s="154"/>
      <c r="AF25" s="180"/>
      <c r="AG25" s="180"/>
      <c r="AH25" s="154" t="s">
        <v>328</v>
      </c>
      <c r="AI25" s="154" t="s">
        <v>329</v>
      </c>
      <c r="AJ25" s="154"/>
      <c r="AM25" s="35">
        <f t="shared" si="0"/>
        <v>7.1680000000000001</v>
      </c>
      <c r="AN25" s="35">
        <f t="shared" si="1"/>
        <v>0</v>
      </c>
      <c r="AO25" s="35">
        <f>IF(ISBLANK($A25),,ROUNDDOWN(I25*AQ6*1.024,))</f>
        <v>37</v>
      </c>
      <c r="AP25" s="35">
        <f>IF(ISBLANK($A25),,ROUNDDOWN(L25*AQ6*1.024,))</f>
        <v>0</v>
      </c>
      <c r="AQ25" s="35">
        <f>IF(ISBLANK($A25),,ROUNDDOWN(N25*AQ6*1.024,))</f>
        <v>0</v>
      </c>
      <c r="AR25" s="35">
        <f>IF(ISBLANK($A25),,ROUNDDOWN(P25*AQ6*1.024,))</f>
        <v>0</v>
      </c>
      <c r="AS25" s="35">
        <f>IF(ISBLANK($A25),,ROUNDDOWN(R25*AQ6*1.024,))</f>
        <v>0</v>
      </c>
      <c r="AT25" s="35">
        <f t="shared" si="2"/>
        <v>0</v>
      </c>
      <c r="AU25" s="35">
        <f>IF(ISBLANK($A25),,ROUNDDOWN(V25*AQ6*1.024,))</f>
        <v>0</v>
      </c>
      <c r="AV25" s="35">
        <f>IF(ISBLANK($A25),,ROUNDDOWN(X25*AQ6*1.024,))</f>
        <v>0</v>
      </c>
    </row>
    <row r="26" spans="1:48">
      <c r="A26" s="35" t="s">
        <v>363</v>
      </c>
      <c r="C26" s="35" t="s">
        <v>333</v>
      </c>
      <c r="D26" s="35" t="s">
        <v>453</v>
      </c>
      <c r="E26" s="35" t="s">
        <v>71</v>
      </c>
      <c r="F26" s="154">
        <v>5</v>
      </c>
      <c r="G26" s="154">
        <v>7</v>
      </c>
      <c r="H26" s="154">
        <v>0</v>
      </c>
      <c r="I26" s="154">
        <v>41</v>
      </c>
      <c r="J26" s="154">
        <f t="shared" si="3"/>
        <v>7</v>
      </c>
      <c r="K26" s="154" t="s">
        <v>337</v>
      </c>
      <c r="L26" s="154"/>
      <c r="M26" s="154"/>
      <c r="N26" s="154"/>
      <c r="O26" s="154"/>
      <c r="P26" s="154"/>
      <c r="Q26" s="154"/>
      <c r="R26" s="154"/>
      <c r="S26" s="154"/>
      <c r="T26" s="154"/>
      <c r="U26" s="154"/>
      <c r="V26" s="154"/>
      <c r="W26" s="154"/>
      <c r="X26" s="154"/>
      <c r="Y26" s="154"/>
      <c r="Z26" s="154"/>
      <c r="AA26" s="154"/>
      <c r="AB26" s="154"/>
      <c r="AC26" s="154"/>
      <c r="AD26" s="154"/>
      <c r="AE26" s="154"/>
      <c r="AF26" s="180"/>
      <c r="AG26" s="180"/>
      <c r="AH26" s="154" t="s">
        <v>328</v>
      </c>
      <c r="AI26" s="154" t="s">
        <v>329</v>
      </c>
      <c r="AJ26" s="154"/>
      <c r="AM26" s="35">
        <f t="shared" si="0"/>
        <v>7.1680000000000001</v>
      </c>
      <c r="AN26" s="35">
        <f t="shared" si="1"/>
        <v>0</v>
      </c>
      <c r="AO26" s="35">
        <f>IF(ISBLANK($A26),,ROUNDDOWN(I26*AQ6*1.024,))</f>
        <v>37</v>
      </c>
      <c r="AP26" s="35">
        <f>IF(ISBLANK($A26),,ROUNDDOWN(L26*AQ6*1.024,))</f>
        <v>0</v>
      </c>
      <c r="AQ26" s="35">
        <f>IF(ISBLANK($A26),,ROUNDDOWN(N26*AQ6*1.024,))</f>
        <v>0</v>
      </c>
      <c r="AR26" s="35">
        <f>IF(ISBLANK($A26),,ROUNDDOWN(P26*AQ6*1.024,))</f>
        <v>0</v>
      </c>
      <c r="AS26" s="35">
        <f>IF(ISBLANK($A26),,ROUNDDOWN(R26*AQ6*1.024,))</f>
        <v>0</v>
      </c>
      <c r="AT26" s="35">
        <f t="shared" si="2"/>
        <v>0</v>
      </c>
      <c r="AU26" s="35">
        <f>IF(ISBLANK($A26),,ROUNDDOWN(V26*AQ6*1.024,))</f>
        <v>0</v>
      </c>
      <c r="AV26" s="35">
        <f>IF(ISBLANK($A26),,ROUNDDOWN(X26*AQ6*1.024,))</f>
        <v>0</v>
      </c>
    </row>
    <row r="27" spans="1:48">
      <c r="A27" s="35" t="s">
        <v>484</v>
      </c>
      <c r="C27" s="35" t="s">
        <v>333</v>
      </c>
      <c r="D27" s="35" t="s">
        <v>453</v>
      </c>
      <c r="E27" s="35" t="s">
        <v>73</v>
      </c>
      <c r="F27" s="154">
        <v>8</v>
      </c>
      <c r="G27" s="154">
        <v>34</v>
      </c>
      <c r="H27" s="154">
        <v>34</v>
      </c>
      <c r="I27" s="152">
        <v>136</v>
      </c>
      <c r="J27" s="154">
        <f t="shared" si="3"/>
        <v>0</v>
      </c>
      <c r="K27" s="154" t="s">
        <v>343</v>
      </c>
      <c r="L27" s="154"/>
      <c r="M27" s="154"/>
      <c r="N27" s="154"/>
      <c r="O27" s="154"/>
      <c r="P27" s="154"/>
      <c r="Q27" s="154"/>
      <c r="R27" s="154"/>
      <c r="S27" s="154"/>
      <c r="T27" s="154"/>
      <c r="U27" s="154"/>
      <c r="V27" s="154"/>
      <c r="W27" s="154"/>
      <c r="X27" s="154"/>
      <c r="Y27" s="154"/>
      <c r="Z27" s="154"/>
      <c r="AA27" s="154"/>
      <c r="AB27" s="154"/>
      <c r="AC27" s="154"/>
      <c r="AD27" s="154"/>
      <c r="AE27" s="154"/>
      <c r="AF27" s="180"/>
      <c r="AG27" s="180"/>
      <c r="AH27" s="154" t="s">
        <v>346</v>
      </c>
      <c r="AI27" s="152" t="s">
        <v>347</v>
      </c>
      <c r="AJ27" s="154"/>
      <c r="AM27" s="35">
        <f t="shared" si="0"/>
        <v>34.816000000000003</v>
      </c>
      <c r="AN27" s="35">
        <f t="shared" si="1"/>
        <v>34.816000000000003</v>
      </c>
      <c r="AO27" s="35">
        <f>IF(ISBLANK($A27),,ROUNDDOWN(I27*AQ6*1.024,))</f>
        <v>125</v>
      </c>
      <c r="AP27" s="35">
        <f>IF(ISBLANK($A27),,ROUNDDOWN(L27*AQ6*1.024,))</f>
        <v>0</v>
      </c>
      <c r="AQ27" s="35">
        <f>IF(ISBLANK($A27),,ROUNDDOWN(N27*AQ6*1.024,))</f>
        <v>0</v>
      </c>
      <c r="AR27" s="35">
        <f>IF(ISBLANK($A27),,ROUNDDOWN(P27*AQ6*1.024,))</f>
        <v>0</v>
      </c>
      <c r="AS27" s="35">
        <f>IF(ISBLANK($A27),,ROUNDDOWN(R27*AQ6*1.024,))</f>
        <v>0</v>
      </c>
      <c r="AT27" s="35">
        <f t="shared" si="2"/>
        <v>0</v>
      </c>
      <c r="AU27" s="35">
        <f>IF(ISBLANK($A27),,ROUNDDOWN(V27*AQ6*1.024,))</f>
        <v>0</v>
      </c>
      <c r="AV27" s="35">
        <f>IF(ISBLANK($A27),,ROUNDDOWN(X27*AQ6*1.024,))</f>
        <v>0</v>
      </c>
    </row>
    <row r="28" spans="1:48">
      <c r="A28" s="35" t="s">
        <v>485</v>
      </c>
      <c r="C28" s="35" t="s">
        <v>333</v>
      </c>
      <c r="D28" s="35" t="s">
        <v>453</v>
      </c>
      <c r="E28" s="35" t="s">
        <v>73</v>
      </c>
      <c r="F28" s="154">
        <v>8</v>
      </c>
      <c r="G28" s="154">
        <v>34</v>
      </c>
      <c r="H28" s="154">
        <v>34</v>
      </c>
      <c r="I28" s="176">
        <v>136</v>
      </c>
      <c r="J28" s="154">
        <f t="shared" si="3"/>
        <v>0</v>
      </c>
      <c r="K28" s="154" t="s">
        <v>335</v>
      </c>
      <c r="L28" s="154"/>
      <c r="M28" s="154"/>
      <c r="N28" s="154"/>
      <c r="O28" s="154"/>
      <c r="P28" s="154"/>
      <c r="Q28" s="154"/>
      <c r="R28" s="154"/>
      <c r="S28" s="154"/>
      <c r="T28" s="154"/>
      <c r="U28" s="154"/>
      <c r="V28" s="154"/>
      <c r="W28" s="154"/>
      <c r="X28" s="154"/>
      <c r="Y28" s="154"/>
      <c r="Z28" s="154"/>
      <c r="AA28" s="154"/>
      <c r="AB28" s="154"/>
      <c r="AC28" s="154"/>
      <c r="AD28" s="154"/>
      <c r="AE28" s="154"/>
      <c r="AF28" s="180"/>
      <c r="AG28" s="180"/>
      <c r="AH28" s="154" t="s">
        <v>346</v>
      </c>
      <c r="AI28" s="152" t="s">
        <v>347</v>
      </c>
      <c r="AJ28" s="154"/>
      <c r="AM28" s="35">
        <f t="shared" si="0"/>
        <v>34.816000000000003</v>
      </c>
      <c r="AN28" s="35">
        <f t="shared" si="1"/>
        <v>34.816000000000003</v>
      </c>
      <c r="AO28" s="35">
        <f>IF(ISBLANK($A28),,ROUNDDOWN(I28*AQ6*1.024,))</f>
        <v>125</v>
      </c>
      <c r="AP28" s="35">
        <f>IF(ISBLANK($A28),,ROUNDDOWN(L28*AQ6*1.024,))</f>
        <v>0</v>
      </c>
      <c r="AQ28" s="35">
        <f>IF(ISBLANK($A28),,ROUNDDOWN(N28*AQ6*1.024,))</f>
        <v>0</v>
      </c>
      <c r="AR28" s="35">
        <f>IF(ISBLANK($A28),,ROUNDDOWN(P28*AQ6*1.024,))</f>
        <v>0</v>
      </c>
      <c r="AS28" s="35">
        <f>IF(ISBLANK($A28),,ROUNDDOWN(R28*AQ6*1.024,))</f>
        <v>0</v>
      </c>
      <c r="AT28" s="35">
        <f t="shared" si="2"/>
        <v>0</v>
      </c>
      <c r="AU28" s="35">
        <f>IF(ISBLANK($A28),,ROUNDDOWN(V28*AQ6*1.024,))</f>
        <v>0</v>
      </c>
      <c r="AV28" s="35">
        <f>IF(ISBLANK($A28),,ROUNDDOWN(X28*AQ6*1.024,))</f>
        <v>0</v>
      </c>
    </row>
    <row r="29" spans="1:48">
      <c r="A29" s="35" t="s">
        <v>486</v>
      </c>
      <c r="C29" s="35" t="s">
        <v>333</v>
      </c>
      <c r="D29" s="35" t="s">
        <v>453</v>
      </c>
      <c r="E29" s="35" t="s">
        <v>73</v>
      </c>
      <c r="F29" s="154">
        <v>8</v>
      </c>
      <c r="G29" s="154">
        <v>34</v>
      </c>
      <c r="H29" s="154">
        <v>34</v>
      </c>
      <c r="I29" s="176">
        <v>136</v>
      </c>
      <c r="J29" s="154">
        <f t="shared" si="3"/>
        <v>0</v>
      </c>
      <c r="K29" s="154" t="s">
        <v>337</v>
      </c>
      <c r="L29" s="154"/>
      <c r="M29" s="154"/>
      <c r="N29" s="154"/>
      <c r="O29" s="154"/>
      <c r="P29" s="154"/>
      <c r="Q29" s="154"/>
      <c r="R29" s="154"/>
      <c r="S29" s="154"/>
      <c r="T29" s="154"/>
      <c r="U29" s="154"/>
      <c r="V29" s="154"/>
      <c r="W29" s="154"/>
      <c r="X29" s="154"/>
      <c r="Y29" s="154"/>
      <c r="Z29" s="154"/>
      <c r="AA29" s="154"/>
      <c r="AB29" s="154"/>
      <c r="AC29" s="154"/>
      <c r="AD29" s="154"/>
      <c r="AE29" s="154"/>
      <c r="AF29" s="180"/>
      <c r="AG29" s="180"/>
      <c r="AH29" s="154" t="s">
        <v>346</v>
      </c>
      <c r="AI29" s="152" t="s">
        <v>347</v>
      </c>
      <c r="AJ29" s="154"/>
      <c r="AM29" s="35">
        <f t="shared" si="0"/>
        <v>34.816000000000003</v>
      </c>
      <c r="AN29" s="35">
        <f t="shared" si="1"/>
        <v>34.816000000000003</v>
      </c>
      <c r="AO29" s="35">
        <f>IF(ISBLANK($A29),,ROUNDDOWN(I29*AQ6*1.024,))</f>
        <v>125</v>
      </c>
      <c r="AP29" s="35">
        <f>IF(ISBLANK($A29),,ROUNDDOWN(L29*AQ6*1.024,))</f>
        <v>0</v>
      </c>
      <c r="AQ29" s="35">
        <f>IF(ISBLANK($A29),,ROUNDDOWN(N29*AQ6*1.024,))</f>
        <v>0</v>
      </c>
      <c r="AR29" s="35">
        <f>IF(ISBLANK($A29),,ROUNDDOWN(P29*AQ6*1.024,))</f>
        <v>0</v>
      </c>
      <c r="AS29" s="35">
        <f>IF(ISBLANK($A29),,ROUNDDOWN(R29*AQ6*1.024,))</f>
        <v>0</v>
      </c>
      <c r="AT29" s="35">
        <f t="shared" si="2"/>
        <v>0</v>
      </c>
      <c r="AU29" s="35">
        <f>IF(ISBLANK($A29),,ROUNDDOWN(V29*AQ6*1.024,))</f>
        <v>0</v>
      </c>
      <c r="AV29" s="35">
        <f>IF(ISBLANK($A29),,ROUNDDOWN(X29*AQ6*1.024,))</f>
        <v>0</v>
      </c>
    </row>
    <row r="30" spans="1:48">
      <c r="A30" s="35" t="s">
        <v>487</v>
      </c>
      <c r="C30" s="35" t="s">
        <v>333</v>
      </c>
      <c r="D30" s="35" t="s">
        <v>453</v>
      </c>
      <c r="E30" s="35" t="s">
        <v>73</v>
      </c>
      <c r="F30" s="154">
        <v>8</v>
      </c>
      <c r="G30" s="154">
        <v>34</v>
      </c>
      <c r="H30" s="154">
        <v>34</v>
      </c>
      <c r="I30" s="176">
        <v>136</v>
      </c>
      <c r="J30" s="154">
        <f t="shared" si="3"/>
        <v>0</v>
      </c>
      <c r="K30" s="154" t="s">
        <v>343</v>
      </c>
      <c r="L30" s="154"/>
      <c r="M30" s="154"/>
      <c r="N30" s="154"/>
      <c r="O30" s="154"/>
      <c r="P30" s="154"/>
      <c r="Q30" s="154"/>
      <c r="R30" s="154"/>
      <c r="S30" s="154"/>
      <c r="T30" s="154"/>
      <c r="U30" s="154"/>
      <c r="V30" s="154"/>
      <c r="W30" s="154"/>
      <c r="X30" s="154"/>
      <c r="Y30" s="154"/>
      <c r="Z30" s="154"/>
      <c r="AA30" s="154"/>
      <c r="AB30" s="154"/>
      <c r="AC30" s="154"/>
      <c r="AD30" s="154"/>
      <c r="AE30" s="154"/>
      <c r="AF30" s="180"/>
      <c r="AG30" s="180"/>
      <c r="AH30" s="154" t="s">
        <v>346</v>
      </c>
      <c r="AI30" s="152" t="s">
        <v>347</v>
      </c>
      <c r="AJ30" s="154"/>
      <c r="AM30" s="35">
        <f t="shared" si="0"/>
        <v>34.816000000000003</v>
      </c>
      <c r="AN30" s="35">
        <f t="shared" si="1"/>
        <v>34.816000000000003</v>
      </c>
      <c r="AO30" s="35">
        <f>IF(ISBLANK($A30),,ROUNDDOWN(I30*AQ6*1.024,))</f>
        <v>125</v>
      </c>
      <c r="AP30" s="35">
        <f>IF(ISBLANK($A30),,ROUNDDOWN(L30*AQ6*1.024,))</f>
        <v>0</v>
      </c>
      <c r="AQ30" s="35">
        <f>IF(ISBLANK($A30),,ROUNDDOWN(N30*AQ6*1.024,))</f>
        <v>0</v>
      </c>
      <c r="AR30" s="35">
        <f>IF(ISBLANK($A30),,ROUNDDOWN(P30*AQ6*1.024,))</f>
        <v>0</v>
      </c>
      <c r="AS30" s="35">
        <f>IF(ISBLANK($A30),,ROUNDDOWN(R30*AQ6*1.024,))</f>
        <v>0</v>
      </c>
      <c r="AT30" s="35">
        <f t="shared" si="2"/>
        <v>0</v>
      </c>
      <c r="AU30" s="35">
        <f>IF(ISBLANK($A30),,ROUNDDOWN(V30*AQ6*1.024,))</f>
        <v>0</v>
      </c>
      <c r="AV30" s="35">
        <f>IF(ISBLANK($A30),,ROUNDDOWN(X30*AQ6*1.024,))</f>
        <v>0</v>
      </c>
    </row>
    <row r="31" spans="1:48">
      <c r="A31" s="35" t="s">
        <v>488</v>
      </c>
      <c r="C31" s="35" t="s">
        <v>333</v>
      </c>
      <c r="D31" s="35" t="s">
        <v>453</v>
      </c>
      <c r="E31" s="35" t="s">
        <v>73</v>
      </c>
      <c r="F31" s="154">
        <v>8</v>
      </c>
      <c r="G31" s="154">
        <v>34</v>
      </c>
      <c r="H31" s="154">
        <v>34</v>
      </c>
      <c r="I31" s="176">
        <v>136</v>
      </c>
      <c r="J31" s="154">
        <f t="shared" si="3"/>
        <v>0</v>
      </c>
      <c r="K31" s="154" t="s">
        <v>335</v>
      </c>
      <c r="L31" s="154"/>
      <c r="M31" s="154"/>
      <c r="N31" s="154"/>
      <c r="O31" s="154"/>
      <c r="P31" s="154"/>
      <c r="Q31" s="154"/>
      <c r="R31" s="154"/>
      <c r="S31" s="154"/>
      <c r="T31" s="154"/>
      <c r="U31" s="154"/>
      <c r="V31" s="154"/>
      <c r="W31" s="154"/>
      <c r="X31" s="154"/>
      <c r="Y31" s="154"/>
      <c r="Z31" s="154"/>
      <c r="AA31" s="154"/>
      <c r="AB31" s="154"/>
      <c r="AC31" s="154"/>
      <c r="AD31" s="154"/>
      <c r="AE31" s="154"/>
      <c r="AF31" s="180"/>
      <c r="AG31" s="180"/>
      <c r="AH31" s="154" t="s">
        <v>346</v>
      </c>
      <c r="AI31" s="152" t="s">
        <v>347</v>
      </c>
      <c r="AJ31" s="154"/>
      <c r="AM31" s="35">
        <f t="shared" si="0"/>
        <v>34.816000000000003</v>
      </c>
      <c r="AN31" s="35">
        <f t="shared" si="1"/>
        <v>34.816000000000003</v>
      </c>
      <c r="AO31" s="35">
        <f>IF(ISBLANK($A31),,ROUNDDOWN(I31*AQ6*1.024,))</f>
        <v>125</v>
      </c>
      <c r="AP31" s="35">
        <f>IF(ISBLANK($A31),,ROUNDDOWN(L31*AQ6*1.024,))</f>
        <v>0</v>
      </c>
      <c r="AQ31" s="35">
        <f>IF(ISBLANK($A31),,ROUNDDOWN(N31*AQ6*1.024,))</f>
        <v>0</v>
      </c>
      <c r="AR31" s="35">
        <f>IF(ISBLANK($A31),,ROUNDDOWN(P31*AQ6*1.024,))</f>
        <v>0</v>
      </c>
      <c r="AS31" s="35">
        <f>IF(ISBLANK($A31),,ROUNDDOWN(R31*AQ6*1.024,))</f>
        <v>0</v>
      </c>
      <c r="AT31" s="35">
        <f t="shared" si="2"/>
        <v>0</v>
      </c>
      <c r="AU31" s="35">
        <f>IF(ISBLANK($A31),,ROUNDDOWN(V31*AQ6*1.024,))</f>
        <v>0</v>
      </c>
      <c r="AV31" s="35">
        <f>IF(ISBLANK($A31),,ROUNDDOWN(X31*AQ6*1.024,))</f>
        <v>0</v>
      </c>
    </row>
    <row r="32" spans="1:48">
      <c r="A32" s="35" t="s">
        <v>489</v>
      </c>
      <c r="C32" s="35" t="s">
        <v>333</v>
      </c>
      <c r="D32" s="35" t="s">
        <v>453</v>
      </c>
      <c r="E32" s="35" t="s">
        <v>73</v>
      </c>
      <c r="F32" s="154">
        <v>8</v>
      </c>
      <c r="G32" s="154">
        <v>34</v>
      </c>
      <c r="H32" s="154">
        <v>34</v>
      </c>
      <c r="I32" s="176">
        <v>136</v>
      </c>
      <c r="J32" s="154">
        <f t="shared" si="3"/>
        <v>0</v>
      </c>
      <c r="K32" s="154" t="s">
        <v>337</v>
      </c>
      <c r="L32" s="154"/>
      <c r="M32" s="154"/>
      <c r="N32" s="154"/>
      <c r="O32" s="154"/>
      <c r="P32" s="154"/>
      <c r="Q32" s="154"/>
      <c r="R32" s="154"/>
      <c r="S32" s="154"/>
      <c r="T32" s="154"/>
      <c r="U32" s="154"/>
      <c r="V32" s="154"/>
      <c r="W32" s="154"/>
      <c r="X32" s="154"/>
      <c r="Y32" s="154"/>
      <c r="Z32" s="154"/>
      <c r="AA32" s="154"/>
      <c r="AB32" s="154"/>
      <c r="AC32" s="154"/>
      <c r="AD32" s="154"/>
      <c r="AE32" s="154"/>
      <c r="AF32" s="180"/>
      <c r="AG32" s="180"/>
      <c r="AH32" s="154" t="s">
        <v>346</v>
      </c>
      <c r="AI32" s="152" t="s">
        <v>347</v>
      </c>
      <c r="AJ32" s="154"/>
      <c r="AM32" s="35">
        <f t="shared" si="0"/>
        <v>34.816000000000003</v>
      </c>
      <c r="AN32" s="35">
        <f t="shared" si="1"/>
        <v>34.816000000000003</v>
      </c>
      <c r="AO32" s="35">
        <f>IF(ISBLANK($A32),,ROUNDDOWN(I32*AQ6*1.024,))</f>
        <v>125</v>
      </c>
      <c r="AP32" s="35">
        <f>IF(ISBLANK($A32),,ROUNDDOWN(L32*AQ6*1.024,))</f>
        <v>0</v>
      </c>
      <c r="AQ32" s="35">
        <f>IF(ISBLANK($A32),,ROUNDDOWN(N32*AQ6*1.024,))</f>
        <v>0</v>
      </c>
      <c r="AR32" s="35">
        <f>IF(ISBLANK($A32),,ROUNDDOWN(P32*AQ6*1.024,))</f>
        <v>0</v>
      </c>
      <c r="AS32" s="35">
        <f>IF(ISBLANK($A32),,ROUNDDOWN(R32*AQ6*1.024,))</f>
        <v>0</v>
      </c>
      <c r="AT32" s="35">
        <f t="shared" si="2"/>
        <v>0</v>
      </c>
      <c r="AU32" s="35">
        <f>IF(ISBLANK($A32),,ROUNDDOWN(V32*AQ6*1.024,))</f>
        <v>0</v>
      </c>
      <c r="AV32" s="35">
        <f>IF(ISBLANK($A32),,ROUNDDOWN(X32*AQ6*1.024,))</f>
        <v>0</v>
      </c>
    </row>
    <row r="33" spans="1:48">
      <c r="A33" s="35" t="s">
        <v>502</v>
      </c>
      <c r="C33" s="35" t="s">
        <v>333</v>
      </c>
      <c r="D33" s="35" t="s">
        <v>453</v>
      </c>
      <c r="E33" s="35" t="s">
        <v>73</v>
      </c>
      <c r="F33" s="154">
        <v>8</v>
      </c>
      <c r="G33" s="154">
        <v>34</v>
      </c>
      <c r="H33" s="154">
        <v>34</v>
      </c>
      <c r="I33" s="176">
        <v>136</v>
      </c>
      <c r="J33" s="154">
        <f t="shared" si="3"/>
        <v>0</v>
      </c>
      <c r="K33" s="154" t="s">
        <v>343</v>
      </c>
      <c r="L33" s="154"/>
      <c r="M33" s="154"/>
      <c r="N33" s="154"/>
      <c r="O33" s="154"/>
      <c r="P33" s="154"/>
      <c r="Q33" s="154"/>
      <c r="R33" s="154"/>
      <c r="S33" s="154"/>
      <c r="T33" s="154"/>
      <c r="U33" s="154"/>
      <c r="V33" s="154"/>
      <c r="W33" s="154"/>
      <c r="X33" s="154"/>
      <c r="Y33" s="154"/>
      <c r="Z33" s="154"/>
      <c r="AA33" s="154"/>
      <c r="AB33" s="154"/>
      <c r="AC33" s="154"/>
      <c r="AD33" s="154"/>
      <c r="AE33" s="154"/>
      <c r="AF33" s="180"/>
      <c r="AG33" s="180"/>
      <c r="AH33" s="154" t="s">
        <v>346</v>
      </c>
      <c r="AI33" s="152" t="s">
        <v>347</v>
      </c>
      <c r="AJ33" s="154"/>
      <c r="AM33" s="35">
        <f t="shared" si="0"/>
        <v>34.816000000000003</v>
      </c>
      <c r="AN33" s="35">
        <f t="shared" si="1"/>
        <v>34.816000000000003</v>
      </c>
      <c r="AO33" s="35">
        <f>IF(ISBLANK($A33),,ROUNDDOWN(I33*AQ6*1.024,))</f>
        <v>125</v>
      </c>
      <c r="AP33" s="35">
        <f>IF(ISBLANK($A33),,ROUNDDOWN(L33*AQ6*1.024,))</f>
        <v>0</v>
      </c>
      <c r="AQ33" s="35">
        <f>IF(ISBLANK($A33),,ROUNDDOWN(N33*AQ6*1.024,))</f>
        <v>0</v>
      </c>
      <c r="AR33" s="35">
        <f>IF(ISBLANK($A33),,ROUNDDOWN(P33*AQ6*1.024,))</f>
        <v>0</v>
      </c>
      <c r="AS33" s="35">
        <f>IF(ISBLANK($A33),,ROUNDDOWN(R33*AQ6*1.024,))</f>
        <v>0</v>
      </c>
      <c r="AT33" s="35">
        <f t="shared" si="2"/>
        <v>0</v>
      </c>
      <c r="AU33" s="35">
        <f>IF(ISBLANK($A33),,ROUNDDOWN(V33*AQ6*1.024,))</f>
        <v>0</v>
      </c>
      <c r="AV33" s="35">
        <f>IF(ISBLANK($A33),,ROUNDDOWN(X33*AQ6*1.024,))</f>
        <v>0</v>
      </c>
    </row>
    <row r="34" spans="1:48">
      <c r="A34" s="35" t="s">
        <v>503</v>
      </c>
      <c r="C34" s="35" t="s">
        <v>333</v>
      </c>
      <c r="D34" s="35" t="s">
        <v>453</v>
      </c>
      <c r="E34" s="35" t="s">
        <v>73</v>
      </c>
      <c r="F34" s="154">
        <v>8</v>
      </c>
      <c r="G34" s="154">
        <v>34</v>
      </c>
      <c r="H34" s="154">
        <v>34</v>
      </c>
      <c r="I34" s="176">
        <v>136</v>
      </c>
      <c r="J34" s="154">
        <f t="shared" si="3"/>
        <v>0</v>
      </c>
      <c r="K34" s="154" t="s">
        <v>335</v>
      </c>
      <c r="L34" s="154"/>
      <c r="M34" s="154"/>
      <c r="N34" s="154"/>
      <c r="O34" s="154"/>
      <c r="P34" s="154"/>
      <c r="Q34" s="154"/>
      <c r="R34" s="154"/>
      <c r="S34" s="154"/>
      <c r="T34" s="154"/>
      <c r="U34" s="154"/>
      <c r="V34" s="154"/>
      <c r="W34" s="154"/>
      <c r="X34" s="154"/>
      <c r="Y34" s="154"/>
      <c r="Z34" s="154"/>
      <c r="AA34" s="154"/>
      <c r="AB34" s="154"/>
      <c r="AC34" s="154"/>
      <c r="AD34" s="154"/>
      <c r="AE34" s="154"/>
      <c r="AF34" s="180"/>
      <c r="AG34" s="180"/>
      <c r="AH34" s="154" t="s">
        <v>346</v>
      </c>
      <c r="AI34" s="152" t="s">
        <v>347</v>
      </c>
      <c r="AJ34" s="154"/>
      <c r="AM34" s="35">
        <f t="shared" si="0"/>
        <v>34.816000000000003</v>
      </c>
      <c r="AN34" s="35">
        <f t="shared" si="1"/>
        <v>34.816000000000003</v>
      </c>
      <c r="AO34" s="35">
        <f>IF(ISBLANK($A34),,ROUNDDOWN(I34*AQ6*1.024,))</f>
        <v>125</v>
      </c>
      <c r="AP34" s="35">
        <f>IF(ISBLANK($A34),,ROUNDDOWN(L34*AQ6*1.024,))</f>
        <v>0</v>
      </c>
      <c r="AQ34" s="35">
        <f>IF(ISBLANK($A34),,ROUNDDOWN(N34*AQ6*1.024,))</f>
        <v>0</v>
      </c>
      <c r="AR34" s="35">
        <f>IF(ISBLANK($A34),,ROUNDDOWN(P34*AQ6*1.024,))</f>
        <v>0</v>
      </c>
      <c r="AS34" s="35">
        <f>IF(ISBLANK($A34),,ROUNDDOWN(R34*AQ6*1.024,))</f>
        <v>0</v>
      </c>
      <c r="AT34" s="35">
        <f t="shared" si="2"/>
        <v>0</v>
      </c>
      <c r="AU34" s="35">
        <f>IF(ISBLANK($A34),,ROUNDDOWN(V34*AQ6*1.024,))</f>
        <v>0</v>
      </c>
      <c r="AV34" s="35">
        <f>IF(ISBLANK($A34),,ROUNDDOWN(X34*AQ6*1.024,))</f>
        <v>0</v>
      </c>
    </row>
    <row r="35" spans="1:48">
      <c r="A35" s="35" t="s">
        <v>504</v>
      </c>
      <c r="C35" s="35" t="s">
        <v>333</v>
      </c>
      <c r="D35" s="39" t="s">
        <v>362</v>
      </c>
      <c r="E35" s="156" t="s">
        <v>75</v>
      </c>
      <c r="F35" s="154">
        <v>4</v>
      </c>
      <c r="G35" s="154">
        <v>4</v>
      </c>
      <c r="H35" s="154">
        <v>0</v>
      </c>
      <c r="I35" s="154">
        <v>100</v>
      </c>
      <c r="J35" s="154">
        <f t="shared" si="3"/>
        <v>4</v>
      </c>
      <c r="K35" s="154" t="s">
        <v>337</v>
      </c>
      <c r="L35" s="154"/>
      <c r="M35" s="154"/>
      <c r="N35" s="154"/>
      <c r="O35" s="154"/>
      <c r="P35" s="154"/>
      <c r="Q35" s="154"/>
      <c r="R35" s="154"/>
      <c r="S35" s="154"/>
      <c r="T35" s="154"/>
      <c r="U35" s="154"/>
      <c r="V35" s="154"/>
      <c r="W35" s="154"/>
      <c r="X35" s="154"/>
      <c r="Y35" s="154"/>
      <c r="Z35" s="154"/>
      <c r="AA35" s="154"/>
      <c r="AB35" s="154"/>
      <c r="AC35" s="154"/>
      <c r="AD35" s="154"/>
      <c r="AE35" s="154"/>
      <c r="AF35" s="180"/>
      <c r="AG35" s="180"/>
      <c r="AH35" s="154" t="s">
        <v>328</v>
      </c>
      <c r="AI35" s="154" t="s">
        <v>329</v>
      </c>
      <c r="AJ35" s="154"/>
      <c r="AM35" s="35">
        <f t="shared" si="0"/>
        <v>4.0960000000000001</v>
      </c>
      <c r="AN35" s="35">
        <f t="shared" si="1"/>
        <v>0</v>
      </c>
      <c r="AO35" s="35">
        <f>IF(ISBLANK($A35),,ROUNDDOWN(I35*AQ6*1.024,))</f>
        <v>92</v>
      </c>
      <c r="AP35" s="35">
        <f>IF(ISBLANK($A35),,ROUNDDOWN(L35*AQ6*1.024,))</f>
        <v>0</v>
      </c>
      <c r="AQ35" s="35">
        <f>IF(ISBLANK($A35),,ROUNDDOWN(N35*AQ6*1.024,))</f>
        <v>0</v>
      </c>
      <c r="AR35" s="35">
        <f>IF(ISBLANK($A35),,ROUNDDOWN(P35*AQ6*1.024,))</f>
        <v>0</v>
      </c>
      <c r="AS35" s="35">
        <f>IF(ISBLANK($A35),,ROUNDDOWN(R35*AQ6*1.024,))</f>
        <v>0</v>
      </c>
      <c r="AT35" s="35">
        <f t="shared" si="2"/>
        <v>0</v>
      </c>
      <c r="AU35" s="35">
        <f>IF(ISBLANK($A35),,ROUNDDOWN(V35*AQ6*1.024,))</f>
        <v>0</v>
      </c>
      <c r="AV35" s="35">
        <f>IF(ISBLANK($A35),,ROUNDDOWN(X35*AQ6*1.024,))</f>
        <v>0</v>
      </c>
    </row>
    <row r="36" spans="1:48">
      <c r="A36" s="35" t="s">
        <v>505</v>
      </c>
      <c r="C36" s="35" t="s">
        <v>333</v>
      </c>
      <c r="D36" s="39" t="s">
        <v>362</v>
      </c>
      <c r="E36" s="156" t="s">
        <v>79</v>
      </c>
      <c r="F36" s="154">
        <v>4</v>
      </c>
      <c r="G36" s="154">
        <v>16</v>
      </c>
      <c r="H36" s="154">
        <v>0</v>
      </c>
      <c r="I36" s="152">
        <v>110</v>
      </c>
      <c r="J36" s="154">
        <f t="shared" si="3"/>
        <v>16</v>
      </c>
      <c r="K36" s="154" t="s">
        <v>343</v>
      </c>
      <c r="L36" s="154"/>
      <c r="M36" s="154"/>
      <c r="N36" s="154"/>
      <c r="O36" s="154"/>
      <c r="P36" s="154"/>
      <c r="Q36" s="154"/>
      <c r="R36" s="154"/>
      <c r="S36" s="154"/>
      <c r="T36" s="154"/>
      <c r="U36" s="154"/>
      <c r="V36" s="154"/>
      <c r="W36" s="154"/>
      <c r="X36" s="154"/>
      <c r="Y36" s="154"/>
      <c r="Z36" s="154"/>
      <c r="AA36" s="154"/>
      <c r="AB36" s="154"/>
      <c r="AC36" s="154"/>
      <c r="AD36" s="154"/>
      <c r="AE36" s="154"/>
      <c r="AF36" s="180"/>
      <c r="AG36" s="180"/>
      <c r="AH36" s="154" t="s">
        <v>328</v>
      </c>
      <c r="AI36" s="154" t="s">
        <v>329</v>
      </c>
      <c r="AJ36" s="154"/>
      <c r="AM36" s="35">
        <f t="shared" si="0"/>
        <v>16.384</v>
      </c>
      <c r="AN36" s="35">
        <f t="shared" si="1"/>
        <v>0</v>
      </c>
      <c r="AO36" s="35">
        <f>IF(ISBLANK($A36),,ROUNDDOWN(I36*AQ6*1.024,))</f>
        <v>101</v>
      </c>
      <c r="AP36" s="35">
        <f>IF(ISBLANK($A36),,ROUNDDOWN(L36*AQ6*1.024,))</f>
        <v>0</v>
      </c>
      <c r="AQ36" s="35">
        <f>IF(ISBLANK($A36),,ROUNDDOWN(N36*AQ6*1.024,))</f>
        <v>0</v>
      </c>
      <c r="AR36" s="35">
        <f>IF(ISBLANK($A36),,ROUNDDOWN(P36*AQ6*1.024,))</f>
        <v>0</v>
      </c>
      <c r="AS36" s="35">
        <f>IF(ISBLANK($A36),,ROUNDDOWN(R36*AQ6*1.024,))</f>
        <v>0</v>
      </c>
      <c r="AT36" s="35">
        <f t="shared" si="2"/>
        <v>0</v>
      </c>
      <c r="AU36" s="35">
        <f>IF(ISBLANK($A36),,ROUNDDOWN(V36*AQ6*1.024,))</f>
        <v>0</v>
      </c>
      <c r="AV36" s="35">
        <f>IF(ISBLANK($A36),,ROUNDDOWN(X36*AQ6*1.024,))</f>
        <v>0</v>
      </c>
    </row>
    <row r="37" spans="1:48">
      <c r="A37" s="35" t="s">
        <v>364</v>
      </c>
      <c r="C37" s="35" t="s">
        <v>333</v>
      </c>
      <c r="D37" s="39" t="s">
        <v>362</v>
      </c>
      <c r="E37" s="156" t="s">
        <v>77</v>
      </c>
      <c r="F37" s="154">
        <v>4</v>
      </c>
      <c r="G37" s="154">
        <v>14</v>
      </c>
      <c r="H37" s="154">
        <v>0</v>
      </c>
      <c r="I37" s="154">
        <v>100</v>
      </c>
      <c r="J37" s="154">
        <f t="shared" si="3"/>
        <v>14</v>
      </c>
      <c r="K37" s="152" t="s">
        <v>337</v>
      </c>
      <c r="L37" s="154"/>
      <c r="M37" s="154"/>
      <c r="N37" s="154"/>
      <c r="O37" s="154"/>
      <c r="P37" s="154"/>
      <c r="Q37" s="154"/>
      <c r="R37" s="154"/>
      <c r="S37" s="154"/>
      <c r="T37" s="154"/>
      <c r="U37" s="154"/>
      <c r="V37" s="154"/>
      <c r="W37" s="154"/>
      <c r="X37" s="154"/>
      <c r="Y37" s="154"/>
      <c r="Z37" s="154"/>
      <c r="AA37" s="154"/>
      <c r="AB37" s="154"/>
      <c r="AC37" s="154"/>
      <c r="AD37" s="154"/>
      <c r="AE37" s="154"/>
      <c r="AF37" s="180"/>
      <c r="AG37" s="180"/>
      <c r="AH37" s="154" t="s">
        <v>328</v>
      </c>
      <c r="AI37" s="154" t="s">
        <v>329</v>
      </c>
      <c r="AJ37" s="154"/>
      <c r="AM37" s="35">
        <f t="shared" si="0"/>
        <v>14.336</v>
      </c>
      <c r="AN37" s="35">
        <f t="shared" si="1"/>
        <v>0</v>
      </c>
      <c r="AO37" s="35">
        <f>IF(ISBLANK($A37),,ROUNDDOWN(I37*AQ6*1.024,))</f>
        <v>92</v>
      </c>
      <c r="AP37" s="35">
        <f>IF(ISBLANK($A37),,ROUNDDOWN(L37*AQ6*1.024,))</f>
        <v>0</v>
      </c>
      <c r="AQ37" s="35">
        <f>IF(ISBLANK($A37),,ROUNDDOWN(N37*AQ6*1.024,))</f>
        <v>0</v>
      </c>
      <c r="AR37" s="35">
        <f>IF(ISBLANK($A37),,ROUNDDOWN(P37*AQ6*1.024,))</f>
        <v>0</v>
      </c>
      <c r="AS37" s="35">
        <f>IF(ISBLANK($A37),,ROUNDDOWN(R37*AQ6*1.024,))</f>
        <v>0</v>
      </c>
      <c r="AT37" s="35">
        <f t="shared" si="2"/>
        <v>0</v>
      </c>
      <c r="AU37" s="35">
        <f>IF(ISBLANK($A37),,ROUNDDOWN(V37*AQ6*1.024,))</f>
        <v>0</v>
      </c>
      <c r="AV37" s="35">
        <f>IF(ISBLANK($A37),,ROUNDDOWN(X37*AQ6*1.024,))</f>
        <v>0</v>
      </c>
    </row>
    <row r="38" spans="1:48">
      <c r="A38" s="35" t="s">
        <v>365</v>
      </c>
      <c r="B38" s="154"/>
      <c r="C38" s="35" t="s">
        <v>333</v>
      </c>
      <c r="D38" s="35" t="s">
        <v>453</v>
      </c>
      <c r="E38" s="35" t="s">
        <v>81</v>
      </c>
      <c r="F38" s="154">
        <v>9</v>
      </c>
      <c r="G38" s="154">
        <v>12</v>
      </c>
      <c r="H38" s="154">
        <v>0</v>
      </c>
      <c r="I38" s="154">
        <v>56</v>
      </c>
      <c r="J38" s="154">
        <f t="shared" si="3"/>
        <v>12</v>
      </c>
      <c r="K38" s="154" t="s">
        <v>335</v>
      </c>
      <c r="L38" s="154"/>
      <c r="M38" s="154"/>
      <c r="N38" s="154"/>
      <c r="O38" s="154"/>
      <c r="P38" s="154"/>
      <c r="Q38" s="154"/>
      <c r="R38" s="154"/>
      <c r="S38" s="154"/>
      <c r="T38" s="154"/>
      <c r="U38" s="154"/>
      <c r="V38" s="154"/>
      <c r="W38" s="154"/>
      <c r="X38" s="154"/>
      <c r="Y38" s="154"/>
      <c r="Z38" s="154">
        <v>75</v>
      </c>
      <c r="AA38" s="154" t="s">
        <v>366</v>
      </c>
      <c r="AB38" s="154"/>
      <c r="AC38" s="154"/>
      <c r="AD38" s="154"/>
      <c r="AE38" s="154"/>
      <c r="AF38" s="180"/>
      <c r="AG38" s="180"/>
      <c r="AH38" s="154" t="s">
        <v>328</v>
      </c>
      <c r="AI38" s="154" t="s">
        <v>329</v>
      </c>
      <c r="AJ38" s="154"/>
      <c r="AM38" s="35">
        <f t="shared" si="0"/>
        <v>12.288</v>
      </c>
      <c r="AN38" s="35">
        <f t="shared" si="1"/>
        <v>0</v>
      </c>
      <c r="AO38" s="35">
        <f>IF(ISBLANK($A38),,ROUNDDOWN(I38*AQ6*1.024,))</f>
        <v>51</v>
      </c>
      <c r="AP38" s="35">
        <f>IF(ISBLANK($A38),,ROUNDDOWN(L38*AQ6*1.024,))</f>
        <v>0</v>
      </c>
      <c r="AQ38" s="35">
        <f>IF(ISBLANK($A38),,ROUNDDOWN(N38*AQ6*1.024,))</f>
        <v>0</v>
      </c>
      <c r="AR38" s="35">
        <f>IF(ISBLANK($A38),,ROUNDDOWN(P38*AQ6*1.024,))</f>
        <v>0</v>
      </c>
      <c r="AS38" s="35">
        <f>IF(ISBLANK($A38),,ROUNDDOWN(R38*AQ6*1.024,))</f>
        <v>0</v>
      </c>
      <c r="AT38" s="35">
        <f t="shared" si="2"/>
        <v>0</v>
      </c>
      <c r="AU38" s="35">
        <f>IF(ISBLANK($A38),,ROUNDDOWN(V38*AQ6*1.024,))</f>
        <v>0</v>
      </c>
      <c r="AV38" s="35">
        <f>IF(ISBLANK($A38),,ROUNDDOWN(X38*AQ6*1.024,))</f>
        <v>0</v>
      </c>
    </row>
    <row r="39" spans="1:48">
      <c r="A39" s="35" t="s">
        <v>367</v>
      </c>
      <c r="C39" s="35" t="s">
        <v>333</v>
      </c>
      <c r="D39" s="35" t="s">
        <v>453</v>
      </c>
      <c r="E39" s="35" t="s">
        <v>81</v>
      </c>
      <c r="F39" s="154">
        <v>9</v>
      </c>
      <c r="G39" s="154">
        <v>12</v>
      </c>
      <c r="H39" s="154">
        <v>0</v>
      </c>
      <c r="I39" s="177">
        <v>56</v>
      </c>
      <c r="J39" s="154">
        <f t="shared" si="3"/>
        <v>12</v>
      </c>
      <c r="K39" s="154" t="s">
        <v>337</v>
      </c>
      <c r="L39" s="154"/>
      <c r="M39" s="154"/>
      <c r="N39" s="154"/>
      <c r="O39" s="154"/>
      <c r="P39" s="154"/>
      <c r="Q39" s="154"/>
      <c r="R39" s="154"/>
      <c r="S39" s="154"/>
      <c r="T39" s="154"/>
      <c r="U39" s="154"/>
      <c r="V39" s="154"/>
      <c r="W39" s="154"/>
      <c r="X39" s="154"/>
      <c r="Y39" s="154"/>
      <c r="Z39" s="154">
        <v>75</v>
      </c>
      <c r="AA39" s="154" t="s">
        <v>366</v>
      </c>
      <c r="AB39" s="154"/>
      <c r="AC39" s="154"/>
      <c r="AD39" s="154"/>
      <c r="AE39" s="154"/>
      <c r="AF39" s="180"/>
      <c r="AG39" s="180"/>
      <c r="AH39" s="154" t="s">
        <v>328</v>
      </c>
      <c r="AI39" s="154" t="s">
        <v>329</v>
      </c>
      <c r="AJ39" s="154"/>
      <c r="AM39" s="35">
        <f t="shared" si="0"/>
        <v>12.288</v>
      </c>
      <c r="AN39" s="35">
        <f t="shared" si="1"/>
        <v>0</v>
      </c>
      <c r="AO39" s="35">
        <f>IF(ISBLANK($A39),,ROUNDDOWN(I39*AQ6*1.024,))</f>
        <v>51</v>
      </c>
      <c r="AP39" s="35">
        <f>IF(ISBLANK($A39),,ROUNDDOWN(L39*AQ6*1.024,))</f>
        <v>0</v>
      </c>
      <c r="AQ39" s="35">
        <f>IF(ISBLANK($A39),,ROUNDDOWN(N39*AQ6*1.024,))</f>
        <v>0</v>
      </c>
      <c r="AR39" s="35">
        <f>IF(ISBLANK($A39),,ROUNDDOWN(P39*AQ6*1.024,))</f>
        <v>0</v>
      </c>
      <c r="AS39" s="35">
        <f>IF(ISBLANK($A39),,ROUNDDOWN(R39*AQ6*1.024,))</f>
        <v>0</v>
      </c>
      <c r="AT39" s="35">
        <f t="shared" si="2"/>
        <v>0</v>
      </c>
      <c r="AU39" s="35">
        <f>IF(ISBLANK($A39),,ROUNDDOWN(V39*AQ6*1.024,))</f>
        <v>0</v>
      </c>
      <c r="AV39" s="35">
        <f>IF(ISBLANK($A39),,ROUNDDOWN(X39*AQ6*1.024,))</f>
        <v>0</v>
      </c>
    </row>
    <row r="40" spans="1:48">
      <c r="A40" s="35" t="s">
        <v>506</v>
      </c>
      <c r="C40" s="35" t="s">
        <v>333</v>
      </c>
      <c r="D40" s="35" t="s">
        <v>453</v>
      </c>
      <c r="E40" s="35" t="s">
        <v>81</v>
      </c>
      <c r="F40" s="154">
        <v>9</v>
      </c>
      <c r="G40" s="154">
        <v>12</v>
      </c>
      <c r="H40" s="154">
        <v>0</v>
      </c>
      <c r="I40" s="177">
        <v>56</v>
      </c>
      <c r="J40" s="154">
        <f t="shared" si="3"/>
        <v>12</v>
      </c>
      <c r="K40" s="154" t="s">
        <v>343</v>
      </c>
      <c r="L40" s="154"/>
      <c r="M40" s="154"/>
      <c r="N40" s="154"/>
      <c r="O40" s="154"/>
      <c r="P40" s="154"/>
      <c r="Q40" s="154"/>
      <c r="R40" s="154"/>
      <c r="S40" s="154"/>
      <c r="T40" s="154"/>
      <c r="U40" s="154"/>
      <c r="V40" s="154"/>
      <c r="W40" s="154"/>
      <c r="X40" s="154"/>
      <c r="Y40" s="154"/>
      <c r="Z40" s="154">
        <v>75</v>
      </c>
      <c r="AA40" s="154" t="s">
        <v>366</v>
      </c>
      <c r="AB40" s="154"/>
      <c r="AC40" s="154"/>
      <c r="AD40" s="154"/>
      <c r="AE40" s="154"/>
      <c r="AF40" s="180"/>
      <c r="AG40" s="180"/>
      <c r="AH40" s="154" t="s">
        <v>328</v>
      </c>
      <c r="AI40" s="154" t="s">
        <v>329</v>
      </c>
      <c r="AJ40" s="154"/>
      <c r="AM40" s="35">
        <f t="shared" si="0"/>
        <v>12.288</v>
      </c>
      <c r="AN40" s="35">
        <f t="shared" si="1"/>
        <v>0</v>
      </c>
      <c r="AO40" s="35">
        <f>IF(ISBLANK($A40),,ROUNDDOWN(I40*AQ6*1.024,))</f>
        <v>51</v>
      </c>
      <c r="AP40" s="35">
        <f>IF(ISBLANK($A40),,ROUNDDOWN(L40*AQ6*1.024,))</f>
        <v>0</v>
      </c>
      <c r="AQ40" s="35">
        <f>IF(ISBLANK($A40),,ROUNDDOWN(N40*AQ6*1.024,))</f>
        <v>0</v>
      </c>
      <c r="AR40" s="35">
        <f>IF(ISBLANK($A40),,ROUNDDOWN(P40*AQ6*1.024,))</f>
        <v>0</v>
      </c>
      <c r="AS40" s="35">
        <f>IF(ISBLANK($A40),,ROUNDDOWN(R40*AQ6*1.024,))</f>
        <v>0</v>
      </c>
      <c r="AT40" s="35">
        <f t="shared" si="2"/>
        <v>0</v>
      </c>
      <c r="AU40" s="35">
        <f>IF(ISBLANK($A40),,ROUNDDOWN(V40*AQ6*1.024,))</f>
        <v>0</v>
      </c>
      <c r="AV40" s="35">
        <f>IF(ISBLANK($A40),,ROUNDDOWN(X40*AQ6*1.024,))</f>
        <v>0</v>
      </c>
    </row>
    <row r="41" spans="1:48">
      <c r="A41" s="35" t="s">
        <v>507</v>
      </c>
      <c r="C41" s="35" t="s">
        <v>333</v>
      </c>
      <c r="D41" s="35" t="s">
        <v>453</v>
      </c>
      <c r="E41" s="35" t="s">
        <v>81</v>
      </c>
      <c r="F41" s="154">
        <v>9</v>
      </c>
      <c r="G41" s="154">
        <v>12</v>
      </c>
      <c r="H41" s="154">
        <v>0</v>
      </c>
      <c r="I41" s="177">
        <v>56</v>
      </c>
      <c r="J41" s="154">
        <f t="shared" si="3"/>
        <v>12</v>
      </c>
      <c r="K41" s="154" t="s">
        <v>335</v>
      </c>
      <c r="L41" s="154"/>
      <c r="M41" s="154"/>
      <c r="N41" s="154"/>
      <c r="O41" s="154"/>
      <c r="P41" s="154"/>
      <c r="Q41" s="154"/>
      <c r="R41" s="154"/>
      <c r="S41" s="154"/>
      <c r="T41" s="154"/>
      <c r="U41" s="154"/>
      <c r="V41" s="154"/>
      <c r="W41" s="154"/>
      <c r="X41" s="154"/>
      <c r="Y41" s="154"/>
      <c r="Z41" s="154">
        <v>75</v>
      </c>
      <c r="AA41" s="154" t="s">
        <v>366</v>
      </c>
      <c r="AB41" s="154"/>
      <c r="AC41" s="154"/>
      <c r="AD41" s="154"/>
      <c r="AE41" s="154"/>
      <c r="AF41" s="180"/>
      <c r="AG41" s="180"/>
      <c r="AH41" s="154" t="s">
        <v>328</v>
      </c>
      <c r="AI41" s="154" t="s">
        <v>329</v>
      </c>
      <c r="AJ41" s="154"/>
      <c r="AM41" s="35">
        <f t="shared" si="0"/>
        <v>12.288</v>
      </c>
      <c r="AN41" s="35">
        <f t="shared" si="1"/>
        <v>0</v>
      </c>
      <c r="AO41" s="35">
        <f>IF(ISBLANK($A41),,ROUNDDOWN(I41*AQ6*1.024,))</f>
        <v>51</v>
      </c>
      <c r="AP41" s="35">
        <f>IF(ISBLANK($A41),,ROUNDDOWN(L41*AQ6*1.024,))</f>
        <v>0</v>
      </c>
      <c r="AQ41" s="35">
        <f>IF(ISBLANK($A41),,ROUNDDOWN(N41*AQ6*1.024,))</f>
        <v>0</v>
      </c>
      <c r="AR41" s="35">
        <f>IF(ISBLANK($A41),,ROUNDDOWN(P41*AQ6*1.024,))</f>
        <v>0</v>
      </c>
      <c r="AS41" s="35">
        <f>IF(ISBLANK($A41),,ROUNDDOWN(R41*AQ6*1.024,))</f>
        <v>0</v>
      </c>
      <c r="AT41" s="35">
        <f t="shared" si="2"/>
        <v>0</v>
      </c>
      <c r="AU41" s="35">
        <f>IF(ISBLANK($A41),,ROUNDDOWN(V41*AQ6*1.024,))</f>
        <v>0</v>
      </c>
      <c r="AV41" s="35">
        <f>IF(ISBLANK($A41),,ROUNDDOWN(X41*AQ6*1.024,))</f>
        <v>0</v>
      </c>
    </row>
    <row r="42" spans="1:48">
      <c r="A42" s="35" t="s">
        <v>368</v>
      </c>
      <c r="C42" s="35" t="s">
        <v>333</v>
      </c>
      <c r="D42" s="35" t="s">
        <v>453</v>
      </c>
      <c r="E42" s="35" t="s">
        <v>369</v>
      </c>
      <c r="F42" s="154">
        <v>4</v>
      </c>
      <c r="G42" s="154">
        <v>4</v>
      </c>
      <c r="H42" s="154">
        <v>0</v>
      </c>
      <c r="I42" s="154">
        <v>41</v>
      </c>
      <c r="J42" s="154">
        <f>G42-H42</f>
        <v>4</v>
      </c>
      <c r="K42" s="154" t="s">
        <v>343</v>
      </c>
      <c r="L42" s="154"/>
      <c r="M42" s="154"/>
      <c r="N42" s="154"/>
      <c r="O42" s="154"/>
      <c r="P42" s="154"/>
      <c r="Q42" s="154"/>
      <c r="R42" s="154"/>
      <c r="S42" s="154"/>
      <c r="T42" s="154"/>
      <c r="U42" s="154"/>
      <c r="V42" s="154"/>
      <c r="W42" s="154"/>
      <c r="X42" s="154"/>
      <c r="Y42" s="154"/>
      <c r="Z42" s="154"/>
      <c r="AA42" s="154"/>
      <c r="AB42" s="154"/>
      <c r="AC42" s="154"/>
      <c r="AD42" s="154"/>
      <c r="AE42" s="154"/>
      <c r="AF42" s="180"/>
      <c r="AG42" s="180"/>
      <c r="AH42" s="154" t="s">
        <v>328</v>
      </c>
      <c r="AI42" s="154" t="s">
        <v>329</v>
      </c>
      <c r="AJ42" s="154"/>
      <c r="AM42" s="35">
        <f t="shared" si="0"/>
        <v>4.0960000000000001</v>
      </c>
      <c r="AN42" s="35">
        <f t="shared" si="1"/>
        <v>0</v>
      </c>
      <c r="AO42" s="35">
        <f>IF(ISBLANK($A42),,ROUNDDOWN(I42*AQ6*1.024,))</f>
        <v>37</v>
      </c>
      <c r="AP42" s="35">
        <f>IF(ISBLANK($A42),,ROUNDDOWN(L42*AQ6*1.024,))</f>
        <v>0</v>
      </c>
      <c r="AQ42" s="35">
        <f>IF(ISBLANK($A42),,ROUNDDOWN(N42*AQ6*1.024,))</f>
        <v>0</v>
      </c>
      <c r="AR42" s="35">
        <f>IF(ISBLANK($A42),,ROUNDDOWN(P42*AQ6*1.024,))</f>
        <v>0</v>
      </c>
      <c r="AS42" s="35">
        <f>IF(ISBLANK($A42),,ROUNDDOWN(R42*AQ6*1.024,))</f>
        <v>0</v>
      </c>
      <c r="AT42" s="35">
        <f t="shared" si="2"/>
        <v>0</v>
      </c>
      <c r="AU42" s="35">
        <f>IF(ISBLANK($A42),,ROUNDDOWN(V42*AQ6*1.024,))</f>
        <v>0</v>
      </c>
      <c r="AV42" s="35">
        <f>IF(ISBLANK($A42),,ROUNDDOWN(X42*AQ6*1.024,))</f>
        <v>0</v>
      </c>
    </row>
    <row r="43" spans="1:48">
      <c r="A43" s="35" t="s">
        <v>370</v>
      </c>
      <c r="C43" s="35" t="s">
        <v>333</v>
      </c>
      <c r="D43" s="35" t="s">
        <v>453</v>
      </c>
      <c r="E43" s="35" t="s">
        <v>371</v>
      </c>
      <c r="F43" s="154">
        <v>4</v>
      </c>
      <c r="G43" s="154">
        <v>4</v>
      </c>
      <c r="H43" s="154">
        <v>0</v>
      </c>
      <c r="I43" s="154">
        <v>41</v>
      </c>
      <c r="J43" s="154">
        <f>G43-H43</f>
        <v>4</v>
      </c>
      <c r="K43" s="154" t="s">
        <v>343</v>
      </c>
      <c r="L43" s="154"/>
      <c r="M43" s="154"/>
      <c r="N43" s="154"/>
      <c r="O43" s="154"/>
      <c r="P43" s="154"/>
      <c r="Q43" s="154"/>
      <c r="R43" s="154"/>
      <c r="S43" s="154"/>
      <c r="T43" s="154"/>
      <c r="U43" s="154"/>
      <c r="V43" s="154"/>
      <c r="W43" s="154"/>
      <c r="X43" s="154"/>
      <c r="Y43" s="36"/>
      <c r="Z43" s="36"/>
      <c r="AA43" s="36"/>
      <c r="AB43" s="36"/>
      <c r="AC43" s="36"/>
      <c r="AD43" s="36"/>
      <c r="AE43" s="36"/>
      <c r="AF43" s="36"/>
      <c r="AG43" s="36"/>
      <c r="AH43" s="36" t="s">
        <v>328</v>
      </c>
      <c r="AI43" s="36" t="s">
        <v>329</v>
      </c>
      <c r="AJ43" s="36"/>
      <c r="AK43" s="42"/>
      <c r="AL43" s="42"/>
      <c r="AM43" s="42">
        <f t="shared" si="0"/>
        <v>4.0960000000000001</v>
      </c>
      <c r="AN43" s="42">
        <f t="shared" si="1"/>
        <v>0</v>
      </c>
      <c r="AO43" s="42">
        <f>IF(ISBLANK($A43),,ROUNDDOWN(I43*AQ6*1.024,))</f>
        <v>37</v>
      </c>
      <c r="AP43" s="42">
        <f>IF(ISBLANK($A43),,ROUNDDOWN(L43*AQ6*1.024,))</f>
        <v>0</v>
      </c>
      <c r="AQ43" s="42">
        <f>IF(ISBLANK($A43),,ROUNDDOWN(N43*AQ6*1.024,))</f>
        <v>0</v>
      </c>
      <c r="AR43" s="42">
        <f>IF(ISBLANK($A43),,ROUNDDOWN(P43*AQ6*1.024,))</f>
        <v>0</v>
      </c>
      <c r="AS43" s="42">
        <f>IF(ISBLANK($A43),,ROUNDDOWN(R43*AQ6*1.024,))</f>
        <v>0</v>
      </c>
      <c r="AT43" s="42">
        <f t="shared" si="2"/>
        <v>0</v>
      </c>
      <c r="AU43" s="42">
        <f>IF(ISBLANK($A43),,ROUNDDOWN(V43*AQ6*1.024,))</f>
        <v>0</v>
      </c>
      <c r="AV43" s="42">
        <f>IF(ISBLANK($A43),,ROUNDDOWN(X43*AQ6*1.024,))</f>
        <v>0</v>
      </c>
    </row>
    <row r="44" spans="1:48">
      <c r="A44" s="43"/>
      <c r="B44" s="43"/>
      <c r="C44" s="43"/>
      <c r="D44" s="43"/>
      <c r="E44" s="43"/>
      <c r="F44" s="44">
        <f>SUM(F8:F43)</f>
        <v>239</v>
      </c>
      <c r="G44" s="44">
        <f>SUM(G8:G43)</f>
        <v>750</v>
      </c>
      <c r="H44" s="44">
        <f>SUM(H8:H43)</f>
        <v>525</v>
      </c>
      <c r="I44" s="44">
        <f>SUM(I8:I43)</f>
        <v>3659</v>
      </c>
      <c r="J44" s="44"/>
      <c r="K44" s="44"/>
      <c r="L44" s="44">
        <f>SUM(L8:L43)</f>
        <v>500</v>
      </c>
      <c r="M44" s="44"/>
      <c r="N44" s="44">
        <f>SUM(N8:N43)</f>
        <v>16400</v>
      </c>
      <c r="O44" s="44"/>
      <c r="P44" s="44">
        <f>SUM(P8:P43)</f>
        <v>18000</v>
      </c>
      <c r="Q44" s="44"/>
      <c r="R44" s="44">
        <f>SUM(R8:R43)</f>
        <v>1395</v>
      </c>
      <c r="S44" s="44"/>
      <c r="T44" s="44">
        <f>SUM(T8:T43)</f>
        <v>300</v>
      </c>
      <c r="U44" s="44"/>
      <c r="V44" s="44">
        <f>SUM(V8:V43)</f>
        <v>0</v>
      </c>
      <c r="W44" s="44"/>
      <c r="X44" s="44">
        <f>SUM(X8:X43)</f>
        <v>34400</v>
      </c>
      <c r="Z44" s="44">
        <f>SUM(Z8:Z43)</f>
        <v>300</v>
      </c>
      <c r="AB44" s="44">
        <f>SUM(AB8:AB43)</f>
        <v>50</v>
      </c>
      <c r="AD44" s="44">
        <f>SUM(AD8:AD43)</f>
        <v>200</v>
      </c>
      <c r="AF44" s="44">
        <f>SUM(AF8:AF43)</f>
        <v>0</v>
      </c>
      <c r="AI44" s="154" t="s">
        <v>508</v>
      </c>
      <c r="AJ44" s="154">
        <v>2</v>
      </c>
    </row>
    <row r="46" spans="1:48">
      <c r="F46" s="154"/>
      <c r="G46" s="154"/>
      <c r="H46" s="154"/>
      <c r="I46" s="154"/>
      <c r="J46" s="154"/>
      <c r="K46" s="154"/>
      <c r="L46" s="154"/>
      <c r="M46" s="154"/>
      <c r="N46" s="154"/>
      <c r="O46" s="154"/>
      <c r="P46" s="154"/>
      <c r="Q46" s="154"/>
      <c r="R46" s="154"/>
      <c r="S46" s="154"/>
      <c r="T46" s="154"/>
      <c r="U46" s="154"/>
      <c r="V46" s="154"/>
      <c r="W46" s="154"/>
      <c r="X46" s="154"/>
    </row>
    <row r="47" spans="1:48" ht="25.5" customHeight="1">
      <c r="A47" s="229" t="s">
        <v>373</v>
      </c>
      <c r="B47" s="229"/>
      <c r="C47" s="229"/>
      <c r="D47" s="229"/>
      <c r="E47" s="62" t="s">
        <v>528</v>
      </c>
      <c r="F47" s="153">
        <f>208-1</f>
        <v>207</v>
      </c>
      <c r="G47" s="153">
        <f>6*(256-8)+2*(384-8)</f>
        <v>2240</v>
      </c>
      <c r="H47" s="222" t="s">
        <v>682</v>
      </c>
      <c r="I47" s="222"/>
      <c r="J47" s="222"/>
      <c r="K47" s="222"/>
      <c r="L47" s="222"/>
      <c r="M47" s="222"/>
      <c r="N47" s="222"/>
      <c r="O47" s="222"/>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row>
    <row r="48" spans="1:48" ht="33.6" customHeight="1">
      <c r="A48" s="229"/>
      <c r="B48" s="229"/>
      <c r="C48" s="229"/>
      <c r="D48" s="229"/>
      <c r="E48" s="15" t="s">
        <v>521</v>
      </c>
      <c r="F48" s="153">
        <f>160-1</f>
        <v>159</v>
      </c>
      <c r="G48" s="153">
        <f>5*(384-8)</f>
        <v>1880</v>
      </c>
      <c r="H48" s="222"/>
      <c r="I48" s="222"/>
      <c r="J48" s="222"/>
      <c r="K48" s="222"/>
      <c r="L48" s="222"/>
      <c r="M48" s="222"/>
      <c r="N48" s="222"/>
      <c r="O48" s="222"/>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row>
    <row r="49" spans="1:48" s="63" customFormat="1">
      <c r="E49" s="62"/>
      <c r="F49" s="166"/>
      <c r="G49" s="166"/>
      <c r="H49" s="223"/>
      <c r="I49" s="223"/>
      <c r="J49" s="223"/>
      <c r="K49" s="223"/>
      <c r="L49" s="223"/>
      <c r="M49" s="223"/>
      <c r="N49" s="223"/>
      <c r="O49" s="223"/>
    </row>
    <row r="50" spans="1:48" s="63" customFormat="1" ht="15">
      <c r="A50" s="194"/>
      <c r="B50" s="194"/>
      <c r="C50" s="194"/>
      <c r="D50" s="194"/>
      <c r="E50" s="198"/>
      <c r="F50" s="191"/>
      <c r="G50" s="191"/>
      <c r="H50" s="183"/>
      <c r="I50" s="183"/>
      <c r="J50" s="183"/>
      <c r="K50" s="183"/>
      <c r="L50" s="183"/>
      <c r="M50" s="183"/>
      <c r="N50" s="183"/>
      <c r="O50" s="183"/>
    </row>
    <row r="51" spans="1:48" s="63" customFormat="1" ht="15">
      <c r="A51" s="227" t="s">
        <v>717</v>
      </c>
      <c r="B51" s="228"/>
      <c r="C51" s="228"/>
      <c r="D51" s="228"/>
      <c r="E51" s="199">
        <v>1</v>
      </c>
      <c r="F51" s="191"/>
      <c r="G51" s="191"/>
      <c r="H51" s="183"/>
      <c r="I51" s="183"/>
      <c r="J51" s="183"/>
      <c r="K51" s="183"/>
      <c r="L51" s="183"/>
      <c r="M51" s="183"/>
      <c r="N51" s="183"/>
      <c r="O51" s="183"/>
    </row>
    <row r="52" spans="1:48" s="63" customFormat="1" ht="15">
      <c r="A52" s="194"/>
      <c r="B52" s="194"/>
      <c r="C52" s="194"/>
      <c r="D52" s="194"/>
      <c r="E52" s="198"/>
      <c r="F52" s="191"/>
      <c r="G52" s="191"/>
      <c r="H52" s="183"/>
      <c r="I52" s="183"/>
      <c r="J52" s="183"/>
      <c r="K52" s="183"/>
      <c r="L52" s="183"/>
      <c r="M52" s="183"/>
      <c r="N52" s="183"/>
      <c r="O52" s="183"/>
    </row>
    <row r="53" spans="1:48">
      <c r="A53" s="7" t="s">
        <v>380</v>
      </c>
    </row>
    <row r="54" spans="1:48">
      <c r="A54" s="35" t="s">
        <v>381</v>
      </c>
      <c r="C54" s="35" t="s">
        <v>333</v>
      </c>
      <c r="D54" s="35" t="s">
        <v>453</v>
      </c>
      <c r="E54" s="35" t="s">
        <v>10</v>
      </c>
      <c r="F54" s="154">
        <v>16</v>
      </c>
      <c r="G54" s="154">
        <v>64</v>
      </c>
      <c r="H54" s="154">
        <v>0</v>
      </c>
      <c r="I54" s="157">
        <v>71</v>
      </c>
      <c r="J54" s="154">
        <f t="shared" ref="J54:J80" si="4">G54-H54</f>
        <v>64</v>
      </c>
      <c r="K54" s="154"/>
      <c r="AH54" s="154" t="s">
        <v>328</v>
      </c>
      <c r="AI54" s="154" t="s">
        <v>329</v>
      </c>
      <c r="AJ54" s="154"/>
      <c r="AM54" s="35">
        <f t="shared" ref="AM54:AM79" si="5">IF(ISBLANK($A54),,G54*1.024)</f>
        <v>65.536000000000001</v>
      </c>
      <c r="AN54" s="35">
        <f t="shared" ref="AN54:AN79" si="6">IF(ISBLANK($A54),,H54*1.024)</f>
        <v>0</v>
      </c>
      <c r="AO54" s="35">
        <f>IF(ISBLANK($A54),,ROUNDDOWN(I54*AQ6*1.024,))</f>
        <v>65</v>
      </c>
      <c r="AP54" s="35">
        <f>IF(ISBLANK($A54),,ROUNDDOWN(L54*AQ6*1.024,))</f>
        <v>0</v>
      </c>
      <c r="AQ54" s="35">
        <f>IF(ISBLANK($A54),,ROUNDDOWN(N54*AQ6*1.024,))</f>
        <v>0</v>
      </c>
      <c r="AR54" s="35">
        <f>IF(ISBLANK($A54),,ROUNDDOWN(P54*AQ6*1.024,))</f>
        <v>0</v>
      </c>
      <c r="AS54" s="35">
        <f>IF(ISBLANK($A54),,ROUNDDOWN(R54*AQ6*1.024,))</f>
        <v>0</v>
      </c>
      <c r="AT54" s="115">
        <f t="shared" ref="AT54:AT80" si="7">IF(ISBLANK($A54),,ROUNDDOWN(T54*AQ$6*1.024,))</f>
        <v>0</v>
      </c>
      <c r="AU54" s="35">
        <f>IF(ISBLANK($A54),,ROUNDDOWN(V54*AQ6*1.024,))</f>
        <v>0</v>
      </c>
      <c r="AV54" s="35">
        <f>IF(ISBLANK($A54),,ROUNDDOWN(X54*AQ6*1.024,))</f>
        <v>0</v>
      </c>
    </row>
    <row r="55" spans="1:48">
      <c r="A55" s="35" t="s">
        <v>382</v>
      </c>
      <c r="C55" s="35" t="s">
        <v>333</v>
      </c>
      <c r="D55" s="39" t="s">
        <v>362</v>
      </c>
      <c r="E55" s="156" t="s">
        <v>75</v>
      </c>
      <c r="F55" s="154">
        <v>4</v>
      </c>
      <c r="G55" s="154">
        <v>4</v>
      </c>
      <c r="H55" s="154">
        <v>0</v>
      </c>
      <c r="I55" s="154">
        <v>100</v>
      </c>
      <c r="J55" s="154">
        <f t="shared" si="4"/>
        <v>4</v>
      </c>
      <c r="K55" s="154"/>
      <c r="AH55" s="154" t="s">
        <v>328</v>
      </c>
      <c r="AI55" s="154" t="s">
        <v>329</v>
      </c>
      <c r="AJ55" s="154"/>
      <c r="AM55" s="35">
        <f t="shared" si="5"/>
        <v>4.0960000000000001</v>
      </c>
      <c r="AN55" s="35">
        <f t="shared" si="6"/>
        <v>0</v>
      </c>
      <c r="AO55" s="35">
        <f>IF(ISBLANK($A55),,ROUNDDOWN(I55*AQ6*1.024,))</f>
        <v>92</v>
      </c>
      <c r="AP55" s="35">
        <f>IF(ISBLANK($A55),,ROUNDDOWN(L55*AQ6*1.024,))</f>
        <v>0</v>
      </c>
      <c r="AQ55" s="35">
        <f>IF(ISBLANK($A55),,ROUNDDOWN(N55*AQ6*1.024,))</f>
        <v>0</v>
      </c>
      <c r="AR55" s="35">
        <f>IF(ISBLANK($A55),,ROUNDDOWN(P55*AQ6*1.024,))</f>
        <v>0</v>
      </c>
      <c r="AS55" s="35">
        <f>IF(ISBLANK($A55),,ROUNDDOWN(R55*AQ6*1.024,))</f>
        <v>0</v>
      </c>
      <c r="AT55" s="115">
        <f t="shared" si="7"/>
        <v>0</v>
      </c>
      <c r="AU55" s="35">
        <f>IF(ISBLANK($A55),,ROUNDDOWN(V55*AQ6*1.024,))</f>
        <v>0</v>
      </c>
      <c r="AV55" s="35">
        <f>IF(ISBLANK($A55),,ROUNDDOWN(X55*AQ6*1.024,))</f>
        <v>0</v>
      </c>
    </row>
    <row r="56" spans="1:48">
      <c r="A56" s="35" t="s">
        <v>383</v>
      </c>
      <c r="C56" s="35" t="s">
        <v>333</v>
      </c>
      <c r="D56" s="39" t="s">
        <v>362</v>
      </c>
      <c r="E56" s="156" t="s">
        <v>79</v>
      </c>
      <c r="F56" s="154">
        <v>4</v>
      </c>
      <c r="G56" s="154">
        <v>16</v>
      </c>
      <c r="H56" s="154">
        <v>0</v>
      </c>
      <c r="I56" s="154">
        <v>100</v>
      </c>
      <c r="J56" s="154">
        <f t="shared" si="4"/>
        <v>16</v>
      </c>
      <c r="K56" s="154"/>
      <c r="AH56" s="154" t="s">
        <v>328</v>
      </c>
      <c r="AI56" s="154" t="s">
        <v>329</v>
      </c>
      <c r="AJ56" s="154"/>
      <c r="AM56" s="35">
        <f t="shared" si="5"/>
        <v>16.384</v>
      </c>
      <c r="AN56" s="35">
        <f t="shared" si="6"/>
        <v>0</v>
      </c>
      <c r="AO56" s="35">
        <f>IF(ISBLANK($A56),,ROUNDDOWN(I56*AQ6*1.024,))</f>
        <v>92</v>
      </c>
      <c r="AP56" s="35">
        <f>IF(ISBLANK($A56),,ROUNDDOWN(L56*AQ6*1.024,))</f>
        <v>0</v>
      </c>
      <c r="AQ56" s="35">
        <f>IF(ISBLANK($A56),,ROUNDDOWN(N56*AQ6*1.024,))</f>
        <v>0</v>
      </c>
      <c r="AR56" s="35">
        <f>IF(ISBLANK($A56),,ROUNDDOWN(P56*AQ6*1.024,))</f>
        <v>0</v>
      </c>
      <c r="AS56" s="35">
        <f>IF(ISBLANK($A56),,ROUNDDOWN(R56*AQ6*1.024,))</f>
        <v>0</v>
      </c>
      <c r="AT56" s="115">
        <f t="shared" si="7"/>
        <v>0</v>
      </c>
      <c r="AU56" s="35">
        <f>IF(ISBLANK($A56),,ROUNDDOWN(V56*AQ6*1.024,))</f>
        <v>0</v>
      </c>
      <c r="AV56" s="35">
        <f>IF(ISBLANK($A56),,ROUNDDOWN(X56*AQ6*1.024,))</f>
        <v>0</v>
      </c>
    </row>
    <row r="57" spans="1:48">
      <c r="A57" s="35" t="s">
        <v>384</v>
      </c>
      <c r="C57" s="35" t="s">
        <v>333</v>
      </c>
      <c r="D57" s="39" t="s">
        <v>362</v>
      </c>
      <c r="E57" s="156" t="s">
        <v>79</v>
      </c>
      <c r="F57" s="154">
        <v>4</v>
      </c>
      <c r="G57" s="154">
        <v>16</v>
      </c>
      <c r="H57" s="154">
        <v>0</v>
      </c>
      <c r="I57" s="154">
        <v>100</v>
      </c>
      <c r="J57" s="154">
        <f t="shared" si="4"/>
        <v>16</v>
      </c>
      <c r="K57" s="154"/>
      <c r="AH57" s="154" t="s">
        <v>328</v>
      </c>
      <c r="AI57" s="154" t="s">
        <v>329</v>
      </c>
      <c r="AJ57" s="154"/>
      <c r="AM57" s="35">
        <f t="shared" si="5"/>
        <v>16.384</v>
      </c>
      <c r="AN57" s="35">
        <f t="shared" si="6"/>
        <v>0</v>
      </c>
      <c r="AO57" s="35">
        <f>IF(ISBLANK($A57),,ROUNDDOWN(I57*AQ6*1.024,))</f>
        <v>92</v>
      </c>
      <c r="AP57" s="35">
        <f>IF(ISBLANK($A57),,ROUNDDOWN(L57*AQ6*1.024,))</f>
        <v>0</v>
      </c>
      <c r="AQ57" s="35">
        <f>IF(ISBLANK($A57),,ROUNDDOWN(N57*AQ6*1.024,))</f>
        <v>0</v>
      </c>
      <c r="AR57" s="35">
        <f>IF(ISBLANK($A57),,ROUNDDOWN(P57*AQ6*1.024,))</f>
        <v>0</v>
      </c>
      <c r="AS57" s="35">
        <f>IF(ISBLANK($A57),,ROUNDDOWN(R57*AQ6*1.024,))</f>
        <v>0</v>
      </c>
      <c r="AT57" s="115">
        <f t="shared" si="7"/>
        <v>0</v>
      </c>
      <c r="AU57" s="35">
        <f>IF(ISBLANK($A57),,ROUNDDOWN(V57*AQ6*1.024,))</f>
        <v>0</v>
      </c>
      <c r="AV57" s="35">
        <f>IF(ISBLANK($A57),,ROUNDDOWN(X57*AQ6*1.024,))</f>
        <v>0</v>
      </c>
    </row>
    <row r="58" spans="1:48">
      <c r="A58" s="35" t="s">
        <v>494</v>
      </c>
      <c r="C58" s="35" t="s">
        <v>333</v>
      </c>
      <c r="D58" s="39" t="s">
        <v>362</v>
      </c>
      <c r="E58" s="156" t="s">
        <v>79</v>
      </c>
      <c r="F58" s="154">
        <v>4</v>
      </c>
      <c r="G58" s="154">
        <v>16</v>
      </c>
      <c r="H58" s="154">
        <v>0</v>
      </c>
      <c r="I58" s="154">
        <v>100</v>
      </c>
      <c r="J58" s="154">
        <f t="shared" si="4"/>
        <v>16</v>
      </c>
      <c r="K58" s="154"/>
      <c r="AH58" s="154" t="s">
        <v>328</v>
      </c>
      <c r="AI58" s="154" t="s">
        <v>329</v>
      </c>
      <c r="AJ58" s="154"/>
      <c r="AM58" s="35">
        <f t="shared" si="5"/>
        <v>16.384</v>
      </c>
      <c r="AN58" s="35">
        <f t="shared" si="6"/>
        <v>0</v>
      </c>
      <c r="AO58" s="35">
        <f>IF(ISBLANK($A58),,ROUNDDOWN(I58*AQ6*1.024,))</f>
        <v>92</v>
      </c>
      <c r="AP58" s="35">
        <f>IF(ISBLANK($A58),,ROUNDDOWN(L58*AQ6*1.024,))</f>
        <v>0</v>
      </c>
      <c r="AQ58" s="35">
        <f>IF(ISBLANK($A58),,ROUNDDOWN(N58*AQ6*1.024,))</f>
        <v>0</v>
      </c>
      <c r="AR58" s="35">
        <f>IF(ISBLANK($A58),,ROUNDDOWN(P58*AQ6*1.024,))</f>
        <v>0</v>
      </c>
      <c r="AS58" s="35">
        <f>IF(ISBLANK($A58),,ROUNDDOWN(R58*AQ6*1.024,))</f>
        <v>0</v>
      </c>
      <c r="AT58" s="115">
        <f t="shared" si="7"/>
        <v>0</v>
      </c>
      <c r="AU58" s="35">
        <f>IF(ISBLANK($A58),,ROUNDDOWN(V58*AQ6*1.024,))</f>
        <v>0</v>
      </c>
      <c r="AV58" s="35">
        <f>IF(ISBLANK($A58),,ROUNDDOWN(X58*AQ6*1.024,))</f>
        <v>0</v>
      </c>
    </row>
    <row r="59" spans="1:48">
      <c r="A59" s="35" t="s">
        <v>495</v>
      </c>
      <c r="C59" s="35" t="s">
        <v>333</v>
      </c>
      <c r="D59" s="39" t="s">
        <v>362</v>
      </c>
      <c r="E59" s="156" t="s">
        <v>79</v>
      </c>
      <c r="F59" s="154">
        <v>4</v>
      </c>
      <c r="G59" s="154">
        <v>16</v>
      </c>
      <c r="H59" s="154">
        <v>0</v>
      </c>
      <c r="I59" s="154">
        <v>100</v>
      </c>
      <c r="J59" s="154">
        <f t="shared" si="4"/>
        <v>16</v>
      </c>
      <c r="K59" s="154"/>
      <c r="AH59" s="154" t="s">
        <v>328</v>
      </c>
      <c r="AI59" s="154" t="s">
        <v>329</v>
      </c>
      <c r="AJ59" s="154"/>
      <c r="AM59" s="35">
        <f t="shared" si="5"/>
        <v>16.384</v>
      </c>
      <c r="AN59" s="35">
        <f t="shared" si="6"/>
        <v>0</v>
      </c>
      <c r="AO59" s="35">
        <f>IF(ISBLANK($A59),,ROUNDDOWN(I59*AQ6*1.024,))</f>
        <v>92</v>
      </c>
      <c r="AP59" s="35">
        <f>IF(ISBLANK($A59),,ROUNDDOWN(L59*AQ6*1.024,))</f>
        <v>0</v>
      </c>
      <c r="AQ59" s="35">
        <f>IF(ISBLANK($A59),,ROUNDDOWN(N59*AQ6*1.024,))</f>
        <v>0</v>
      </c>
      <c r="AR59" s="35">
        <f>IF(ISBLANK($A59),,ROUNDDOWN(P59*AQ6*1.024,))</f>
        <v>0</v>
      </c>
      <c r="AS59" s="35">
        <f>IF(ISBLANK($A59),,ROUNDDOWN(R59*AQ6*1.024,))</f>
        <v>0</v>
      </c>
      <c r="AT59" s="115">
        <f t="shared" si="7"/>
        <v>0</v>
      </c>
      <c r="AU59" s="35">
        <f>IF(ISBLANK($A59),,ROUNDDOWN(V59*AQ6*1.024,))</f>
        <v>0</v>
      </c>
      <c r="AV59" s="35">
        <f>IF(ISBLANK($A59),,ROUNDDOWN(X59*AQ6*1.024,))</f>
        <v>0</v>
      </c>
    </row>
    <row r="60" spans="1:48">
      <c r="A60" s="35" t="s">
        <v>513</v>
      </c>
      <c r="C60" s="35" t="s">
        <v>333</v>
      </c>
      <c r="D60" s="39" t="s">
        <v>362</v>
      </c>
      <c r="E60" s="156" t="s">
        <v>79</v>
      </c>
      <c r="F60" s="154">
        <v>4</v>
      </c>
      <c r="G60" s="154">
        <v>16</v>
      </c>
      <c r="H60" s="154">
        <v>0</v>
      </c>
      <c r="I60" s="154">
        <v>100</v>
      </c>
      <c r="J60" s="154">
        <f t="shared" si="4"/>
        <v>16</v>
      </c>
      <c r="K60" s="154"/>
      <c r="AH60" s="154" t="s">
        <v>328</v>
      </c>
      <c r="AI60" s="154" t="s">
        <v>329</v>
      </c>
      <c r="AJ60" s="154"/>
      <c r="AM60" s="35">
        <f t="shared" si="5"/>
        <v>16.384</v>
      </c>
      <c r="AN60" s="35">
        <f t="shared" si="6"/>
        <v>0</v>
      </c>
      <c r="AO60" s="35">
        <f>IF(ISBLANK($A60),,ROUNDDOWN(I60*AQ6*1.024,))</f>
        <v>92</v>
      </c>
      <c r="AP60" s="35">
        <f>IF(ISBLANK($A60),,ROUNDDOWN(L60*AQ6*1.024,))</f>
        <v>0</v>
      </c>
      <c r="AQ60" s="35">
        <f>IF(ISBLANK($A60),,ROUNDDOWN(N60*AQ6*1.024,))</f>
        <v>0</v>
      </c>
      <c r="AR60" s="35">
        <f>IF(ISBLANK($A60),,ROUNDDOWN(P60*AQ6*1.024,))</f>
        <v>0</v>
      </c>
      <c r="AS60" s="35">
        <f>IF(ISBLANK($A60),,ROUNDDOWN(R60*AQ6*1.024,))</f>
        <v>0</v>
      </c>
      <c r="AT60" s="115">
        <f t="shared" si="7"/>
        <v>0</v>
      </c>
      <c r="AU60" s="35">
        <f>IF(ISBLANK($A60),,ROUNDDOWN(V60*AQ6*1.024,))</f>
        <v>0</v>
      </c>
      <c r="AV60" s="35">
        <f>IF(ISBLANK($A60),,ROUNDDOWN(X60*AQ6*1.024,))</f>
        <v>0</v>
      </c>
    </row>
    <row r="61" spans="1:48">
      <c r="A61" s="35" t="s">
        <v>514</v>
      </c>
      <c r="C61" s="35" t="s">
        <v>333</v>
      </c>
      <c r="D61" s="39" t="s">
        <v>362</v>
      </c>
      <c r="E61" s="156" t="s">
        <v>79</v>
      </c>
      <c r="F61" s="154">
        <v>4</v>
      </c>
      <c r="G61" s="154">
        <v>16</v>
      </c>
      <c r="H61" s="154">
        <v>0</v>
      </c>
      <c r="I61" s="154">
        <v>100</v>
      </c>
      <c r="J61" s="154">
        <f t="shared" si="4"/>
        <v>16</v>
      </c>
      <c r="K61" s="154"/>
      <c r="AH61" s="154" t="s">
        <v>328</v>
      </c>
      <c r="AI61" s="154" t="s">
        <v>329</v>
      </c>
      <c r="AJ61" s="154"/>
      <c r="AM61" s="35">
        <f t="shared" si="5"/>
        <v>16.384</v>
      </c>
      <c r="AN61" s="35">
        <f t="shared" si="6"/>
        <v>0</v>
      </c>
      <c r="AO61" s="35">
        <f>IF(ISBLANK($A61),,ROUNDDOWN(I61*AQ6*1.024,))</f>
        <v>92</v>
      </c>
      <c r="AP61" s="35">
        <f>IF(ISBLANK($A61),,ROUNDDOWN(L61*AQ6*1.024,))</f>
        <v>0</v>
      </c>
      <c r="AQ61" s="35">
        <f>IF(ISBLANK($A61),,ROUNDDOWN(N61*AQ6*1.024,))</f>
        <v>0</v>
      </c>
      <c r="AR61" s="35">
        <f>IF(ISBLANK($A61),,ROUNDDOWN(P61*AQ6*1.024,))</f>
        <v>0</v>
      </c>
      <c r="AS61" s="35">
        <f>IF(ISBLANK($A61),,ROUNDDOWN(R61*AQ6*1.024,))</f>
        <v>0</v>
      </c>
      <c r="AT61" s="115">
        <f t="shared" si="7"/>
        <v>0</v>
      </c>
      <c r="AU61" s="35">
        <f>IF(ISBLANK($A61),,ROUNDDOWN(V61*AQ6*1.024,))</f>
        <v>0</v>
      </c>
      <c r="AV61" s="35">
        <f>IF(ISBLANK($A61),,ROUNDDOWN(X61*AQ6*1.024,))</f>
        <v>0</v>
      </c>
    </row>
    <row r="62" spans="1:48">
      <c r="A62" s="35" t="s">
        <v>515</v>
      </c>
      <c r="C62" s="35" t="s">
        <v>333</v>
      </c>
      <c r="D62" s="39" t="s">
        <v>362</v>
      </c>
      <c r="E62" s="156" t="s">
        <v>79</v>
      </c>
      <c r="F62" s="154">
        <v>4</v>
      </c>
      <c r="G62" s="154">
        <v>16</v>
      </c>
      <c r="H62" s="154">
        <v>0</v>
      </c>
      <c r="I62" s="154">
        <v>100</v>
      </c>
      <c r="J62" s="154">
        <f t="shared" si="4"/>
        <v>16</v>
      </c>
      <c r="K62" s="154"/>
      <c r="AH62" s="154" t="s">
        <v>328</v>
      </c>
      <c r="AI62" s="154" t="s">
        <v>329</v>
      </c>
      <c r="AJ62" s="154"/>
      <c r="AM62" s="35">
        <f t="shared" si="5"/>
        <v>16.384</v>
      </c>
      <c r="AN62" s="35">
        <f t="shared" si="6"/>
        <v>0</v>
      </c>
      <c r="AO62" s="35">
        <f>IF(ISBLANK($A62),,ROUNDDOWN(I62*AQ6*1.024,))</f>
        <v>92</v>
      </c>
      <c r="AP62" s="35">
        <f>IF(ISBLANK($A62),,ROUNDDOWN(L62*AQ6*1.024,))</f>
        <v>0</v>
      </c>
      <c r="AQ62" s="35">
        <f>IF(ISBLANK($A62),,ROUNDDOWN(N62*AQ6*1.024,))</f>
        <v>0</v>
      </c>
      <c r="AR62" s="35">
        <f>IF(ISBLANK($A62),,ROUNDDOWN(P62*AQ6*1.024,))</f>
        <v>0</v>
      </c>
      <c r="AS62" s="35">
        <f>IF(ISBLANK($A62),,ROUNDDOWN(R62*AQ6*1.024,))</f>
        <v>0</v>
      </c>
      <c r="AT62" s="115">
        <f t="shared" si="7"/>
        <v>0</v>
      </c>
      <c r="AU62" s="35">
        <f>IF(ISBLANK($A62),,ROUNDDOWN(V62*AQ6*1.024,))</f>
        <v>0</v>
      </c>
      <c r="AV62" s="35">
        <f>IF(ISBLANK($A62),,ROUNDDOWN(X62*AQ6*1.024,))</f>
        <v>0</v>
      </c>
    </row>
    <row r="63" spans="1:48">
      <c r="A63" s="35" t="s">
        <v>385</v>
      </c>
      <c r="C63" s="35" t="s">
        <v>333</v>
      </c>
      <c r="D63" s="39" t="s">
        <v>362</v>
      </c>
      <c r="E63" s="156" t="s">
        <v>77</v>
      </c>
      <c r="F63" s="154">
        <v>4</v>
      </c>
      <c r="G63" s="154">
        <v>14</v>
      </c>
      <c r="H63" s="154">
        <v>0</v>
      </c>
      <c r="I63" s="154">
        <v>100</v>
      </c>
      <c r="J63" s="154">
        <f t="shared" si="4"/>
        <v>14</v>
      </c>
      <c r="K63" s="154"/>
      <c r="AH63" s="154" t="s">
        <v>328</v>
      </c>
      <c r="AI63" s="154" t="s">
        <v>329</v>
      </c>
      <c r="AJ63" s="154"/>
      <c r="AM63" s="35">
        <f t="shared" si="5"/>
        <v>14.336</v>
      </c>
      <c r="AN63" s="35">
        <f t="shared" si="6"/>
        <v>0</v>
      </c>
      <c r="AO63" s="35">
        <f>IF(ISBLANK($A63),,ROUNDDOWN(I63*AQ6*1.024,))</f>
        <v>92</v>
      </c>
      <c r="AP63" s="35">
        <f>IF(ISBLANK($A63),,ROUNDDOWN(L63*AQ6*1.024,))</f>
        <v>0</v>
      </c>
      <c r="AQ63" s="35">
        <f>IF(ISBLANK($A63),,ROUNDDOWN(N63*AQ6*1.024,))</f>
        <v>0</v>
      </c>
      <c r="AR63" s="35">
        <f>IF(ISBLANK($A63),,ROUNDDOWN(P63*AQ6*1.024,))</f>
        <v>0</v>
      </c>
      <c r="AS63" s="35">
        <f>IF(ISBLANK($A63),,ROUNDDOWN(R63*AQ6*1.024,))</f>
        <v>0</v>
      </c>
      <c r="AT63" s="115">
        <f t="shared" si="7"/>
        <v>0</v>
      </c>
      <c r="AU63" s="35">
        <f>IF(ISBLANK($A63),,ROUNDDOWN(V63*AQ6*1.024,))</f>
        <v>0</v>
      </c>
      <c r="AV63" s="35">
        <f>IF(ISBLANK($A63),,ROUNDDOWN(X63*AQ6*1.024,))</f>
        <v>0</v>
      </c>
    </row>
    <row r="64" spans="1:48">
      <c r="A64" s="35" t="s">
        <v>516</v>
      </c>
      <c r="C64" s="35" t="s">
        <v>333</v>
      </c>
      <c r="D64" s="39" t="s">
        <v>362</v>
      </c>
      <c r="E64" s="156" t="s">
        <v>79</v>
      </c>
      <c r="F64" s="154">
        <v>4</v>
      </c>
      <c r="G64" s="154">
        <v>16</v>
      </c>
      <c r="H64" s="154">
        <v>0</v>
      </c>
      <c r="I64" s="154">
        <v>100</v>
      </c>
      <c r="J64" s="154">
        <f t="shared" si="4"/>
        <v>16</v>
      </c>
      <c r="K64" s="154"/>
      <c r="AH64" s="154" t="s">
        <v>328</v>
      </c>
      <c r="AI64" s="154" t="s">
        <v>329</v>
      </c>
      <c r="AJ64" s="154"/>
      <c r="AM64" s="35">
        <f t="shared" si="5"/>
        <v>16.384</v>
      </c>
      <c r="AN64" s="35">
        <f t="shared" si="6"/>
        <v>0</v>
      </c>
      <c r="AT64" s="115">
        <f t="shared" si="7"/>
        <v>0</v>
      </c>
    </row>
    <row r="65" spans="1:48">
      <c r="A65" s="35" t="s">
        <v>386</v>
      </c>
      <c r="C65" s="35" t="s">
        <v>333</v>
      </c>
      <c r="D65" s="35" t="s">
        <v>453</v>
      </c>
      <c r="E65" s="35" t="s">
        <v>110</v>
      </c>
      <c r="F65" s="154">
        <v>6</v>
      </c>
      <c r="G65" s="154">
        <v>20</v>
      </c>
      <c r="H65" s="154">
        <v>0</v>
      </c>
      <c r="I65" s="154">
        <v>201</v>
      </c>
      <c r="J65" s="154">
        <f t="shared" si="4"/>
        <v>20</v>
      </c>
      <c r="K65" s="154"/>
      <c r="AH65" s="154" t="s">
        <v>328</v>
      </c>
      <c r="AI65" s="154" t="s">
        <v>329</v>
      </c>
      <c r="AJ65" s="154"/>
      <c r="AM65" s="35">
        <f t="shared" si="5"/>
        <v>20.48</v>
      </c>
      <c r="AN65" s="35">
        <f t="shared" si="6"/>
        <v>0</v>
      </c>
      <c r="AO65" s="35">
        <f>IF(ISBLANK($A65),,ROUNDDOWN(I65*AQ6*1.024,))</f>
        <v>185</v>
      </c>
      <c r="AP65" s="35">
        <f>IF(ISBLANK($A65),,ROUNDDOWN(L65*AQ6*1.024,))</f>
        <v>0</v>
      </c>
      <c r="AQ65" s="35">
        <f>IF(ISBLANK($A65),,ROUNDDOWN(N65*AQ6*1.024,))</f>
        <v>0</v>
      </c>
      <c r="AR65" s="35">
        <f>IF(ISBLANK($A65),,ROUNDDOWN(P65*AQ6*1.024,))</f>
        <v>0</v>
      </c>
      <c r="AS65" s="35">
        <f>IF(ISBLANK($A65),,ROUNDDOWN(R65*AQ6*1.024,))</f>
        <v>0</v>
      </c>
      <c r="AT65" s="115">
        <f t="shared" si="7"/>
        <v>0</v>
      </c>
      <c r="AU65" s="35">
        <f>IF(ISBLANK($A65),,ROUNDDOWN(V65*AQ6*1.024,))</f>
        <v>0</v>
      </c>
      <c r="AV65" s="35">
        <f>IF(ISBLANK($A65),,ROUNDDOWN(X65*AQ6*1.024,))</f>
        <v>0</v>
      </c>
    </row>
    <row r="66" spans="1:48">
      <c r="A66" s="35" t="s">
        <v>387</v>
      </c>
      <c r="C66" s="35" t="s">
        <v>333</v>
      </c>
      <c r="D66" s="35" t="s">
        <v>453</v>
      </c>
      <c r="E66" s="35" t="s">
        <v>110</v>
      </c>
      <c r="F66" s="154">
        <v>6</v>
      </c>
      <c r="G66" s="154">
        <v>20</v>
      </c>
      <c r="H66" s="154">
        <v>0</v>
      </c>
      <c r="I66" s="177">
        <v>201</v>
      </c>
      <c r="J66" s="154">
        <f t="shared" si="4"/>
        <v>20</v>
      </c>
      <c r="K66" s="154"/>
      <c r="AH66" s="154" t="s">
        <v>328</v>
      </c>
      <c r="AI66" s="154" t="s">
        <v>329</v>
      </c>
      <c r="AJ66" s="154"/>
      <c r="AM66" s="35">
        <f t="shared" si="5"/>
        <v>20.48</v>
      </c>
      <c r="AN66" s="35">
        <f t="shared" si="6"/>
        <v>0</v>
      </c>
      <c r="AO66" s="35">
        <f>IF(ISBLANK($A66),,ROUNDDOWN(I66*AQ6*1.024,))</f>
        <v>185</v>
      </c>
      <c r="AP66" s="35">
        <f>IF(ISBLANK($A66),,ROUNDDOWN(L66*AQ6*1.024,))</f>
        <v>0</v>
      </c>
      <c r="AQ66" s="35">
        <f>IF(ISBLANK($A66),,ROUNDDOWN(N66*AQ6*1.024,))</f>
        <v>0</v>
      </c>
      <c r="AR66" s="35">
        <f>IF(ISBLANK($A66),,ROUNDDOWN(P66*AQ6*1.024,))</f>
        <v>0</v>
      </c>
      <c r="AS66" s="35">
        <f>IF(ISBLANK($A66),,ROUNDDOWN(R66*AQ6*1.024,))</f>
        <v>0</v>
      </c>
      <c r="AT66" s="115">
        <f t="shared" si="7"/>
        <v>0</v>
      </c>
      <c r="AU66" s="35">
        <f>IF(ISBLANK($A66),,ROUNDDOWN(V66*AQ6*1.024,))</f>
        <v>0</v>
      </c>
      <c r="AV66" s="35">
        <f>IF(ISBLANK($A66),,ROUNDDOWN(X66*AQ6*1.024,))</f>
        <v>0</v>
      </c>
    </row>
    <row r="67" spans="1:48">
      <c r="A67" s="35" t="s">
        <v>496</v>
      </c>
      <c r="C67" s="35" t="s">
        <v>333</v>
      </c>
      <c r="D67" s="35" t="s">
        <v>453</v>
      </c>
      <c r="E67" s="35" t="s">
        <v>110</v>
      </c>
      <c r="F67" s="154">
        <v>6</v>
      </c>
      <c r="G67" s="154">
        <v>20</v>
      </c>
      <c r="H67" s="154">
        <v>0</v>
      </c>
      <c r="I67" s="177">
        <v>201</v>
      </c>
      <c r="J67" s="154">
        <f t="shared" si="4"/>
        <v>20</v>
      </c>
      <c r="K67" s="154"/>
      <c r="AH67" s="154" t="s">
        <v>328</v>
      </c>
      <c r="AI67" s="154" t="s">
        <v>329</v>
      </c>
      <c r="AJ67" s="154"/>
      <c r="AM67" s="35">
        <f t="shared" si="5"/>
        <v>20.48</v>
      </c>
      <c r="AN67" s="35">
        <f t="shared" si="6"/>
        <v>0</v>
      </c>
      <c r="AO67" s="35">
        <f>IF(ISBLANK($A67),,ROUNDDOWN(I67*AQ6*1.024,))</f>
        <v>185</v>
      </c>
      <c r="AP67" s="35">
        <f>IF(ISBLANK($A67),,ROUNDDOWN(L67*AQ6*1.024,))</f>
        <v>0</v>
      </c>
      <c r="AQ67" s="35">
        <f>IF(ISBLANK($A67),,ROUNDDOWN(N67*AQ6*1.024,))</f>
        <v>0</v>
      </c>
      <c r="AR67" s="35">
        <f>IF(ISBLANK($A67),,ROUNDDOWN(P67*AQ6*1.024,))</f>
        <v>0</v>
      </c>
      <c r="AS67" s="35">
        <f>IF(ISBLANK($A67),,ROUNDDOWN(R67*AQ6*1.024,))</f>
        <v>0</v>
      </c>
      <c r="AT67" s="115">
        <f t="shared" si="7"/>
        <v>0</v>
      </c>
      <c r="AU67" s="35">
        <f>IF(ISBLANK($A67),,ROUNDDOWN(V67*AQ6*1.024,))</f>
        <v>0</v>
      </c>
      <c r="AV67" s="35">
        <f>IF(ISBLANK($A67),,ROUNDDOWN(X67*AQ6*1.024,))</f>
        <v>0</v>
      </c>
    </row>
    <row r="68" spans="1:48">
      <c r="A68" s="35" t="s">
        <v>497</v>
      </c>
      <c r="C68" s="35" t="s">
        <v>333</v>
      </c>
      <c r="D68" s="35" t="s">
        <v>453</v>
      </c>
      <c r="E68" s="35" t="s">
        <v>110</v>
      </c>
      <c r="F68" s="154">
        <v>6</v>
      </c>
      <c r="G68" s="154">
        <v>20</v>
      </c>
      <c r="H68" s="154">
        <v>0</v>
      </c>
      <c r="I68" s="177">
        <v>201</v>
      </c>
      <c r="J68" s="154">
        <f t="shared" si="4"/>
        <v>20</v>
      </c>
      <c r="K68" s="154"/>
      <c r="AH68" s="154" t="s">
        <v>328</v>
      </c>
      <c r="AI68" s="154" t="s">
        <v>329</v>
      </c>
      <c r="AJ68" s="154"/>
      <c r="AM68" s="35">
        <f t="shared" si="5"/>
        <v>20.48</v>
      </c>
      <c r="AN68" s="35">
        <f t="shared" si="6"/>
        <v>0</v>
      </c>
      <c r="AO68" s="35">
        <f>IF(ISBLANK($A68),,ROUNDDOWN(I68*AQ6*1.024,))</f>
        <v>185</v>
      </c>
      <c r="AP68" s="35">
        <f>IF(ISBLANK($A68),,ROUNDDOWN(L68*AQ6*1.024,))</f>
        <v>0</v>
      </c>
      <c r="AQ68" s="35">
        <f>IF(ISBLANK($A68),,ROUNDDOWN(N68*AQ6*1.024,))</f>
        <v>0</v>
      </c>
      <c r="AR68" s="35">
        <f>IF(ISBLANK($A68),,ROUNDDOWN(P68*AQ6*1.024,))</f>
        <v>0</v>
      </c>
      <c r="AS68" s="35">
        <f>IF(ISBLANK($A68),,ROUNDDOWN(R68*AQ6*1.024,))</f>
        <v>0</v>
      </c>
      <c r="AT68" s="115">
        <f t="shared" si="7"/>
        <v>0</v>
      </c>
      <c r="AU68" s="35">
        <f>IF(ISBLANK($A68),,ROUNDDOWN(V68*AQ6*1.024,))</f>
        <v>0</v>
      </c>
      <c r="AV68" s="35">
        <f>IF(ISBLANK($A68),,ROUNDDOWN(X68*AQ6*1.024,))</f>
        <v>0</v>
      </c>
    </row>
    <row r="69" spans="1:48">
      <c r="A69" s="35" t="s">
        <v>388</v>
      </c>
      <c r="C69" s="35" t="s">
        <v>333</v>
      </c>
      <c r="D69" s="35" t="s">
        <v>453</v>
      </c>
      <c r="E69" s="35" t="s">
        <v>30</v>
      </c>
      <c r="F69" s="154">
        <v>2</v>
      </c>
      <c r="G69" s="154">
        <v>4</v>
      </c>
      <c r="H69" s="154">
        <v>0</v>
      </c>
      <c r="I69" s="154">
        <v>41</v>
      </c>
      <c r="J69" s="154">
        <f t="shared" si="4"/>
        <v>4</v>
      </c>
      <c r="K69" s="154"/>
      <c r="AH69" s="154" t="s">
        <v>328</v>
      </c>
      <c r="AI69" s="154" t="s">
        <v>329</v>
      </c>
      <c r="AJ69" s="154"/>
      <c r="AM69" s="35">
        <f t="shared" si="5"/>
        <v>4.0960000000000001</v>
      </c>
      <c r="AN69" s="35">
        <f t="shared" si="6"/>
        <v>0</v>
      </c>
      <c r="AO69" s="35">
        <f>IF(ISBLANK($A69),,ROUNDDOWN(I69*AQ6*1.024,))</f>
        <v>37</v>
      </c>
      <c r="AP69" s="35">
        <f>IF(ISBLANK($A69),,ROUNDDOWN(L69*AQ6*1.024,))</f>
        <v>0</v>
      </c>
      <c r="AQ69" s="35">
        <f>IF(ISBLANK($A69),,ROUNDDOWN(N69*AQ6*1.024,))</f>
        <v>0</v>
      </c>
      <c r="AR69" s="35">
        <f>IF(ISBLANK($A69),,ROUNDDOWN(P69*AQ6*1.024,))</f>
        <v>0</v>
      </c>
      <c r="AS69" s="35">
        <f>IF(ISBLANK($A69),,ROUNDDOWN(R69*AQ6*1.024,))</f>
        <v>0</v>
      </c>
      <c r="AT69" s="115">
        <f t="shared" si="7"/>
        <v>0</v>
      </c>
      <c r="AU69" s="35">
        <f>IF(ISBLANK($A69),,ROUNDDOWN(V69*AQ6*1.024,))</f>
        <v>0</v>
      </c>
      <c r="AV69" s="35">
        <f>IF(ISBLANK($A69),,ROUNDDOWN(X69*AQ6*1.024,))</f>
        <v>0</v>
      </c>
    </row>
    <row r="70" spans="1:48">
      <c r="A70" s="35" t="s">
        <v>389</v>
      </c>
      <c r="C70" s="35" t="s">
        <v>333</v>
      </c>
      <c r="D70" s="35" t="s">
        <v>453</v>
      </c>
      <c r="E70" s="35" t="s">
        <v>22</v>
      </c>
      <c r="F70" s="154">
        <v>2</v>
      </c>
      <c r="G70" s="154">
        <v>4</v>
      </c>
      <c r="H70" s="154">
        <v>0</v>
      </c>
      <c r="I70" s="154">
        <v>31</v>
      </c>
      <c r="J70" s="154">
        <f t="shared" si="4"/>
        <v>4</v>
      </c>
      <c r="K70" s="154"/>
      <c r="AH70" s="154" t="s">
        <v>328</v>
      </c>
      <c r="AI70" s="154" t="s">
        <v>329</v>
      </c>
      <c r="AJ70" s="154"/>
      <c r="AM70" s="35">
        <f t="shared" si="5"/>
        <v>4.0960000000000001</v>
      </c>
      <c r="AN70" s="35">
        <f t="shared" si="6"/>
        <v>0</v>
      </c>
      <c r="AO70" s="35">
        <f>IF(ISBLANK($A70),,ROUNDDOWN(I70*AQ6*1.024,))</f>
        <v>28</v>
      </c>
      <c r="AP70" s="35">
        <f>IF(ISBLANK($A70),,ROUNDDOWN(L70*AQ6*1.024,))</f>
        <v>0</v>
      </c>
      <c r="AQ70" s="35">
        <f>IF(ISBLANK($A70),,ROUNDDOWN(N70*AQ6*1.024,))</f>
        <v>0</v>
      </c>
      <c r="AR70" s="35">
        <f>IF(ISBLANK($A70),,ROUNDDOWN(P70*AQ6*1.024,))</f>
        <v>0</v>
      </c>
      <c r="AS70" s="35">
        <f>IF(ISBLANK($A70),,ROUNDDOWN(R70*AQ6*1.024,))</f>
        <v>0</v>
      </c>
      <c r="AT70" s="115">
        <f t="shared" si="7"/>
        <v>0</v>
      </c>
      <c r="AU70" s="35">
        <f>IF(ISBLANK($A70),,ROUNDDOWN(V70*AQ6*1.024,))</f>
        <v>0</v>
      </c>
      <c r="AV70" s="35">
        <f>IF(ISBLANK($A70),,ROUNDDOWN(X70*AQ6*1.024,))</f>
        <v>0</v>
      </c>
    </row>
    <row r="71" spans="1:48">
      <c r="A71" s="35" t="s">
        <v>390</v>
      </c>
      <c r="C71" s="35" t="s">
        <v>333</v>
      </c>
      <c r="D71" s="35" t="s">
        <v>453</v>
      </c>
      <c r="E71" s="35" t="s">
        <v>26</v>
      </c>
      <c r="F71" s="154">
        <v>4</v>
      </c>
      <c r="G71" s="154">
        <v>4</v>
      </c>
      <c r="H71" s="154">
        <v>0</v>
      </c>
      <c r="I71" s="154">
        <v>31</v>
      </c>
      <c r="J71" s="154">
        <f t="shared" si="4"/>
        <v>4</v>
      </c>
      <c r="K71" s="154"/>
      <c r="AH71" s="154" t="s">
        <v>328</v>
      </c>
      <c r="AI71" s="154" t="s">
        <v>329</v>
      </c>
      <c r="AJ71" s="154"/>
      <c r="AM71" s="35">
        <f t="shared" si="5"/>
        <v>4.0960000000000001</v>
      </c>
      <c r="AN71" s="35">
        <f t="shared" si="6"/>
        <v>0</v>
      </c>
      <c r="AO71" s="35">
        <f>IF(ISBLANK($A71),,ROUNDDOWN(I71*AQ6*1.024,))</f>
        <v>28</v>
      </c>
      <c r="AP71" s="35">
        <f>IF(ISBLANK($A71),,ROUNDDOWN(L71*AQ6*1.024,))</f>
        <v>0</v>
      </c>
      <c r="AQ71" s="35">
        <f>IF(ISBLANK($A71),,ROUNDDOWN(N71*AQ6*1.024,))</f>
        <v>0</v>
      </c>
      <c r="AR71" s="35">
        <f>IF(ISBLANK($A71),,ROUNDDOWN(P71*AQ6*1.024,))</f>
        <v>0</v>
      </c>
      <c r="AS71" s="35">
        <f>IF(ISBLANK($A71),,ROUNDDOWN(R71*AQ6*1.024,))</f>
        <v>0</v>
      </c>
      <c r="AT71" s="115">
        <f t="shared" si="7"/>
        <v>0</v>
      </c>
      <c r="AU71" s="35">
        <f>IF(ISBLANK($A71),,ROUNDDOWN(V71*AQ6*1.024,))</f>
        <v>0</v>
      </c>
      <c r="AV71" s="35">
        <f>IF(ISBLANK($A71),,ROUNDDOWN(X71*AQ6*1.024,))</f>
        <v>0</v>
      </c>
    </row>
    <row r="72" spans="1:48" ht="15">
      <c r="A72" s="35" t="s">
        <v>391</v>
      </c>
      <c r="C72" s="35" t="s">
        <v>333</v>
      </c>
      <c r="D72" s="35" t="s">
        <v>453</v>
      </c>
      <c r="E72" s="35" t="s">
        <v>38</v>
      </c>
      <c r="F72" s="154">
        <v>6</v>
      </c>
      <c r="G72" s="154">
        <v>7</v>
      </c>
      <c r="H72" s="154">
        <v>0</v>
      </c>
      <c r="I72" s="152">
        <v>111</v>
      </c>
      <c r="J72" s="154">
        <f t="shared" si="4"/>
        <v>7</v>
      </c>
      <c r="K72" s="40"/>
      <c r="L72" s="154"/>
      <c r="M72" s="154"/>
      <c r="N72" s="40"/>
      <c r="O72" s="41"/>
      <c r="P72" s="154"/>
      <c r="Q72" s="154"/>
      <c r="R72" s="154"/>
      <c r="S72" s="154"/>
      <c r="T72" s="154"/>
      <c r="U72" s="154"/>
      <c r="V72" s="154"/>
      <c r="X72" s="154"/>
      <c r="Z72" s="154"/>
      <c r="AA72" s="154"/>
      <c r="AB72" s="154"/>
      <c r="AC72" s="154"/>
      <c r="AD72" s="154"/>
      <c r="AE72" s="154"/>
      <c r="AF72" s="180"/>
      <c r="AG72" s="180"/>
      <c r="AH72" s="154" t="s">
        <v>328</v>
      </c>
      <c r="AI72" s="154" t="s">
        <v>329</v>
      </c>
      <c r="AJ72" s="154" t="s">
        <v>329</v>
      </c>
      <c r="AM72" s="35">
        <f t="shared" si="5"/>
        <v>7.1680000000000001</v>
      </c>
      <c r="AN72" s="35">
        <f t="shared" si="6"/>
        <v>0</v>
      </c>
      <c r="AO72" s="35">
        <f>IF(ISBLANK($A72),,ROUNDDOWN(I72*AQ6*1.024,))</f>
        <v>102</v>
      </c>
      <c r="AP72" s="35">
        <f>IF(ISBLANK($A72),,ROUNDDOWN(L72*AQ6*1.024,))</f>
        <v>0</v>
      </c>
      <c r="AQ72" s="35">
        <f>IF(ISBLANK($A72),,ROUNDDOWN(N72*AQ6*1.024,))</f>
        <v>0</v>
      </c>
      <c r="AR72" s="35">
        <f>IF(ISBLANK($A72),,ROUNDDOWN(P72*AQ6*1.024,))</f>
        <v>0</v>
      </c>
      <c r="AS72" s="35">
        <f>IF(ISBLANK($A72),,ROUNDDOWN(R72*AQ6*1.024,))</f>
        <v>0</v>
      </c>
      <c r="AT72" s="115">
        <f t="shared" si="7"/>
        <v>0</v>
      </c>
      <c r="AU72" s="35">
        <f>IF(ISBLANK($A72),,ROUNDDOWN(V72*AQ6*1.024,))</f>
        <v>0</v>
      </c>
      <c r="AV72" s="35">
        <f>IF(ISBLANK($A72),,ROUNDDOWN(X72*AQ6*1.024,))</f>
        <v>0</v>
      </c>
    </row>
    <row r="73" spans="1:48" ht="15">
      <c r="A73" s="35" t="s">
        <v>517</v>
      </c>
      <c r="C73" s="35" t="s">
        <v>333</v>
      </c>
      <c r="D73" s="35" t="s">
        <v>453</v>
      </c>
      <c r="E73" s="35" t="s">
        <v>38</v>
      </c>
      <c r="F73" s="154">
        <v>6</v>
      </c>
      <c r="G73" s="154">
        <v>7</v>
      </c>
      <c r="H73" s="154">
        <v>0</v>
      </c>
      <c r="I73" s="152">
        <v>111</v>
      </c>
      <c r="J73" s="154">
        <f t="shared" si="4"/>
        <v>7</v>
      </c>
      <c r="K73" s="40"/>
      <c r="L73" s="154"/>
      <c r="M73" s="154"/>
      <c r="N73" s="40"/>
      <c r="O73" s="41"/>
      <c r="P73" s="154"/>
      <c r="Q73" s="154"/>
      <c r="R73" s="154"/>
      <c r="S73" s="154"/>
      <c r="T73" s="154"/>
      <c r="U73" s="154"/>
      <c r="V73" s="154"/>
      <c r="X73" s="154"/>
      <c r="Z73" s="154"/>
      <c r="AA73" s="154"/>
      <c r="AB73" s="154"/>
      <c r="AC73" s="154"/>
      <c r="AD73" s="154"/>
      <c r="AE73" s="154"/>
      <c r="AF73" s="180"/>
      <c r="AG73" s="180"/>
      <c r="AH73" s="154" t="s">
        <v>328</v>
      </c>
      <c r="AI73" s="154" t="s">
        <v>329</v>
      </c>
      <c r="AJ73" s="154"/>
      <c r="AM73" s="35">
        <f t="shared" si="5"/>
        <v>7.1680000000000001</v>
      </c>
      <c r="AN73" s="35">
        <f t="shared" si="6"/>
        <v>0</v>
      </c>
      <c r="AO73" s="35">
        <f>IF(ISBLANK($A73),,ROUNDDOWN(I73*AQ6*1.024,))</f>
        <v>102</v>
      </c>
      <c r="AP73" s="35">
        <f>IF(ISBLANK($A73),,ROUNDDOWN(L73*AQ6*1.024,))</f>
        <v>0</v>
      </c>
      <c r="AQ73" s="35">
        <f>IF(ISBLANK($A73),,ROUNDDOWN(N73*AQ6*1.024,))</f>
        <v>0</v>
      </c>
      <c r="AR73" s="35">
        <f>IF(ISBLANK($A73),,ROUNDDOWN(P73*AQ6*1.024,))</f>
        <v>0</v>
      </c>
      <c r="AS73" s="35">
        <f>IF(ISBLANK($A73),,ROUNDDOWN(R73*AQ6*1.024,))</f>
        <v>0</v>
      </c>
      <c r="AT73" s="115">
        <f t="shared" si="7"/>
        <v>0</v>
      </c>
      <c r="AU73" s="35">
        <f>IF(ISBLANK($A73),,ROUNDDOWN(V73*AQ6*1.024,))</f>
        <v>0</v>
      </c>
      <c r="AV73" s="35">
        <f>IF(ISBLANK($A73),,ROUNDDOWN(X73*AQ6*1.024,))</f>
        <v>0</v>
      </c>
    </row>
    <row r="74" spans="1:48" ht="15">
      <c r="A74" s="156" t="s">
        <v>392</v>
      </c>
      <c r="B74" s="156"/>
      <c r="C74" s="156"/>
      <c r="D74" s="35" t="s">
        <v>453</v>
      </c>
      <c r="E74" s="156" t="s">
        <v>49</v>
      </c>
      <c r="F74" s="152">
        <v>2</v>
      </c>
      <c r="G74" s="152">
        <v>2</v>
      </c>
      <c r="H74" s="152">
        <v>0</v>
      </c>
      <c r="I74" s="152">
        <v>16</v>
      </c>
      <c r="J74" s="154">
        <f t="shared" si="4"/>
        <v>2</v>
      </c>
      <c r="K74" s="40"/>
      <c r="L74" s="154"/>
      <c r="M74" s="154"/>
      <c r="N74" s="40"/>
      <c r="O74" s="41"/>
      <c r="P74" s="154"/>
      <c r="Q74" s="154"/>
      <c r="R74" s="154"/>
      <c r="S74" s="154"/>
      <c r="T74" s="154"/>
      <c r="U74" s="154"/>
      <c r="V74" s="154"/>
      <c r="X74" s="154"/>
      <c r="Z74" s="154"/>
      <c r="AA74" s="154"/>
      <c r="AB74" s="154"/>
      <c r="AC74" s="154"/>
      <c r="AD74" s="154"/>
      <c r="AE74" s="154"/>
      <c r="AF74" s="180"/>
      <c r="AG74" s="180"/>
      <c r="AH74" s="154" t="s">
        <v>328</v>
      </c>
      <c r="AI74" s="154" t="s">
        <v>329</v>
      </c>
      <c r="AJ74" s="154"/>
      <c r="AM74" s="35">
        <f t="shared" si="5"/>
        <v>2.048</v>
      </c>
      <c r="AN74" s="35">
        <f t="shared" si="6"/>
        <v>0</v>
      </c>
      <c r="AO74" s="35">
        <f>IF(ISBLANK($A74),,ROUNDDOWN(I74*AQ6*1.024,))</f>
        <v>14</v>
      </c>
      <c r="AP74" s="35">
        <f>IF(ISBLANK($A74),,ROUNDDOWN(L74*AQ6*1.024,))</f>
        <v>0</v>
      </c>
      <c r="AQ74" s="35">
        <f>IF(ISBLANK($A74),,ROUNDDOWN(N74*AQ6*1.024,))</f>
        <v>0</v>
      </c>
      <c r="AR74" s="35">
        <f>IF(ISBLANK($A74),,ROUNDDOWN(P74*AQ6*1.024,))</f>
        <v>0</v>
      </c>
      <c r="AS74" s="35">
        <f>IF(ISBLANK($A74),,ROUNDDOWN(R74*AQ6*1.024,))</f>
        <v>0</v>
      </c>
      <c r="AT74" s="115">
        <f t="shared" si="7"/>
        <v>0</v>
      </c>
      <c r="AU74" s="35">
        <f>IF(ISBLANK($A74),,ROUNDDOWN(V74*AQ6*1.024,))</f>
        <v>0</v>
      </c>
      <c r="AV74" s="35">
        <f>IF(ISBLANK($A74),,ROUNDDOWN(X74*AQ6*1.024,))</f>
        <v>0</v>
      </c>
    </row>
    <row r="75" spans="1:48" ht="15">
      <c r="A75" s="156" t="s">
        <v>393</v>
      </c>
      <c r="B75" s="156"/>
      <c r="C75" s="156"/>
      <c r="D75" s="35" t="s">
        <v>453</v>
      </c>
      <c r="E75" s="156" t="s">
        <v>49</v>
      </c>
      <c r="F75" s="152">
        <v>2</v>
      </c>
      <c r="G75" s="152">
        <v>2</v>
      </c>
      <c r="H75" s="152">
        <v>0</v>
      </c>
      <c r="I75" s="152">
        <v>16</v>
      </c>
      <c r="J75" s="154">
        <f t="shared" si="4"/>
        <v>2</v>
      </c>
      <c r="K75" s="40"/>
      <c r="L75" s="154"/>
      <c r="M75" s="154"/>
      <c r="N75" s="40"/>
      <c r="O75" s="41"/>
      <c r="P75" s="154"/>
      <c r="Q75" s="154"/>
      <c r="R75" s="154"/>
      <c r="S75" s="154"/>
      <c r="T75" s="154"/>
      <c r="U75" s="154"/>
      <c r="V75" s="154"/>
      <c r="X75" s="154"/>
      <c r="Z75" s="154"/>
      <c r="AA75" s="154"/>
      <c r="AB75" s="154"/>
      <c r="AC75" s="154"/>
      <c r="AD75" s="154"/>
      <c r="AE75" s="154"/>
      <c r="AF75" s="180"/>
      <c r="AG75" s="180"/>
      <c r="AH75" s="154" t="s">
        <v>328</v>
      </c>
      <c r="AI75" s="154" t="s">
        <v>329</v>
      </c>
      <c r="AJ75" s="154"/>
      <c r="AM75" s="35">
        <f t="shared" si="5"/>
        <v>2.048</v>
      </c>
      <c r="AN75" s="35">
        <f t="shared" si="6"/>
        <v>0</v>
      </c>
      <c r="AO75" s="35">
        <f>IF(ISBLANK($A75),,ROUNDDOWN(I75*AQ6*1.024,))</f>
        <v>14</v>
      </c>
      <c r="AP75" s="35">
        <f>IF(ISBLANK($A75),,ROUNDDOWN(L75*AQ6*1.024,))</f>
        <v>0</v>
      </c>
      <c r="AQ75" s="35">
        <f>IF(ISBLANK($A75),,ROUNDDOWN(N75*AQ6*1.024,))</f>
        <v>0</v>
      </c>
      <c r="AR75" s="35">
        <f>IF(ISBLANK($A75),,ROUNDDOWN(P75*AQ6*1.024,))</f>
        <v>0</v>
      </c>
      <c r="AS75" s="35">
        <f>IF(ISBLANK($A75),,ROUNDDOWN(R75*AQ6*1.024,))</f>
        <v>0</v>
      </c>
      <c r="AT75" s="115">
        <f t="shared" si="7"/>
        <v>0</v>
      </c>
      <c r="AU75" s="35">
        <f>IF(ISBLANK($A75),,ROUNDDOWN(V75*AQ6*1.024,))</f>
        <v>0</v>
      </c>
      <c r="AV75" s="35">
        <f>IF(ISBLANK($A75),,ROUNDDOWN(X75*AQ6*1.024,))</f>
        <v>0</v>
      </c>
    </row>
    <row r="76" spans="1:48" ht="15">
      <c r="A76" s="156" t="s">
        <v>394</v>
      </c>
      <c r="B76" s="156"/>
      <c r="C76" s="156" t="s">
        <v>333</v>
      </c>
      <c r="D76" s="35" t="s">
        <v>453</v>
      </c>
      <c r="E76" s="156" t="s">
        <v>53</v>
      </c>
      <c r="F76" s="152">
        <v>6</v>
      </c>
      <c r="G76" s="152">
        <v>5</v>
      </c>
      <c r="H76" s="152">
        <v>0</v>
      </c>
      <c r="I76" s="152">
        <v>41</v>
      </c>
      <c r="J76" s="154">
        <f t="shared" si="4"/>
        <v>5</v>
      </c>
      <c r="K76" s="40"/>
      <c r="L76" s="154"/>
      <c r="M76" s="154"/>
      <c r="N76" s="40"/>
      <c r="O76" s="41"/>
      <c r="P76" s="154"/>
      <c r="Q76" s="154"/>
      <c r="R76" s="154"/>
      <c r="S76" s="154"/>
      <c r="T76" s="154"/>
      <c r="U76" s="154"/>
      <c r="V76" s="154"/>
      <c r="X76" s="154"/>
      <c r="Z76" s="154"/>
      <c r="AA76" s="154"/>
      <c r="AB76" s="154"/>
      <c r="AC76" s="154"/>
      <c r="AD76" s="154"/>
      <c r="AE76" s="154"/>
      <c r="AF76" s="180"/>
      <c r="AG76" s="180"/>
      <c r="AH76" s="154" t="s">
        <v>328</v>
      </c>
      <c r="AI76" s="154" t="s">
        <v>329</v>
      </c>
      <c r="AJ76" s="154"/>
      <c r="AM76" s="35">
        <f t="shared" si="5"/>
        <v>5.12</v>
      </c>
      <c r="AN76" s="35">
        <f t="shared" si="6"/>
        <v>0</v>
      </c>
      <c r="AO76" s="35">
        <f>IF(ISBLANK($A76),,ROUNDDOWN(I76*AQ6*1.024,))</f>
        <v>37</v>
      </c>
      <c r="AP76" s="35">
        <f>IF(ISBLANK($A76),,ROUNDDOWN(L76*AQ6*1.024,))</f>
        <v>0</v>
      </c>
      <c r="AQ76" s="35">
        <f>IF(ISBLANK($A76),,ROUNDDOWN(N76*AQ6*1.024,))</f>
        <v>0</v>
      </c>
      <c r="AR76" s="35">
        <f>IF(ISBLANK($A76),,ROUNDDOWN(P76*AQ6*1.024,))</f>
        <v>0</v>
      </c>
      <c r="AS76" s="35">
        <f>IF(ISBLANK($A76),,ROUNDDOWN(R76*AQ6*1.024,))</f>
        <v>0</v>
      </c>
      <c r="AT76" s="115">
        <f t="shared" si="7"/>
        <v>0</v>
      </c>
      <c r="AU76" s="35">
        <f>IF(ISBLANK($A76),,ROUNDDOWN(V76*AQ6*1.024,))</f>
        <v>0</v>
      </c>
      <c r="AV76" s="35">
        <f>IF(ISBLANK($A76),,ROUNDDOWN(X76*AQ6*1.024,))</f>
        <v>0</v>
      </c>
    </row>
    <row r="77" spans="1:48" ht="15">
      <c r="A77" s="156" t="s">
        <v>395</v>
      </c>
      <c r="B77" s="156"/>
      <c r="C77" s="156"/>
      <c r="D77" s="35" t="s">
        <v>453</v>
      </c>
      <c r="E77" s="156" t="s">
        <v>57</v>
      </c>
      <c r="F77" s="152">
        <v>2</v>
      </c>
      <c r="G77" s="152">
        <v>2</v>
      </c>
      <c r="H77" s="152">
        <v>0</v>
      </c>
      <c r="I77" s="152">
        <v>31</v>
      </c>
      <c r="J77" s="152">
        <f t="shared" si="4"/>
        <v>2</v>
      </c>
      <c r="K77" s="40"/>
      <c r="L77" s="154"/>
      <c r="M77" s="154"/>
      <c r="N77" s="40"/>
      <c r="O77" s="41"/>
      <c r="P77" s="154"/>
      <c r="Q77" s="154"/>
      <c r="R77" s="154"/>
      <c r="S77" s="154"/>
      <c r="T77" s="154"/>
      <c r="U77" s="154"/>
      <c r="V77" s="154"/>
      <c r="X77" s="154"/>
      <c r="Y77" s="115"/>
      <c r="Z77" s="114"/>
      <c r="AA77" s="114"/>
      <c r="AB77" s="114"/>
      <c r="AC77" s="114"/>
      <c r="AD77" s="114"/>
      <c r="AE77" s="114"/>
      <c r="AF77" s="114"/>
      <c r="AG77" s="114"/>
      <c r="AH77" s="114" t="s">
        <v>328</v>
      </c>
      <c r="AI77" s="114" t="s">
        <v>329</v>
      </c>
      <c r="AJ77" s="114"/>
      <c r="AM77" s="35">
        <f t="shared" si="5"/>
        <v>2.048</v>
      </c>
      <c r="AN77" s="35">
        <f t="shared" si="6"/>
        <v>0</v>
      </c>
      <c r="AO77" s="35">
        <f>IF(ISBLANK($A77),,ROUNDDOWN(I77*AQ$6*1.024,))</f>
        <v>28</v>
      </c>
      <c r="AP77" s="35">
        <f>IF(ISBLANK($A77),,ROUNDDOWN(L77*AQ$6*1.024,))</f>
        <v>0</v>
      </c>
      <c r="AQ77" s="35">
        <f>IF(ISBLANK($A77),,ROUNDDOWN(N77*AQ$6*1.024,))</f>
        <v>0</v>
      </c>
      <c r="AR77" s="35">
        <f>IF(ISBLANK($A77),,ROUNDDOWN(P77*AQ$6*1.024,))</f>
        <v>0</v>
      </c>
      <c r="AS77" s="35">
        <f>IF(ISBLANK($A77),,ROUNDDOWN(R77*AQ$6*1.024,))</f>
        <v>0</v>
      </c>
      <c r="AT77" s="115">
        <f t="shared" si="7"/>
        <v>0</v>
      </c>
      <c r="AU77" s="35">
        <f>IF(ISBLANK($A77),,ROUNDDOWN(V77*AQ$6*1.024,))</f>
        <v>0</v>
      </c>
      <c r="AV77" s="35">
        <f>IF(ISBLANK($A77),,ROUNDDOWN(X77*AQ$6*1.024,))</f>
        <v>0</v>
      </c>
    </row>
    <row r="78" spans="1:48" s="3" customFormat="1" ht="13.5" customHeight="1">
      <c r="A78" s="156" t="s">
        <v>396</v>
      </c>
      <c r="B78" s="156"/>
      <c r="C78" s="156"/>
      <c r="D78" s="156" t="s">
        <v>397</v>
      </c>
      <c r="E78" s="156" t="s">
        <v>398</v>
      </c>
      <c r="F78" s="152">
        <v>4</v>
      </c>
      <c r="G78" s="152">
        <v>16</v>
      </c>
      <c r="H78" s="152">
        <v>0</v>
      </c>
      <c r="I78" s="152">
        <v>150</v>
      </c>
      <c r="J78" s="152">
        <f t="shared" si="4"/>
        <v>16</v>
      </c>
      <c r="K78" s="152" t="s">
        <v>529</v>
      </c>
      <c r="L78" s="152"/>
      <c r="M78" s="152"/>
      <c r="N78" s="1"/>
      <c r="O78"/>
      <c r="P78" s="152"/>
      <c r="Q78" s="152"/>
      <c r="R78" s="152"/>
      <c r="S78" s="152"/>
      <c r="T78" s="152"/>
      <c r="U78" s="152"/>
      <c r="V78" s="152">
        <v>3000</v>
      </c>
      <c r="W78" s="152" t="s">
        <v>529</v>
      </c>
      <c r="X78" s="152"/>
      <c r="Y78" s="101"/>
      <c r="Z78" s="101"/>
      <c r="AA78" s="101"/>
      <c r="AB78" s="101"/>
      <c r="AC78" s="101"/>
      <c r="AD78" s="101"/>
      <c r="AE78" s="101"/>
      <c r="AF78" s="101"/>
      <c r="AG78" s="101"/>
      <c r="AH78" s="102"/>
      <c r="AI78" s="102"/>
      <c r="AJ78" s="102"/>
      <c r="AK78" s="156"/>
      <c r="AL78" s="156"/>
      <c r="AM78" s="156">
        <f t="shared" si="5"/>
        <v>16.384</v>
      </c>
      <c r="AN78" s="156">
        <f t="shared" si="6"/>
        <v>0</v>
      </c>
      <c r="AO78" s="35">
        <f>IF(ISBLANK($A78),,ROUNDDOWN(I78*AQ$6*1.024,))</f>
        <v>138</v>
      </c>
      <c r="AP78" s="35">
        <f>IF(ISBLANK($A78),,ROUNDDOWN(L78*AQ$6*1.024,))</f>
        <v>0</v>
      </c>
      <c r="AQ78" s="35">
        <f>IF(ISBLANK($A78),,ROUNDDOWN(N78*AQ$6*1.024,))</f>
        <v>0</v>
      </c>
      <c r="AR78" s="35">
        <f>IF(ISBLANK($A78),,ROUNDDOWN(P78*AQ$6*1.024,))</f>
        <v>0</v>
      </c>
      <c r="AS78" s="35">
        <f>IF(ISBLANK($A78),,ROUNDDOWN(R78*AQ$6*1.024,))</f>
        <v>0</v>
      </c>
      <c r="AT78" s="115">
        <f t="shared" si="7"/>
        <v>0</v>
      </c>
      <c r="AU78" s="35">
        <f>IF(ISBLANK($A78),,ROUNDDOWN(V78*AQ$6*1.024,))</f>
        <v>2764</v>
      </c>
      <c r="AV78" s="35">
        <f>IF(ISBLANK($A78),,ROUNDDOWN(X78*AQ$6*1.024,))</f>
        <v>0</v>
      </c>
    </row>
    <row r="79" spans="1:48" s="3" customFormat="1" ht="13.5" customHeight="1">
      <c r="A79" s="156" t="s">
        <v>399</v>
      </c>
      <c r="B79" s="156"/>
      <c r="C79" s="156"/>
      <c r="D79" s="156" t="s">
        <v>397</v>
      </c>
      <c r="E79" s="156" t="s">
        <v>400</v>
      </c>
      <c r="F79" s="152">
        <v>4</v>
      </c>
      <c r="G79" s="152">
        <v>4</v>
      </c>
      <c r="H79" s="152">
        <v>0</v>
      </c>
      <c r="I79" s="152">
        <v>21</v>
      </c>
      <c r="J79" s="152">
        <f t="shared" si="4"/>
        <v>4</v>
      </c>
      <c r="K79" s="152" t="s">
        <v>529</v>
      </c>
      <c r="L79" s="152"/>
      <c r="M79" s="152"/>
      <c r="N79" s="1"/>
      <c r="O79"/>
      <c r="P79" s="152"/>
      <c r="Q79" s="152"/>
      <c r="R79" s="152"/>
      <c r="S79" s="152"/>
      <c r="T79" s="152"/>
      <c r="U79" s="152"/>
      <c r="V79" s="152">
        <v>0</v>
      </c>
      <c r="W79" s="152" t="s">
        <v>529</v>
      </c>
      <c r="X79" s="152"/>
      <c r="Y79" s="101"/>
      <c r="Z79" s="101"/>
      <c r="AA79" s="101"/>
      <c r="AB79" s="101"/>
      <c r="AC79" s="101"/>
      <c r="AD79" s="101"/>
      <c r="AE79" s="101"/>
      <c r="AF79" s="101"/>
      <c r="AG79" s="101"/>
      <c r="AH79" s="102"/>
      <c r="AI79" s="102"/>
      <c r="AJ79" s="102"/>
      <c r="AK79" s="101"/>
      <c r="AL79" s="101"/>
      <c r="AM79" s="101">
        <f t="shared" si="5"/>
        <v>4.0960000000000001</v>
      </c>
      <c r="AN79" s="101">
        <f t="shared" si="6"/>
        <v>0</v>
      </c>
      <c r="AO79" s="115">
        <f>IF(ISBLANK($A79),,ROUNDDOWN(I79*AQ$6*1.024,))</f>
        <v>19</v>
      </c>
      <c r="AP79" s="115">
        <f>IF(ISBLANK($A79),,ROUNDDOWN(L79*AQ$6*1.024,))</f>
        <v>0</v>
      </c>
      <c r="AQ79" s="115">
        <f>IF(ISBLANK($A79),,ROUNDDOWN(N79*AQ$6*1.024,))</f>
        <v>0</v>
      </c>
      <c r="AR79" s="115">
        <f>IF(ISBLANK($A79),,ROUNDDOWN(P79*AQ$6*1.024,))</f>
        <v>0</v>
      </c>
      <c r="AS79" s="115">
        <f>IF(ISBLANK($A79),,ROUNDDOWN(R79*AQ$6*1.024,))</f>
        <v>0</v>
      </c>
      <c r="AT79" s="115">
        <f t="shared" si="7"/>
        <v>0</v>
      </c>
      <c r="AU79" s="115">
        <f>IF(ISBLANK($A79),,ROUNDDOWN(V79*AQ$6*1.024,))</f>
        <v>0</v>
      </c>
      <c r="AV79" s="115">
        <f>IF(ISBLANK($A79),,ROUNDDOWN(X79*AQ$6*1.024,))</f>
        <v>0</v>
      </c>
    </row>
    <row r="80" spans="1:48" s="13" customFormat="1" ht="13.5" customHeight="1">
      <c r="A80" s="13" t="s">
        <v>693</v>
      </c>
      <c r="C80" s="13" t="s">
        <v>333</v>
      </c>
      <c r="D80" s="13" t="s">
        <v>453</v>
      </c>
      <c r="E80" s="182" t="s">
        <v>694</v>
      </c>
      <c r="F80" s="186">
        <f>IF(OR(E51=1,E51=2,E51=3,E51=4),VLOOKUP(E51,A160:F165,2,FALSE),VLOOKUP(1,A160:F165,2,FALSE))</f>
        <v>8</v>
      </c>
      <c r="G80" s="186">
        <f>IF(OR(E51=1,E51=2,E51=3,E51=4),VLOOKUP(E51,A160:F165,3,FALSE),VLOOKUP(1,A160:F165,3,FALSE))</f>
        <v>32</v>
      </c>
      <c r="H80" s="8">
        <v>0</v>
      </c>
      <c r="I80" s="8">
        <v>71</v>
      </c>
      <c r="J80" s="8">
        <f t="shared" si="4"/>
        <v>32</v>
      </c>
      <c r="K80" s="36"/>
      <c r="L80" s="8"/>
      <c r="M80" s="8"/>
      <c r="N80" s="134"/>
      <c r="O80" s="133"/>
      <c r="P80" s="8"/>
      <c r="Q80" s="8"/>
      <c r="R80" s="8"/>
      <c r="S80" s="8"/>
      <c r="T80" s="8"/>
      <c r="U80" s="8"/>
      <c r="V80" s="8"/>
      <c r="W80" s="8"/>
      <c r="X80" s="8"/>
      <c r="AF80" s="186">
        <f>IF(OR(E51=1,E51=2,E51=3,E51=4),VLOOKUP(E51,A160:F165,4,FALSE),VLOOKUP(1,A160:F165,4,FALSE))</f>
        <v>200</v>
      </c>
      <c r="AG80" s="36" t="s">
        <v>695</v>
      </c>
      <c r="AH80" s="8" t="s">
        <v>328</v>
      </c>
      <c r="AI80" s="8" t="s">
        <v>329</v>
      </c>
      <c r="AJ80" s="8"/>
      <c r="AM80" s="42">
        <f t="shared" ref="AM80" si="8">IF(ISBLANK($A80),,G80*1.024)</f>
        <v>32.768000000000001</v>
      </c>
      <c r="AN80" s="13">
        <f>IF(ISBLANK($A80),,H80*1.024)</f>
        <v>0</v>
      </c>
      <c r="AO80" s="42">
        <f>IF(ISBLANK($A80),,ROUNDDOWN(I80*AQ$6*1.024,))</f>
        <v>65</v>
      </c>
      <c r="AP80" s="42">
        <f>IF(ISBLANK($A80),,ROUNDDOWN(L80*AQ$6*1.024,))</f>
        <v>0</v>
      </c>
      <c r="AQ80" s="42">
        <f>IF(ISBLANK($A80),,ROUNDDOWN(N80*AQ$6*1.024,))</f>
        <v>0</v>
      </c>
      <c r="AR80" s="42">
        <f>IF(ISBLANK($A80),,ROUNDDOWN(P80*AQ$6*1.024,))</f>
        <v>0</v>
      </c>
      <c r="AS80" s="42">
        <f>IF(ISBLANK($A80),,ROUNDDOWN(R80*AQ$6*1.024,))</f>
        <v>0</v>
      </c>
      <c r="AT80" s="42">
        <f t="shared" si="7"/>
        <v>0</v>
      </c>
      <c r="AU80" s="42">
        <f>IF(ISBLANK($A80),,ROUNDDOWN(V80*AQ$6*1.024,))</f>
        <v>0</v>
      </c>
      <c r="AV80" s="42">
        <f>IF(ISBLANK($A80),,ROUNDDOWN(X80*AQ$6*1.024,))</f>
        <v>0</v>
      </c>
    </row>
    <row r="81" spans="1:48">
      <c r="A81" s="43"/>
      <c r="B81" s="43"/>
      <c r="C81" s="43"/>
      <c r="D81" s="43"/>
      <c r="E81" s="43"/>
      <c r="F81" s="44">
        <f>SUM(F54:F80)+F44</f>
        <v>367</v>
      </c>
      <c r="G81" s="44">
        <f>SUM(G54:G80)+G44</f>
        <v>1129</v>
      </c>
      <c r="H81" s="44">
        <f>SUM(H54:H80)+H44</f>
        <v>525</v>
      </c>
      <c r="I81" s="44">
        <f>SUM(I54:I80)+I44</f>
        <v>6205</v>
      </c>
      <c r="J81" s="44"/>
      <c r="K81" s="44"/>
      <c r="L81" s="44">
        <f>SUM(L54:L80)+L44</f>
        <v>500</v>
      </c>
      <c r="M81" s="44"/>
      <c r="N81" s="44">
        <f>SUM(N54:N80)+N44</f>
        <v>16400</v>
      </c>
      <c r="O81" s="44"/>
      <c r="P81" s="44">
        <f>SUM(P54:P80)+P44</f>
        <v>18000</v>
      </c>
      <c r="Q81" s="44"/>
      <c r="R81" s="44">
        <f>SUM(R54:R80)+R44</f>
        <v>1395</v>
      </c>
      <c r="S81" s="44"/>
      <c r="T81" s="44">
        <f>SUM(T54:T80)+T44</f>
        <v>300</v>
      </c>
      <c r="U81" s="44"/>
      <c r="V81" s="44">
        <f>SUM(V54:V80)+V44</f>
        <v>3000</v>
      </c>
      <c r="W81" s="44"/>
      <c r="X81" s="44">
        <f>SUM(X54:X80)+X44</f>
        <v>34400</v>
      </c>
      <c r="Z81" s="44">
        <f>SUM(Z54:Z80)+Z44</f>
        <v>300</v>
      </c>
      <c r="AB81" s="44">
        <f>SUM(AB54:AB80)+AB44</f>
        <v>50</v>
      </c>
      <c r="AC81" s="114"/>
      <c r="AD81" s="44">
        <f>SUM(AD54:AD80)+AD44</f>
        <v>200</v>
      </c>
      <c r="AF81" s="44">
        <f>SUM(AF54:AF80)+AF44</f>
        <v>200</v>
      </c>
      <c r="AI81" s="154" t="s">
        <v>705</v>
      </c>
      <c r="AJ81" s="154">
        <f>3</f>
        <v>3</v>
      </c>
    </row>
    <row r="83" spans="1:48">
      <c r="A83" s="7" t="s">
        <v>401</v>
      </c>
    </row>
    <row r="84" spans="1:48" s="3" customFormat="1" ht="13.5" customHeight="1">
      <c r="A84" s="156" t="s">
        <v>402</v>
      </c>
      <c r="B84" s="156"/>
      <c r="C84" s="156" t="s">
        <v>69</v>
      </c>
      <c r="D84" s="156" t="s">
        <v>403</v>
      </c>
      <c r="E84" s="156" t="s">
        <v>404</v>
      </c>
      <c r="F84" s="152">
        <v>2</v>
      </c>
      <c r="G84" s="152">
        <v>8</v>
      </c>
      <c r="H84" s="152">
        <v>0</v>
      </c>
      <c r="I84" s="152">
        <v>200</v>
      </c>
      <c r="J84" s="154">
        <v>0</v>
      </c>
      <c r="K84" s="1" t="s">
        <v>405</v>
      </c>
      <c r="L84" s="152"/>
      <c r="M84" s="152"/>
      <c r="N84" s="1"/>
      <c r="O84"/>
      <c r="P84" s="152"/>
      <c r="Q84" s="152"/>
      <c r="R84" s="152"/>
      <c r="S84" s="152"/>
      <c r="T84" s="152"/>
      <c r="U84" s="152"/>
      <c r="V84" s="152"/>
      <c r="W84" s="152"/>
      <c r="X84" s="152"/>
      <c r="Y84" s="156"/>
      <c r="Z84" s="156"/>
      <c r="AA84" s="156"/>
      <c r="AB84" s="156"/>
      <c r="AC84" s="156"/>
      <c r="AD84" s="156"/>
      <c r="AE84" s="156"/>
      <c r="AF84" s="156"/>
      <c r="AG84" s="156"/>
      <c r="AH84" s="152" t="s">
        <v>406</v>
      </c>
      <c r="AI84" s="152" t="s">
        <v>329</v>
      </c>
      <c r="AJ84" s="152"/>
      <c r="AK84" s="156"/>
      <c r="AL84" s="156"/>
      <c r="AM84" s="156">
        <f t="shared" ref="AM84:AM94" si="9">IF(ISBLANK($A84),,G84*1.024)</f>
        <v>8.1920000000000002</v>
      </c>
      <c r="AN84" s="156">
        <f t="shared" ref="AN84:AN94" si="10">IF(ISBLANK($A84),,H84*1.024)</f>
        <v>0</v>
      </c>
      <c r="AO84" s="156">
        <f t="shared" ref="AO84:AO94" si="11">IF(ISBLANK($A84),,ROUNDDOWN(I84*$AQ$6*1.024,))</f>
        <v>184</v>
      </c>
      <c r="AP84" s="156">
        <f t="shared" ref="AP84:AP94" si="12">IF(ISBLANK($A84),,ROUNDDOWN(L84*$AQ$6*1.024,))</f>
        <v>0</v>
      </c>
      <c r="AQ84" s="156">
        <f t="shared" ref="AQ84:AQ94" si="13">IF(ISBLANK($A84),,ROUNDDOWN(N84*$AQ$6*1.024,))</f>
        <v>0</v>
      </c>
      <c r="AR84" s="156">
        <f t="shared" ref="AR84:AR94" si="14">IF(ISBLANK($A84),,ROUNDDOWN(P84*$AQ$6*1.024,))</f>
        <v>0</v>
      </c>
      <c r="AS84" s="35">
        <f t="shared" ref="AS84:AS94" si="15">IF(ISBLANK($A84),,ROUNDDOWN(R84*AQ$6*1.024,))</f>
        <v>0</v>
      </c>
      <c r="AT84" s="115">
        <f t="shared" ref="AT84:AT94" si="16">IF(ISBLANK($A84),,ROUNDDOWN(T84*AQ$6*1.024,))</f>
        <v>0</v>
      </c>
      <c r="AU84" s="35">
        <f t="shared" ref="AU84:AU94" si="17">IF(ISBLANK($A84),,ROUNDDOWN(V84*AQ$6*1.024,))</f>
        <v>0</v>
      </c>
      <c r="AV84" s="35">
        <f t="shared" ref="AV84:AV94" si="18">IF(ISBLANK($A84),,ROUNDDOWN(X84*AQ$6*1.024,))</f>
        <v>0</v>
      </c>
    </row>
    <row r="85" spans="1:48" s="3" customFormat="1" ht="13.5" customHeight="1">
      <c r="A85" s="156" t="s">
        <v>407</v>
      </c>
      <c r="B85" s="156"/>
      <c r="C85" s="156" t="s">
        <v>69</v>
      </c>
      <c r="D85" s="156" t="s">
        <v>403</v>
      </c>
      <c r="E85" s="156" t="s">
        <v>408</v>
      </c>
      <c r="F85" s="152">
        <v>4</v>
      </c>
      <c r="G85" s="152">
        <v>8</v>
      </c>
      <c r="H85" s="152">
        <v>0</v>
      </c>
      <c r="I85" s="152">
        <v>220</v>
      </c>
      <c r="J85" s="152">
        <v>0</v>
      </c>
      <c r="K85" s="1" t="s">
        <v>405</v>
      </c>
      <c r="L85" s="152"/>
      <c r="M85" s="152"/>
      <c r="N85" s="1"/>
      <c r="O85"/>
      <c r="P85" s="152"/>
      <c r="Q85" s="152"/>
      <c r="R85" s="152"/>
      <c r="S85" s="152"/>
      <c r="T85" s="152"/>
      <c r="U85" s="152"/>
      <c r="V85" s="152"/>
      <c r="W85" s="152"/>
      <c r="X85" s="152"/>
      <c r="Y85" s="156"/>
      <c r="Z85" s="156"/>
      <c r="AA85" s="156"/>
      <c r="AB85" s="156"/>
      <c r="AC85" s="156"/>
      <c r="AD85" s="156"/>
      <c r="AE85" s="156"/>
      <c r="AF85" s="156"/>
      <c r="AG85" s="156"/>
      <c r="AH85" s="152" t="s">
        <v>406</v>
      </c>
      <c r="AI85" s="152" t="s">
        <v>329</v>
      </c>
      <c r="AJ85" s="152"/>
      <c r="AK85" s="156"/>
      <c r="AL85" s="156"/>
      <c r="AM85" s="156">
        <f t="shared" si="9"/>
        <v>8.1920000000000002</v>
      </c>
      <c r="AN85" s="156">
        <f t="shared" si="10"/>
        <v>0</v>
      </c>
      <c r="AO85" s="156">
        <f t="shared" si="11"/>
        <v>202</v>
      </c>
      <c r="AP85" s="156">
        <f t="shared" si="12"/>
        <v>0</v>
      </c>
      <c r="AQ85" s="156">
        <f t="shared" si="13"/>
        <v>0</v>
      </c>
      <c r="AR85" s="156">
        <f t="shared" si="14"/>
        <v>0</v>
      </c>
      <c r="AS85" s="35">
        <f t="shared" si="15"/>
        <v>0</v>
      </c>
      <c r="AT85" s="115">
        <f t="shared" si="16"/>
        <v>0</v>
      </c>
      <c r="AU85" s="35">
        <f t="shared" si="17"/>
        <v>0</v>
      </c>
      <c r="AV85" s="35">
        <f t="shared" si="18"/>
        <v>0</v>
      </c>
    </row>
    <row r="86" spans="1:48" s="3" customFormat="1" ht="13.5" customHeight="1">
      <c r="A86" s="156" t="s">
        <v>409</v>
      </c>
      <c r="B86" s="156"/>
      <c r="C86" s="156" t="s">
        <v>69</v>
      </c>
      <c r="D86" s="156" t="s">
        <v>403</v>
      </c>
      <c r="E86" s="156" t="s">
        <v>410</v>
      </c>
      <c r="F86" s="152">
        <v>4</v>
      </c>
      <c r="G86" s="152">
        <v>8</v>
      </c>
      <c r="H86" s="152">
        <v>0</v>
      </c>
      <c r="I86" s="152">
        <v>220</v>
      </c>
      <c r="J86" s="152">
        <v>0</v>
      </c>
      <c r="K86" s="1" t="s">
        <v>405</v>
      </c>
      <c r="L86" s="152"/>
      <c r="M86" s="152"/>
      <c r="N86" s="1"/>
      <c r="O86"/>
      <c r="P86" s="152"/>
      <c r="Q86" s="152"/>
      <c r="R86" s="152"/>
      <c r="S86" s="152"/>
      <c r="T86" s="152"/>
      <c r="U86" s="152"/>
      <c r="V86" s="152"/>
      <c r="W86" s="152"/>
      <c r="X86" s="152"/>
      <c r="Y86" s="156"/>
      <c r="Z86" s="156"/>
      <c r="AA86" s="156"/>
      <c r="AB86" s="156"/>
      <c r="AC86" s="156"/>
      <c r="AD86" s="156"/>
      <c r="AE86" s="156"/>
      <c r="AF86" s="156"/>
      <c r="AG86" s="156"/>
      <c r="AH86" s="152" t="s">
        <v>406</v>
      </c>
      <c r="AI86" s="152" t="s">
        <v>329</v>
      </c>
      <c r="AJ86" s="152"/>
      <c r="AK86" s="156"/>
      <c r="AL86" s="156"/>
      <c r="AM86" s="156">
        <f t="shared" si="9"/>
        <v>8.1920000000000002</v>
      </c>
      <c r="AN86" s="156">
        <f t="shared" si="10"/>
        <v>0</v>
      </c>
      <c r="AO86" s="156">
        <f t="shared" si="11"/>
        <v>202</v>
      </c>
      <c r="AP86" s="156">
        <f t="shared" si="12"/>
        <v>0</v>
      </c>
      <c r="AQ86" s="156">
        <f t="shared" si="13"/>
        <v>0</v>
      </c>
      <c r="AR86" s="156">
        <f t="shared" si="14"/>
        <v>0</v>
      </c>
      <c r="AS86" s="35">
        <f t="shared" si="15"/>
        <v>0</v>
      </c>
      <c r="AT86" s="115">
        <f t="shared" si="16"/>
        <v>0</v>
      </c>
      <c r="AU86" s="35">
        <f t="shared" si="17"/>
        <v>0</v>
      </c>
      <c r="AV86" s="35">
        <f t="shared" si="18"/>
        <v>0</v>
      </c>
    </row>
    <row r="87" spans="1:48" s="3" customFormat="1" ht="13.5" customHeight="1">
      <c r="A87" s="156" t="s">
        <v>411</v>
      </c>
      <c r="B87" s="156"/>
      <c r="C87" s="156" t="s">
        <v>69</v>
      </c>
      <c r="D87" s="156" t="s">
        <v>403</v>
      </c>
      <c r="E87" s="156" t="s">
        <v>412</v>
      </c>
      <c r="F87" s="152">
        <v>4</v>
      </c>
      <c r="G87" s="152">
        <v>8</v>
      </c>
      <c r="H87" s="152">
        <v>0</v>
      </c>
      <c r="I87" s="152">
        <v>220</v>
      </c>
      <c r="J87" s="152">
        <v>0</v>
      </c>
      <c r="K87" s="1" t="s">
        <v>405</v>
      </c>
      <c r="L87" s="152"/>
      <c r="M87" s="152"/>
      <c r="N87" s="1"/>
      <c r="O87"/>
      <c r="P87" s="152"/>
      <c r="Q87" s="152"/>
      <c r="R87" s="152"/>
      <c r="S87" s="152"/>
      <c r="T87" s="152"/>
      <c r="U87" s="152"/>
      <c r="V87" s="152"/>
      <c r="W87" s="152"/>
      <c r="X87" s="152"/>
      <c r="Y87" s="156"/>
      <c r="Z87" s="156"/>
      <c r="AA87" s="156"/>
      <c r="AB87" s="156"/>
      <c r="AC87" s="156"/>
      <c r="AD87" s="156"/>
      <c r="AE87" s="156"/>
      <c r="AF87" s="156"/>
      <c r="AG87" s="156"/>
      <c r="AH87" s="152" t="s">
        <v>406</v>
      </c>
      <c r="AI87" s="152" t="s">
        <v>329</v>
      </c>
      <c r="AJ87" s="152"/>
      <c r="AK87" s="156"/>
      <c r="AL87" s="156"/>
      <c r="AM87" s="156">
        <f t="shared" si="9"/>
        <v>8.1920000000000002</v>
      </c>
      <c r="AN87" s="156">
        <f t="shared" si="10"/>
        <v>0</v>
      </c>
      <c r="AO87" s="156">
        <f t="shared" si="11"/>
        <v>202</v>
      </c>
      <c r="AP87" s="156">
        <f t="shared" si="12"/>
        <v>0</v>
      </c>
      <c r="AQ87" s="156">
        <f t="shared" si="13"/>
        <v>0</v>
      </c>
      <c r="AR87" s="156">
        <f t="shared" si="14"/>
        <v>0</v>
      </c>
      <c r="AS87" s="35">
        <f t="shared" si="15"/>
        <v>0</v>
      </c>
      <c r="AT87" s="115">
        <f t="shared" si="16"/>
        <v>0</v>
      </c>
      <c r="AU87" s="35">
        <f t="shared" si="17"/>
        <v>0</v>
      </c>
      <c r="AV87" s="35">
        <f t="shared" si="18"/>
        <v>0</v>
      </c>
    </row>
    <row r="88" spans="1:48" s="3" customFormat="1" ht="13.5" customHeight="1">
      <c r="A88" s="156" t="s">
        <v>413</v>
      </c>
      <c r="B88" s="156"/>
      <c r="C88" s="156" t="s">
        <v>69</v>
      </c>
      <c r="D88" s="156" t="s">
        <v>403</v>
      </c>
      <c r="E88" s="156" t="s">
        <v>414</v>
      </c>
      <c r="F88" s="152">
        <v>3</v>
      </c>
      <c r="G88" s="152">
        <v>4</v>
      </c>
      <c r="H88" s="152">
        <v>0</v>
      </c>
      <c r="I88" s="152">
        <v>50</v>
      </c>
      <c r="J88" s="152">
        <v>0</v>
      </c>
      <c r="K88" s="1" t="s">
        <v>405</v>
      </c>
      <c r="L88" s="152"/>
      <c r="M88" s="152"/>
      <c r="N88" s="1"/>
      <c r="O88"/>
      <c r="P88" s="152"/>
      <c r="Q88" s="152"/>
      <c r="R88" s="152"/>
      <c r="S88" s="152"/>
      <c r="T88" s="152"/>
      <c r="U88" s="152"/>
      <c r="V88" s="152"/>
      <c r="W88" s="152"/>
      <c r="X88" s="152"/>
      <c r="Y88" s="156"/>
      <c r="Z88" s="156"/>
      <c r="AA88" s="156"/>
      <c r="AB88" s="156"/>
      <c r="AC88" s="156"/>
      <c r="AD88" s="156"/>
      <c r="AE88" s="156"/>
      <c r="AF88" s="156"/>
      <c r="AG88" s="156"/>
      <c r="AH88" s="152" t="s">
        <v>406</v>
      </c>
      <c r="AI88" s="152" t="s">
        <v>329</v>
      </c>
      <c r="AJ88" s="152"/>
      <c r="AK88" s="156"/>
      <c r="AL88" s="156"/>
      <c r="AM88" s="156">
        <f t="shared" si="9"/>
        <v>4.0960000000000001</v>
      </c>
      <c r="AN88" s="156">
        <f t="shared" si="10"/>
        <v>0</v>
      </c>
      <c r="AO88" s="156">
        <f t="shared" si="11"/>
        <v>46</v>
      </c>
      <c r="AP88" s="156">
        <f t="shared" si="12"/>
        <v>0</v>
      </c>
      <c r="AQ88" s="156">
        <f t="shared" si="13"/>
        <v>0</v>
      </c>
      <c r="AR88" s="156">
        <f t="shared" si="14"/>
        <v>0</v>
      </c>
      <c r="AS88" s="35">
        <f t="shared" si="15"/>
        <v>0</v>
      </c>
      <c r="AT88" s="115">
        <f t="shared" si="16"/>
        <v>0</v>
      </c>
      <c r="AU88" s="35">
        <f t="shared" si="17"/>
        <v>0</v>
      </c>
      <c r="AV88" s="35">
        <f t="shared" si="18"/>
        <v>0</v>
      </c>
    </row>
    <row r="89" spans="1:48" s="3" customFormat="1" ht="13.5" customHeight="1">
      <c r="A89" s="156" t="s">
        <v>415</v>
      </c>
      <c r="B89" s="156"/>
      <c r="C89" s="156" t="s">
        <v>69</v>
      </c>
      <c r="D89" s="156" t="s">
        <v>403</v>
      </c>
      <c r="E89" s="156" t="s">
        <v>416</v>
      </c>
      <c r="F89" s="152">
        <v>3</v>
      </c>
      <c r="G89" s="152">
        <v>4</v>
      </c>
      <c r="H89" s="152">
        <v>0</v>
      </c>
      <c r="I89" s="152">
        <v>50</v>
      </c>
      <c r="J89" s="152">
        <v>0</v>
      </c>
      <c r="K89" s="152" t="s">
        <v>405</v>
      </c>
      <c r="L89" s="152"/>
      <c r="M89" s="152"/>
      <c r="N89" s="1"/>
      <c r="O89"/>
      <c r="P89" s="152"/>
      <c r="Q89" s="152"/>
      <c r="R89" s="152"/>
      <c r="S89" s="152"/>
      <c r="T89" s="152"/>
      <c r="U89" s="152"/>
      <c r="V89" s="152"/>
      <c r="W89" s="152"/>
      <c r="X89" s="152"/>
      <c r="Y89" s="156"/>
      <c r="Z89" s="156"/>
      <c r="AA89" s="156"/>
      <c r="AB89" s="156"/>
      <c r="AC89" s="156"/>
      <c r="AD89" s="156"/>
      <c r="AE89" s="156"/>
      <c r="AF89" s="156"/>
      <c r="AG89" s="156"/>
      <c r="AH89" s="152" t="s">
        <v>406</v>
      </c>
      <c r="AI89" s="152" t="s">
        <v>329</v>
      </c>
      <c r="AJ89" s="152"/>
      <c r="AK89" s="156"/>
      <c r="AL89" s="156"/>
      <c r="AM89" s="156">
        <f t="shared" si="9"/>
        <v>4.0960000000000001</v>
      </c>
      <c r="AN89" s="156">
        <f t="shared" si="10"/>
        <v>0</v>
      </c>
      <c r="AO89" s="156">
        <f t="shared" si="11"/>
        <v>46</v>
      </c>
      <c r="AP89" s="156">
        <f t="shared" si="12"/>
        <v>0</v>
      </c>
      <c r="AQ89" s="156">
        <f t="shared" si="13"/>
        <v>0</v>
      </c>
      <c r="AR89" s="156">
        <f t="shared" si="14"/>
        <v>0</v>
      </c>
      <c r="AS89" s="35">
        <f t="shared" si="15"/>
        <v>0</v>
      </c>
      <c r="AT89" s="115">
        <f t="shared" si="16"/>
        <v>0</v>
      </c>
      <c r="AU89" s="35">
        <f t="shared" si="17"/>
        <v>0</v>
      </c>
      <c r="AV89" s="35">
        <f t="shared" si="18"/>
        <v>0</v>
      </c>
    </row>
    <row r="90" spans="1:48" s="3" customFormat="1" ht="13.5" customHeight="1">
      <c r="A90" s="156" t="s">
        <v>417</v>
      </c>
      <c r="B90" s="156"/>
      <c r="C90" s="156" t="s">
        <v>69</v>
      </c>
      <c r="D90" s="156" t="s">
        <v>403</v>
      </c>
      <c r="E90" s="156" t="s">
        <v>418</v>
      </c>
      <c r="F90" s="152">
        <v>16</v>
      </c>
      <c r="G90" s="152">
        <v>96</v>
      </c>
      <c r="H90" s="152">
        <v>0</v>
      </c>
      <c r="I90" s="152">
        <v>50</v>
      </c>
      <c r="J90" s="152">
        <v>0</v>
      </c>
      <c r="K90" s="152" t="s">
        <v>405</v>
      </c>
      <c r="L90" s="152"/>
      <c r="M90" s="152"/>
      <c r="N90" s="1"/>
      <c r="O90"/>
      <c r="P90" s="152"/>
      <c r="Q90" s="152"/>
      <c r="R90" s="152"/>
      <c r="S90" s="152"/>
      <c r="T90" s="152"/>
      <c r="U90" s="152"/>
      <c r="V90" s="152"/>
      <c r="W90" s="152"/>
      <c r="X90" s="152"/>
      <c r="Y90" s="156"/>
      <c r="Z90" s="156"/>
      <c r="AA90" s="156"/>
      <c r="AB90" s="156"/>
      <c r="AC90" s="156"/>
      <c r="AD90" s="156"/>
      <c r="AE90" s="156"/>
      <c r="AF90" s="156"/>
      <c r="AG90" s="156"/>
      <c r="AH90" s="152" t="s">
        <v>419</v>
      </c>
      <c r="AI90" s="152"/>
      <c r="AJ90" s="152"/>
      <c r="AK90" s="156"/>
      <c r="AL90" s="156"/>
      <c r="AM90" s="156">
        <f t="shared" si="9"/>
        <v>98.304000000000002</v>
      </c>
      <c r="AN90" s="156">
        <f t="shared" si="10"/>
        <v>0</v>
      </c>
      <c r="AO90" s="156">
        <f t="shared" si="11"/>
        <v>46</v>
      </c>
      <c r="AP90" s="156">
        <f t="shared" si="12"/>
        <v>0</v>
      </c>
      <c r="AQ90" s="156">
        <f t="shared" si="13"/>
        <v>0</v>
      </c>
      <c r="AR90" s="156">
        <f t="shared" si="14"/>
        <v>0</v>
      </c>
      <c r="AS90" s="35">
        <f t="shared" si="15"/>
        <v>0</v>
      </c>
      <c r="AT90" s="115">
        <f t="shared" si="16"/>
        <v>0</v>
      </c>
      <c r="AU90" s="35">
        <f t="shared" si="17"/>
        <v>0</v>
      </c>
      <c r="AV90" s="35">
        <f t="shared" si="18"/>
        <v>0</v>
      </c>
    </row>
    <row r="91" spans="1:48" s="3" customFormat="1" ht="13.5" customHeight="1">
      <c r="A91" s="156" t="s">
        <v>420</v>
      </c>
      <c r="B91" s="156"/>
      <c r="C91" s="156" t="s">
        <v>69</v>
      </c>
      <c r="D91" s="156" t="s">
        <v>403</v>
      </c>
      <c r="E91" s="156" t="s">
        <v>421</v>
      </c>
      <c r="F91" s="152">
        <v>16</v>
      </c>
      <c r="G91" s="152">
        <v>96</v>
      </c>
      <c r="H91" s="152">
        <v>0</v>
      </c>
      <c r="I91" s="152">
        <v>50</v>
      </c>
      <c r="J91" s="152">
        <v>0</v>
      </c>
      <c r="K91" s="152" t="s">
        <v>405</v>
      </c>
      <c r="L91" s="156"/>
      <c r="M91" s="156"/>
      <c r="N91" s="132"/>
      <c r="O91"/>
      <c r="P91" s="152"/>
      <c r="Q91" s="152"/>
      <c r="R91" s="152"/>
      <c r="S91" s="152"/>
      <c r="T91" s="152"/>
      <c r="U91" s="152"/>
      <c r="V91" s="152"/>
      <c r="W91" s="152"/>
      <c r="X91" s="152"/>
      <c r="Y91" s="156"/>
      <c r="Z91" s="156"/>
      <c r="AA91" s="156"/>
      <c r="AB91" s="156"/>
      <c r="AC91" s="156"/>
      <c r="AD91" s="156"/>
      <c r="AE91" s="156"/>
      <c r="AF91" s="156"/>
      <c r="AG91" s="156"/>
      <c r="AH91" s="152" t="s">
        <v>419</v>
      </c>
      <c r="AI91" s="152"/>
      <c r="AJ91" s="152"/>
      <c r="AK91" s="156"/>
      <c r="AL91" s="156"/>
      <c r="AM91" s="156">
        <f t="shared" si="9"/>
        <v>98.304000000000002</v>
      </c>
      <c r="AN91" s="156">
        <f t="shared" si="10"/>
        <v>0</v>
      </c>
      <c r="AO91" s="156">
        <f t="shared" si="11"/>
        <v>46</v>
      </c>
      <c r="AP91" s="156">
        <f t="shared" si="12"/>
        <v>0</v>
      </c>
      <c r="AQ91" s="156">
        <f t="shared" si="13"/>
        <v>0</v>
      </c>
      <c r="AR91" s="156">
        <f t="shared" si="14"/>
        <v>0</v>
      </c>
      <c r="AS91" s="35">
        <f t="shared" si="15"/>
        <v>0</v>
      </c>
      <c r="AT91" s="115">
        <f t="shared" si="16"/>
        <v>0</v>
      </c>
      <c r="AU91" s="35">
        <f t="shared" si="17"/>
        <v>0</v>
      </c>
      <c r="AV91" s="35">
        <f t="shared" si="18"/>
        <v>0</v>
      </c>
    </row>
    <row r="92" spans="1:48" s="3" customFormat="1" ht="13.5" customHeight="1">
      <c r="A92" s="101" t="s">
        <v>422</v>
      </c>
      <c r="B92" s="101"/>
      <c r="C92" s="101" t="s">
        <v>69</v>
      </c>
      <c r="D92" s="101" t="s">
        <v>403</v>
      </c>
      <c r="E92" s="101" t="s">
        <v>423</v>
      </c>
      <c r="F92" s="102">
        <v>16</v>
      </c>
      <c r="G92" s="102">
        <v>96</v>
      </c>
      <c r="H92" s="102">
        <v>0</v>
      </c>
      <c r="I92" s="102">
        <v>50</v>
      </c>
      <c r="J92" s="102">
        <v>0</v>
      </c>
      <c r="K92" s="102" t="s">
        <v>405</v>
      </c>
      <c r="L92" s="101"/>
      <c r="M92" s="101"/>
      <c r="N92" s="167"/>
      <c r="O92" s="168"/>
      <c r="P92" s="102"/>
      <c r="Q92" s="102"/>
      <c r="R92" s="102"/>
      <c r="S92" s="102"/>
      <c r="T92" s="102"/>
      <c r="U92" s="102"/>
      <c r="V92" s="102"/>
      <c r="W92" s="102"/>
      <c r="X92" s="102"/>
      <c r="Y92" s="101"/>
      <c r="Z92" s="101"/>
      <c r="AA92" s="101"/>
      <c r="AB92" s="101"/>
      <c r="AC92" s="101"/>
      <c r="AD92" s="101"/>
      <c r="AE92" s="101"/>
      <c r="AF92" s="101"/>
      <c r="AG92" s="101"/>
      <c r="AH92" s="102" t="s">
        <v>419</v>
      </c>
      <c r="AI92" s="102"/>
      <c r="AJ92" s="102"/>
      <c r="AK92" s="101"/>
      <c r="AL92" s="101"/>
      <c r="AM92" s="101">
        <f t="shared" si="9"/>
        <v>98.304000000000002</v>
      </c>
      <c r="AN92" s="101">
        <f t="shared" si="10"/>
        <v>0</v>
      </c>
      <c r="AO92" s="101">
        <f t="shared" si="11"/>
        <v>46</v>
      </c>
      <c r="AP92" s="101">
        <f t="shared" si="12"/>
        <v>0</v>
      </c>
      <c r="AQ92" s="101">
        <f t="shared" si="13"/>
        <v>0</v>
      </c>
      <c r="AR92" s="101">
        <f t="shared" si="14"/>
        <v>0</v>
      </c>
      <c r="AS92" s="115">
        <f t="shared" si="15"/>
        <v>0</v>
      </c>
      <c r="AT92" s="115">
        <f t="shared" si="16"/>
        <v>0</v>
      </c>
      <c r="AU92" s="115">
        <f t="shared" si="17"/>
        <v>0</v>
      </c>
      <c r="AV92" s="115">
        <f t="shared" si="18"/>
        <v>0</v>
      </c>
    </row>
    <row r="93" spans="1:48" s="101" customFormat="1" ht="13.5" customHeight="1">
      <c r="A93" s="101" t="s">
        <v>673</v>
      </c>
      <c r="C93" s="101" t="s">
        <v>674</v>
      </c>
      <c r="D93" s="101" t="s">
        <v>397</v>
      </c>
      <c r="E93" s="101" t="s">
        <v>675</v>
      </c>
      <c r="F93" s="102">
        <v>4</v>
      </c>
      <c r="G93" s="102">
        <v>4</v>
      </c>
      <c r="H93" s="102">
        <v>0</v>
      </c>
      <c r="I93" s="102">
        <v>25</v>
      </c>
      <c r="J93" s="102">
        <f>G93-H93</f>
        <v>4</v>
      </c>
      <c r="K93" s="114" t="s">
        <v>676</v>
      </c>
      <c r="N93" s="167"/>
      <c r="O93" s="168"/>
      <c r="P93" s="102"/>
      <c r="Q93" s="102"/>
      <c r="R93" s="102"/>
      <c r="S93" s="102"/>
      <c r="T93" s="102"/>
      <c r="U93" s="102"/>
      <c r="V93" s="102"/>
      <c r="W93" s="102"/>
      <c r="X93" s="102"/>
      <c r="AH93" s="102" t="s">
        <v>328</v>
      </c>
      <c r="AI93" s="102" t="s">
        <v>329</v>
      </c>
      <c r="AJ93" s="102"/>
      <c r="AM93" s="101">
        <f t="shared" si="9"/>
        <v>4.0960000000000001</v>
      </c>
      <c r="AN93" s="101">
        <f t="shared" si="10"/>
        <v>0</v>
      </c>
      <c r="AO93" s="101">
        <f t="shared" si="11"/>
        <v>23</v>
      </c>
      <c r="AP93" s="101">
        <f t="shared" si="12"/>
        <v>0</v>
      </c>
      <c r="AQ93" s="101">
        <f t="shared" si="13"/>
        <v>0</v>
      </c>
      <c r="AR93" s="101">
        <f t="shared" si="14"/>
        <v>0</v>
      </c>
      <c r="AS93" s="115">
        <f t="shared" si="15"/>
        <v>0</v>
      </c>
      <c r="AT93" s="115">
        <f t="shared" si="16"/>
        <v>0</v>
      </c>
      <c r="AU93" s="115">
        <f t="shared" si="17"/>
        <v>0</v>
      </c>
      <c r="AV93" s="115">
        <f t="shared" si="18"/>
        <v>0</v>
      </c>
    </row>
    <row r="94" spans="1:48" s="13" customFormat="1" ht="13.5" customHeight="1">
      <c r="A94" s="13" t="s">
        <v>677</v>
      </c>
      <c r="C94" s="13" t="s">
        <v>674</v>
      </c>
      <c r="D94" s="13" t="s">
        <v>397</v>
      </c>
      <c r="E94" s="13" t="s">
        <v>678</v>
      </c>
      <c r="F94" s="8">
        <v>4</v>
      </c>
      <c r="G94" s="8">
        <v>4</v>
      </c>
      <c r="H94" s="8">
        <v>0</v>
      </c>
      <c r="I94" s="8">
        <v>25</v>
      </c>
      <c r="J94" s="8">
        <f>G94-H94</f>
        <v>4</v>
      </c>
      <c r="K94" s="36" t="s">
        <v>676</v>
      </c>
      <c r="AH94" s="8" t="s">
        <v>328</v>
      </c>
      <c r="AI94" s="8" t="s">
        <v>329</v>
      </c>
      <c r="AM94" s="13">
        <f t="shared" si="9"/>
        <v>4.0960000000000001</v>
      </c>
      <c r="AN94" s="13">
        <f t="shared" si="10"/>
        <v>0</v>
      </c>
      <c r="AO94" s="13">
        <f t="shared" si="11"/>
        <v>23</v>
      </c>
      <c r="AP94" s="13">
        <f t="shared" si="12"/>
        <v>0</v>
      </c>
      <c r="AQ94" s="13">
        <f t="shared" si="13"/>
        <v>0</v>
      </c>
      <c r="AR94" s="13">
        <f t="shared" si="14"/>
        <v>0</v>
      </c>
      <c r="AS94" s="42">
        <f t="shared" si="15"/>
        <v>0</v>
      </c>
      <c r="AT94" s="42">
        <f t="shared" si="16"/>
        <v>0</v>
      </c>
      <c r="AU94" s="42">
        <f t="shared" si="17"/>
        <v>0</v>
      </c>
      <c r="AV94" s="42">
        <f t="shared" si="18"/>
        <v>0</v>
      </c>
    </row>
    <row r="95" spans="1:48">
      <c r="A95" s="7"/>
      <c r="F95" s="114">
        <f>SUM(F84:F94)+F81</f>
        <v>443</v>
      </c>
      <c r="G95" s="114">
        <f>SUM(G84:G94)+G81</f>
        <v>1465</v>
      </c>
      <c r="H95" s="114">
        <f>SUM(H84:H94)+H81</f>
        <v>525</v>
      </c>
      <c r="I95" s="114">
        <f>SUM(I84:I94)+I81</f>
        <v>7365</v>
      </c>
      <c r="L95" s="114">
        <f>SUM(L84:L94)+L81</f>
        <v>500</v>
      </c>
      <c r="N95" s="114">
        <f>SUM(N84:N94)+N81</f>
        <v>16400</v>
      </c>
      <c r="P95" s="114">
        <f>SUM(P84:P94)+P81</f>
        <v>18000</v>
      </c>
      <c r="R95" s="114">
        <f>SUM(R84:R94)+R81</f>
        <v>1395</v>
      </c>
      <c r="T95" s="114">
        <f>SUM(T84:T94)+T81</f>
        <v>300</v>
      </c>
      <c r="V95" s="114">
        <f>SUM(V84:V94)+V81</f>
        <v>3000</v>
      </c>
      <c r="X95" s="114">
        <f>SUM(X84:X94)+X81</f>
        <v>34400</v>
      </c>
      <c r="Z95" s="114">
        <f>SUM(Z84:Z94)+Z81</f>
        <v>300</v>
      </c>
      <c r="AB95" s="114">
        <f>SUM(AB84:AB94)+AB81</f>
        <v>50</v>
      </c>
      <c r="AD95" s="114">
        <f>SUM(AD84:AD94)+AD81</f>
        <v>200</v>
      </c>
      <c r="AF95" s="114">
        <f>SUM(AF84:AF94)+AF81</f>
        <v>200</v>
      </c>
      <c r="AI95" s="154" t="s">
        <v>703</v>
      </c>
      <c r="AJ95" s="154">
        <v>3</v>
      </c>
    </row>
    <row r="96" spans="1:48">
      <c r="A96" s="38"/>
    </row>
    <row r="97" spans="1:48">
      <c r="A97" s="7" t="s">
        <v>424</v>
      </c>
    </row>
    <row r="98" spans="1:48">
      <c r="A98" s="156" t="s">
        <v>425</v>
      </c>
      <c r="B98" s="156"/>
      <c r="C98" s="156" t="s">
        <v>426</v>
      </c>
      <c r="D98" s="156" t="s">
        <v>427</v>
      </c>
      <c r="E98" s="156" t="s">
        <v>8</v>
      </c>
      <c r="F98" s="152">
        <v>2</v>
      </c>
      <c r="G98" s="152">
        <v>4</v>
      </c>
      <c r="H98" s="152">
        <v>4</v>
      </c>
      <c r="I98" s="152">
        <v>350</v>
      </c>
      <c r="J98" s="152">
        <f t="shared" ref="J98:J103" si="19">G98-H98</f>
        <v>0</v>
      </c>
      <c r="K98" s="154" t="s">
        <v>428</v>
      </c>
      <c r="L98" s="154"/>
      <c r="M98" s="154"/>
      <c r="N98" s="154"/>
      <c r="O98" s="154"/>
      <c r="P98" s="154"/>
      <c r="Q98" s="154"/>
      <c r="R98" s="154"/>
      <c r="S98" s="154"/>
      <c r="T98" s="154"/>
      <c r="U98" s="154"/>
      <c r="V98" s="154"/>
      <c r="Z98" s="154"/>
      <c r="AA98" s="154"/>
      <c r="AB98" s="154"/>
      <c r="AC98" s="154"/>
      <c r="AD98" s="154"/>
      <c r="AE98" s="154"/>
      <c r="AF98" s="180"/>
      <c r="AG98" s="180"/>
      <c r="AH98" s="154" t="s">
        <v>328</v>
      </c>
      <c r="AI98" s="154" t="s">
        <v>329</v>
      </c>
      <c r="AJ98" s="154"/>
      <c r="AM98" s="35">
        <f t="shared" ref="AM98:AM107" si="20">IF(ISBLANK($A98),,G98*1.024)</f>
        <v>4.0960000000000001</v>
      </c>
      <c r="AN98" s="35">
        <f t="shared" ref="AN98:AN107" si="21">IF(ISBLANK($A98),,H98*1.024)</f>
        <v>4.0960000000000001</v>
      </c>
      <c r="AO98" s="35">
        <f>IF(ISBLANK($A98),,ROUNDDOWN(I98*AQ6*1.024,))</f>
        <v>322</v>
      </c>
      <c r="AP98" s="35">
        <f>IF(ISBLANK($A98),,ROUNDDOWN(L98*AQ6*1.024,))</f>
        <v>0</v>
      </c>
      <c r="AQ98" s="35">
        <f>IF(ISBLANK($A98),,ROUNDDOWN(N98*AQ6*1.024,))</f>
        <v>0</v>
      </c>
      <c r="AR98" s="35">
        <f>IF(ISBLANK($A98),,ROUNDDOWN(P98*AQ6*1.024,))</f>
        <v>0</v>
      </c>
      <c r="AS98" s="35">
        <f>IF(ISBLANK($A98),,ROUNDDOWN(R98*AQ6*1.024,))</f>
        <v>0</v>
      </c>
      <c r="AT98" s="115">
        <f t="shared" ref="AT98:AT107" si="22">IF(ISBLANK($A98),,ROUNDDOWN(T98*AQ$6*1.024,))</f>
        <v>0</v>
      </c>
      <c r="AU98" s="35">
        <f>IF(ISBLANK($A98),,ROUNDDOWN(V98*AQ6*1.024,))</f>
        <v>0</v>
      </c>
      <c r="AV98" s="35">
        <f>IF(ISBLANK($A98),,ROUNDDOWN(X98*AQ6*1.024,))</f>
        <v>0</v>
      </c>
    </row>
    <row r="99" spans="1:48">
      <c r="A99" s="156" t="s">
        <v>429</v>
      </c>
      <c r="B99" s="156"/>
      <c r="C99" s="156" t="s">
        <v>426</v>
      </c>
      <c r="D99" s="156" t="s">
        <v>427</v>
      </c>
      <c r="E99" s="156" t="s">
        <v>430</v>
      </c>
      <c r="F99" s="152">
        <v>6</v>
      </c>
      <c r="G99" s="152">
        <v>10</v>
      </c>
      <c r="H99" s="152">
        <v>10</v>
      </c>
      <c r="I99" s="152">
        <v>100</v>
      </c>
      <c r="J99" s="152">
        <f t="shared" si="19"/>
        <v>0</v>
      </c>
      <c r="K99" s="154" t="s">
        <v>428</v>
      </c>
      <c r="L99" s="154"/>
      <c r="M99" s="154"/>
      <c r="N99" s="154">
        <v>200</v>
      </c>
      <c r="O99" s="154" t="s">
        <v>431</v>
      </c>
      <c r="P99" s="154"/>
      <c r="Q99" s="154"/>
      <c r="R99" s="154"/>
      <c r="S99" s="154"/>
      <c r="T99" s="154"/>
      <c r="U99" s="154"/>
      <c r="V99" s="154"/>
      <c r="Z99" s="154"/>
      <c r="AA99" s="154"/>
      <c r="AB99" s="154"/>
      <c r="AC99" s="154"/>
      <c r="AD99" s="154"/>
      <c r="AE99" s="154"/>
      <c r="AF99" s="180"/>
      <c r="AG99" s="180"/>
      <c r="AH99" s="154" t="s">
        <v>328</v>
      </c>
      <c r="AI99" s="154" t="s">
        <v>329</v>
      </c>
      <c r="AJ99" s="154"/>
      <c r="AM99" s="35">
        <f t="shared" si="20"/>
        <v>10.24</v>
      </c>
      <c r="AN99" s="35">
        <f t="shared" si="21"/>
        <v>10.24</v>
      </c>
      <c r="AO99" s="35">
        <f>IF(ISBLANK($A99),,ROUNDDOWN(I99*AQ6*1.024,))</f>
        <v>92</v>
      </c>
      <c r="AP99" s="35">
        <f>IF(ISBLANK($A99),,ROUNDDOWN(L99*AQ6*1.024,))</f>
        <v>0</v>
      </c>
      <c r="AQ99" s="35">
        <f>IF(ISBLANK($A99),,ROUNDDOWN(N99*AQ6*1.024,))</f>
        <v>184</v>
      </c>
      <c r="AR99" s="35">
        <f>IF(ISBLANK($A99),,ROUNDDOWN(P99*AQ6*1.024,))</f>
        <v>0</v>
      </c>
      <c r="AS99" s="35">
        <f>IF(ISBLANK($A99),,ROUNDDOWN(R99*AQ6*1.024,))</f>
        <v>0</v>
      </c>
      <c r="AT99" s="115">
        <f t="shared" si="22"/>
        <v>0</v>
      </c>
      <c r="AU99" s="35">
        <f>IF(ISBLANK($A99),,ROUNDDOWN(V99*AQ6*1.024,))</f>
        <v>0</v>
      </c>
      <c r="AV99" s="35">
        <f>IF(ISBLANK($A99),,ROUNDDOWN(X99*AQ6*1.024,))</f>
        <v>0</v>
      </c>
    </row>
    <row r="100" spans="1:48">
      <c r="A100" s="156" t="s">
        <v>432</v>
      </c>
      <c r="B100" s="156"/>
      <c r="C100" s="156" t="s">
        <v>426</v>
      </c>
      <c r="D100" s="156" t="s">
        <v>427</v>
      </c>
      <c r="E100" s="156" t="s">
        <v>433</v>
      </c>
      <c r="F100" s="152">
        <v>8</v>
      </c>
      <c r="G100" s="152">
        <v>16</v>
      </c>
      <c r="H100" s="152">
        <v>16</v>
      </c>
      <c r="I100" s="152">
        <v>60</v>
      </c>
      <c r="J100" s="152">
        <f t="shared" si="19"/>
        <v>0</v>
      </c>
      <c r="K100" s="154" t="s">
        <v>434</v>
      </c>
      <c r="L100" s="154"/>
      <c r="M100" s="154"/>
      <c r="N100" s="154"/>
      <c r="O100" s="154"/>
      <c r="P100" s="154"/>
      <c r="Q100" s="154"/>
      <c r="R100" s="154"/>
      <c r="S100" s="154"/>
      <c r="T100" s="154"/>
      <c r="U100" s="154"/>
      <c r="V100" s="154"/>
      <c r="Z100" s="154"/>
      <c r="AA100" s="154"/>
      <c r="AB100" s="154"/>
      <c r="AC100" s="154"/>
      <c r="AD100" s="154"/>
      <c r="AE100" s="154"/>
      <c r="AF100" s="180"/>
      <c r="AG100" s="180"/>
      <c r="AH100" s="154" t="s">
        <v>346</v>
      </c>
      <c r="AI100" s="152" t="s">
        <v>347</v>
      </c>
      <c r="AJ100" s="154"/>
      <c r="AM100" s="35">
        <f t="shared" si="20"/>
        <v>16.384</v>
      </c>
      <c r="AN100" s="35">
        <f t="shared" si="21"/>
        <v>16.384</v>
      </c>
      <c r="AO100" s="35">
        <f>IF(ISBLANK($A100),,ROUNDDOWN(I100*AQ6*1.024,))</f>
        <v>55</v>
      </c>
      <c r="AP100" s="35">
        <f>IF(ISBLANK($A100),,ROUNDDOWN(L100*AQ6*1.024,))</f>
        <v>0</v>
      </c>
      <c r="AQ100" s="35">
        <f>IF(ISBLANK($A100),,ROUNDDOWN(N100*AQ6*1.024,))</f>
        <v>0</v>
      </c>
      <c r="AR100" s="35">
        <f>IF(ISBLANK($A100),,ROUNDDOWN(P100*AQ6*1.024,))</f>
        <v>0</v>
      </c>
      <c r="AS100" s="35">
        <f>IF(ISBLANK($A100),,ROUNDDOWN(R100*AQ6*1.024,))</f>
        <v>0</v>
      </c>
      <c r="AT100" s="115">
        <f t="shared" si="22"/>
        <v>0</v>
      </c>
      <c r="AU100" s="35">
        <f>IF(ISBLANK($A100),,ROUNDDOWN(V100*AQ6*1.024,))</f>
        <v>0</v>
      </c>
      <c r="AV100" s="35">
        <f>IF(ISBLANK($A100),,ROUNDDOWN(X100*AQ6*1.024,))</f>
        <v>0</v>
      </c>
    </row>
    <row r="101" spans="1:48">
      <c r="A101" s="156" t="s">
        <v>435</v>
      </c>
      <c r="B101" s="156"/>
      <c r="C101" s="156" t="s">
        <v>426</v>
      </c>
      <c r="D101" s="156" t="s">
        <v>427</v>
      </c>
      <c r="E101" s="156" t="s">
        <v>436</v>
      </c>
      <c r="F101" s="152">
        <v>10</v>
      </c>
      <c r="G101" s="152">
        <v>10</v>
      </c>
      <c r="H101" s="152">
        <v>10</v>
      </c>
      <c r="I101" s="152">
        <v>40</v>
      </c>
      <c r="J101" s="152">
        <f t="shared" si="19"/>
        <v>0</v>
      </c>
      <c r="K101" s="154" t="s">
        <v>434</v>
      </c>
      <c r="L101" s="154"/>
      <c r="M101" s="154"/>
      <c r="N101" s="154"/>
      <c r="O101" s="154"/>
      <c r="P101" s="154"/>
      <c r="Q101" s="154"/>
      <c r="R101" s="154"/>
      <c r="S101" s="154"/>
      <c r="T101" s="154"/>
      <c r="U101" s="154"/>
      <c r="V101" s="154"/>
      <c r="Z101" s="154"/>
      <c r="AA101" s="154"/>
      <c r="AB101" s="154"/>
      <c r="AC101" s="154"/>
      <c r="AD101" s="154"/>
      <c r="AE101" s="154"/>
      <c r="AF101" s="180"/>
      <c r="AG101" s="180"/>
      <c r="AH101" s="154" t="s">
        <v>346</v>
      </c>
      <c r="AI101" s="152" t="s">
        <v>347</v>
      </c>
      <c r="AJ101" s="154"/>
      <c r="AM101" s="35">
        <f t="shared" si="20"/>
        <v>10.24</v>
      </c>
      <c r="AN101" s="35">
        <f t="shared" si="21"/>
        <v>10.24</v>
      </c>
      <c r="AO101" s="35">
        <f>IF(ISBLANK($A101),,ROUNDDOWN(I101*AQ6*1.024,))</f>
        <v>36</v>
      </c>
      <c r="AP101" s="35">
        <f>IF(ISBLANK($A101),,ROUNDDOWN(L101*AQ6*1.024,))</f>
        <v>0</v>
      </c>
      <c r="AQ101" s="35">
        <f>IF(ISBLANK($A101),,ROUNDDOWN(N101*AQ6*1.024,))</f>
        <v>0</v>
      </c>
      <c r="AR101" s="35">
        <f>IF(ISBLANK($A101),,ROUNDDOWN(P101*AQ6*1.024,))</f>
        <v>0</v>
      </c>
      <c r="AS101" s="35">
        <f>IF(ISBLANK($A101),,ROUNDDOWN(R101*AQ6*1.024,))</f>
        <v>0</v>
      </c>
      <c r="AT101" s="115">
        <f t="shared" si="22"/>
        <v>0</v>
      </c>
      <c r="AU101" s="35">
        <f>IF(ISBLANK($A101),,ROUNDDOWN(V101*AQ6*1.024,))</f>
        <v>0</v>
      </c>
      <c r="AV101" s="35">
        <f>IF(ISBLANK($A101),,ROUNDDOWN(X101*AQ6*1.024,))</f>
        <v>0</v>
      </c>
    </row>
    <row r="102" spans="1:48">
      <c r="A102" s="156" t="s">
        <v>437</v>
      </c>
      <c r="B102" s="156"/>
      <c r="C102" s="156" t="s">
        <v>426</v>
      </c>
      <c r="D102" s="156" t="s">
        <v>427</v>
      </c>
      <c r="E102" s="156" t="s">
        <v>438</v>
      </c>
      <c r="F102" s="152">
        <v>4</v>
      </c>
      <c r="G102" s="152">
        <v>16</v>
      </c>
      <c r="H102" s="152">
        <v>0</v>
      </c>
      <c r="I102" s="152">
        <v>550</v>
      </c>
      <c r="J102" s="152">
        <f t="shared" si="19"/>
        <v>16</v>
      </c>
      <c r="K102" s="154" t="s">
        <v>439</v>
      </c>
      <c r="L102" s="154"/>
      <c r="M102" s="154"/>
      <c r="N102" s="154"/>
      <c r="O102" s="154"/>
      <c r="P102" s="154"/>
      <c r="Q102" s="154"/>
      <c r="R102" s="154"/>
      <c r="S102" s="154"/>
      <c r="T102" s="154"/>
      <c r="U102" s="154"/>
      <c r="V102" s="154"/>
      <c r="Z102" s="154"/>
      <c r="AA102" s="154"/>
      <c r="AB102" s="154"/>
      <c r="AC102" s="154"/>
      <c r="AD102" s="154"/>
      <c r="AE102" s="154"/>
      <c r="AF102" s="180"/>
      <c r="AG102" s="180"/>
      <c r="AH102" s="154" t="s">
        <v>346</v>
      </c>
      <c r="AI102" s="152" t="s">
        <v>347</v>
      </c>
      <c r="AJ102" s="154"/>
      <c r="AM102" s="35">
        <f t="shared" si="20"/>
        <v>16.384</v>
      </c>
      <c r="AN102" s="35">
        <f t="shared" si="21"/>
        <v>0</v>
      </c>
      <c r="AO102" s="35">
        <f>IF(ISBLANK($A102),,ROUNDDOWN(I102*AQ6*1.024,))</f>
        <v>506</v>
      </c>
      <c r="AP102" s="35">
        <f>IF(ISBLANK($A102),,ROUNDDOWN(L102*AQ6*1.024,))</f>
        <v>0</v>
      </c>
      <c r="AQ102" s="35">
        <f>IF(ISBLANK($A102),,ROUNDDOWN(N102*AQ6*1.024,))</f>
        <v>0</v>
      </c>
      <c r="AR102" s="35">
        <f>IF(ISBLANK($A102),,ROUNDDOWN(P102*AQ6*1.024,))</f>
        <v>0</v>
      </c>
      <c r="AS102" s="35">
        <f>IF(ISBLANK($A102),,ROUNDDOWN(R102*AQ6*1.024,))</f>
        <v>0</v>
      </c>
      <c r="AT102" s="115">
        <f t="shared" si="22"/>
        <v>0</v>
      </c>
      <c r="AU102" s="35">
        <f>IF(ISBLANK($A102),,ROUNDDOWN(V102*AQ6*1.024,))</f>
        <v>0</v>
      </c>
      <c r="AV102" s="35">
        <f>IF(ISBLANK($A102),,ROUNDDOWN(X102*AQ6*1.024,))</f>
        <v>0</v>
      </c>
    </row>
    <row r="103" spans="1:48">
      <c r="A103" s="156" t="s">
        <v>440</v>
      </c>
      <c r="B103" s="156"/>
      <c r="C103" s="156" t="s">
        <v>426</v>
      </c>
      <c r="D103" s="156" t="s">
        <v>427</v>
      </c>
      <c r="E103" s="156" t="s">
        <v>441</v>
      </c>
      <c r="F103" s="152">
        <v>2</v>
      </c>
      <c r="G103" s="152">
        <v>4</v>
      </c>
      <c r="H103" s="152">
        <v>4</v>
      </c>
      <c r="I103" s="152">
        <v>40</v>
      </c>
      <c r="J103" s="152">
        <f t="shared" si="19"/>
        <v>0</v>
      </c>
      <c r="K103" s="154" t="s">
        <v>434</v>
      </c>
      <c r="L103" s="154"/>
      <c r="M103" s="154"/>
      <c r="N103" s="154"/>
      <c r="O103" s="154"/>
      <c r="P103" s="154"/>
      <c r="Q103" s="154"/>
      <c r="R103" s="154">
        <v>50</v>
      </c>
      <c r="S103" s="154" t="s">
        <v>442</v>
      </c>
      <c r="T103" s="154"/>
      <c r="U103" s="154"/>
      <c r="V103" s="154"/>
      <c r="Z103" s="154"/>
      <c r="AA103" s="154"/>
      <c r="AB103" s="154"/>
      <c r="AC103" s="154"/>
      <c r="AD103" s="154"/>
      <c r="AE103" s="154"/>
      <c r="AF103" s="180"/>
      <c r="AG103" s="180"/>
      <c r="AH103" s="154" t="s">
        <v>328</v>
      </c>
      <c r="AI103" s="154" t="s">
        <v>329</v>
      </c>
      <c r="AJ103" s="154"/>
      <c r="AM103" s="35">
        <f t="shared" si="20"/>
        <v>4.0960000000000001</v>
      </c>
      <c r="AN103" s="35">
        <f t="shared" si="21"/>
        <v>4.0960000000000001</v>
      </c>
      <c r="AO103" s="35">
        <f>IF(ISBLANK($A103),,ROUNDDOWN(I103*AQ6*1.024,))</f>
        <v>36</v>
      </c>
      <c r="AP103" s="35">
        <f>IF(ISBLANK($A103),,ROUNDDOWN(L103*AQ6*1.024,))</f>
        <v>0</v>
      </c>
      <c r="AQ103" s="35">
        <f>IF(ISBLANK($A103),,ROUNDDOWN(N103*AQ6*1.024,))</f>
        <v>0</v>
      </c>
      <c r="AR103" s="35">
        <f>IF(ISBLANK($A103),,ROUNDDOWN(P103*AQ6*1.024,))</f>
        <v>0</v>
      </c>
      <c r="AS103" s="35">
        <f>IF(ISBLANK($A103),,ROUNDDOWN(R103*AQ6*1.024,))</f>
        <v>46</v>
      </c>
      <c r="AT103" s="115">
        <f t="shared" si="22"/>
        <v>0</v>
      </c>
      <c r="AU103" s="35">
        <f>IF(ISBLANK($A103),,ROUNDDOWN(V103*AQ6*1.024,))</f>
        <v>0</v>
      </c>
      <c r="AV103" s="35">
        <f>IF(ISBLANK($A103),,ROUNDDOWN(X103*AQ6*1.024,))</f>
        <v>0</v>
      </c>
    </row>
    <row r="104" spans="1:48">
      <c r="A104" s="35" t="s">
        <v>443</v>
      </c>
      <c r="C104" s="156" t="s">
        <v>444</v>
      </c>
      <c r="D104" s="35" t="s">
        <v>427</v>
      </c>
      <c r="E104" s="156" t="s">
        <v>45</v>
      </c>
      <c r="F104" s="154">
        <v>8</v>
      </c>
      <c r="G104" s="154">
        <v>32</v>
      </c>
      <c r="H104" s="152">
        <v>0</v>
      </c>
      <c r="I104" s="154">
        <v>80</v>
      </c>
      <c r="J104" s="154">
        <f>G104-H104</f>
        <v>32</v>
      </c>
      <c r="K104" s="154" t="s">
        <v>445</v>
      </c>
      <c r="L104" s="154"/>
      <c r="M104" s="154"/>
      <c r="N104" s="154"/>
      <c r="O104" s="154"/>
      <c r="P104" s="154"/>
      <c r="Q104" s="154"/>
      <c r="R104" s="154"/>
      <c r="S104" s="154"/>
      <c r="T104" s="154"/>
      <c r="U104" s="154"/>
      <c r="V104" s="154"/>
      <c r="Z104" s="154"/>
      <c r="AA104" s="154"/>
      <c r="AB104" s="154"/>
      <c r="AC104" s="154"/>
      <c r="AD104" s="154"/>
      <c r="AE104" s="154"/>
      <c r="AF104" s="180"/>
      <c r="AG104" s="180"/>
      <c r="AH104" s="154" t="s">
        <v>328</v>
      </c>
      <c r="AI104" s="154" t="s">
        <v>329</v>
      </c>
      <c r="AJ104" s="154"/>
      <c r="AM104" s="35">
        <f t="shared" si="20"/>
        <v>32.768000000000001</v>
      </c>
      <c r="AN104" s="35">
        <f t="shared" si="21"/>
        <v>0</v>
      </c>
      <c r="AO104" s="35">
        <f>IF(ISBLANK($A104),,ROUNDDOWN(I104*AQ6*1.024,))</f>
        <v>73</v>
      </c>
      <c r="AP104" s="35">
        <f>IF(ISBLANK($A104),,ROUNDDOWN(L104*AQ6*1.024,))</f>
        <v>0</v>
      </c>
      <c r="AQ104" s="35">
        <f>IF(ISBLANK($A104),,ROUNDDOWN(N104*AQ6*1.024,))</f>
        <v>0</v>
      </c>
      <c r="AR104" s="35">
        <f>IF(ISBLANK($A104),,ROUNDDOWN(P104*AQ6*1.024,))</f>
        <v>0</v>
      </c>
      <c r="AS104" s="35">
        <f>IF(ISBLANK($A104),,ROUNDDOWN(R104*AQ6*1.024,))</f>
        <v>0</v>
      </c>
      <c r="AT104" s="115">
        <f t="shared" si="22"/>
        <v>0</v>
      </c>
      <c r="AU104" s="35">
        <f>IF(ISBLANK($A104),,ROUNDDOWN(V104*AQ6*1.024,))</f>
        <v>0</v>
      </c>
      <c r="AV104" s="35">
        <f>IF(ISBLANK($A104),,ROUNDDOWN(X104*AQ6*1.024,))</f>
        <v>0</v>
      </c>
    </row>
    <row r="105" spans="1:48">
      <c r="A105" s="115" t="s">
        <v>446</v>
      </c>
      <c r="B105" s="115"/>
      <c r="C105" s="101" t="s">
        <v>444</v>
      </c>
      <c r="D105" s="115" t="s">
        <v>427</v>
      </c>
      <c r="E105" s="101" t="s">
        <v>45</v>
      </c>
      <c r="F105" s="114">
        <v>8</v>
      </c>
      <c r="G105" s="114">
        <v>32</v>
      </c>
      <c r="H105" s="102">
        <v>0</v>
      </c>
      <c r="I105" s="114">
        <v>80</v>
      </c>
      <c r="J105" s="114">
        <f>G105-H105</f>
        <v>32</v>
      </c>
      <c r="K105" s="114" t="s">
        <v>445</v>
      </c>
      <c r="L105" s="114"/>
      <c r="M105" s="114"/>
      <c r="N105" s="114"/>
      <c r="O105" s="114"/>
      <c r="P105" s="114"/>
      <c r="Q105" s="114"/>
      <c r="R105" s="114"/>
      <c r="S105" s="114"/>
      <c r="T105" s="114"/>
      <c r="U105" s="114"/>
      <c r="V105" s="114"/>
      <c r="W105" s="115"/>
      <c r="X105" s="115"/>
      <c r="Y105" s="115"/>
      <c r="Z105" s="114"/>
      <c r="AA105" s="114"/>
      <c r="AB105" s="114"/>
      <c r="AC105" s="114"/>
      <c r="AD105" s="114"/>
      <c r="AE105" s="114"/>
      <c r="AF105" s="114"/>
      <c r="AG105" s="114"/>
      <c r="AH105" s="114" t="s">
        <v>328</v>
      </c>
      <c r="AI105" s="114" t="s">
        <v>329</v>
      </c>
      <c r="AJ105" s="114"/>
      <c r="AM105" s="35">
        <f t="shared" si="20"/>
        <v>32.768000000000001</v>
      </c>
      <c r="AN105" s="35">
        <f t="shared" si="21"/>
        <v>0</v>
      </c>
      <c r="AO105" s="35">
        <f>IF(ISBLANK($A105),,ROUNDDOWN(I105*AQ6*1.024,))</f>
        <v>73</v>
      </c>
      <c r="AP105" s="35">
        <f>IF(ISBLANK($A105),,ROUNDDOWN(L105*AQ6*1.024,))</f>
        <v>0</v>
      </c>
      <c r="AQ105" s="35">
        <f>IF(ISBLANK($A105),,ROUNDDOWN(N105*AQ6*1.024,))</f>
        <v>0</v>
      </c>
      <c r="AR105" s="35">
        <f>IF(ISBLANK($A105),,ROUNDDOWN(P105*AQ6*1.024,))</f>
        <v>0</v>
      </c>
      <c r="AS105" s="35">
        <f>IF(ISBLANK($A105),,ROUNDDOWN(R105*AQ6*1.024,))</f>
        <v>0</v>
      </c>
      <c r="AT105" s="115">
        <f t="shared" si="22"/>
        <v>0</v>
      </c>
      <c r="AU105" s="35">
        <f>IF(ISBLANK($A105),,ROUNDDOWN(V105*AQ6*1.024,))</f>
        <v>0</v>
      </c>
      <c r="AV105" s="35">
        <f>IF(ISBLANK($A105),,ROUNDDOWN(X105*AQ6*1.024,))</f>
        <v>0</v>
      </c>
    </row>
    <row r="106" spans="1:48" s="101" customFormat="1">
      <c r="A106" s="101" t="s">
        <v>447</v>
      </c>
      <c r="C106" s="101" t="s">
        <v>448</v>
      </c>
      <c r="D106" s="101" t="s">
        <v>326</v>
      </c>
      <c r="E106" s="101" t="s">
        <v>449</v>
      </c>
      <c r="F106" s="102">
        <v>4</v>
      </c>
      <c r="G106" s="102">
        <v>8</v>
      </c>
      <c r="H106" s="102">
        <v>0</v>
      </c>
      <c r="I106" s="102">
        <v>30</v>
      </c>
      <c r="J106" s="102">
        <f>G106-H106</f>
        <v>8</v>
      </c>
      <c r="K106" s="114" t="s">
        <v>450</v>
      </c>
      <c r="L106" s="114"/>
      <c r="M106" s="114"/>
      <c r="N106" s="114"/>
      <c r="O106" s="114"/>
      <c r="P106" s="114"/>
      <c r="Q106" s="114"/>
      <c r="R106" s="114"/>
      <c r="S106" s="114"/>
      <c r="T106" s="114"/>
      <c r="U106" s="114"/>
      <c r="V106" s="102"/>
      <c r="W106" s="102"/>
      <c r="X106" s="102"/>
      <c r="AH106" s="102" t="s">
        <v>328</v>
      </c>
      <c r="AI106" s="102" t="s">
        <v>329</v>
      </c>
      <c r="AJ106" s="102"/>
      <c r="AM106" s="101">
        <f t="shared" si="20"/>
        <v>8.1920000000000002</v>
      </c>
      <c r="AN106" s="101">
        <f t="shared" si="21"/>
        <v>0</v>
      </c>
      <c r="AO106" s="101">
        <f>IF(ISBLANK($A106),,ROUNDDOWN(I106*AQ6*1.024,))</f>
        <v>27</v>
      </c>
      <c r="AP106" s="101">
        <f>IF(ISBLANK($A106),,ROUNDDOWN(L106*AQ6*1.024,))</f>
        <v>0</v>
      </c>
      <c r="AQ106" s="101">
        <f>IF(ISBLANK($A106),,ROUNDDOWN(N106*AQ6*1.024,))</f>
        <v>0</v>
      </c>
      <c r="AR106" s="101">
        <f>IF(ISBLANK($A106),,ROUNDDOWN(P106*AQ6*1.024,))</f>
        <v>0</v>
      </c>
      <c r="AS106" s="101">
        <f>IF(ISBLANK($A106),,ROUNDDOWN(R106*AQ6*1.024,))</f>
        <v>0</v>
      </c>
      <c r="AT106" s="115">
        <f t="shared" si="22"/>
        <v>0</v>
      </c>
      <c r="AU106" s="101">
        <f>IF(ISBLANK($A106),,ROUNDDOWN(V106*AQ24*1.024,))</f>
        <v>0</v>
      </c>
      <c r="AV106" s="101">
        <f>IF(ISBLANK($A106),,ROUNDDOWN(X106*AQ6*1.024,))</f>
        <v>0</v>
      </c>
    </row>
    <row r="107" spans="1:48" s="13" customFormat="1">
      <c r="A107" s="13" t="s">
        <v>451</v>
      </c>
      <c r="C107" s="13" t="s">
        <v>452</v>
      </c>
      <c r="D107" s="13" t="s">
        <v>453</v>
      </c>
      <c r="E107" s="13" t="s">
        <v>65</v>
      </c>
      <c r="F107" s="8">
        <v>8</v>
      </c>
      <c r="G107" s="8">
        <v>6</v>
      </c>
      <c r="H107" s="8">
        <v>0</v>
      </c>
      <c r="I107" s="8">
        <v>70</v>
      </c>
      <c r="J107" s="8">
        <f t="shared" ref="J107" si="23">G107-H107</f>
        <v>6</v>
      </c>
      <c r="K107" s="36" t="s">
        <v>454</v>
      </c>
      <c r="L107" s="36"/>
      <c r="M107" s="36"/>
      <c r="N107" s="36"/>
      <c r="O107" s="36"/>
      <c r="P107" s="36"/>
      <c r="Q107" s="36"/>
      <c r="R107" s="36"/>
      <c r="S107" s="36"/>
      <c r="T107" s="36"/>
      <c r="U107" s="36"/>
      <c r="V107" s="8"/>
      <c r="W107" s="8"/>
      <c r="X107" s="8"/>
      <c r="AH107" s="8" t="s">
        <v>328</v>
      </c>
      <c r="AI107" s="8" t="s">
        <v>329</v>
      </c>
      <c r="AJ107" s="8"/>
      <c r="AM107" s="13">
        <f t="shared" si="20"/>
        <v>6.1440000000000001</v>
      </c>
      <c r="AN107" s="13">
        <f t="shared" si="21"/>
        <v>0</v>
      </c>
      <c r="AO107" s="13">
        <f>IF(ISBLANK($A107),,ROUNDDOWN(I107*AQ6*1.024,))</f>
        <v>64</v>
      </c>
      <c r="AP107" s="13">
        <f>IF(ISBLANK($A107),,ROUNDDOWN(L107*AQ6*1.024,))</f>
        <v>0</v>
      </c>
      <c r="AQ107" s="13">
        <f>IF(ISBLANK($A107),,ROUNDDOWN(N107*AQ6*1.024,))</f>
        <v>0</v>
      </c>
      <c r="AR107" s="13">
        <f>IF(ISBLANK($A107),,ROUNDDOWN(P107*AQ6*1.024,))</f>
        <v>0</v>
      </c>
      <c r="AS107" s="13">
        <f>IF(ISBLANK($A107),,ROUNDDOWN(R107*AQ6*1.024,))</f>
        <v>0</v>
      </c>
      <c r="AT107" s="42">
        <f t="shared" si="22"/>
        <v>0</v>
      </c>
      <c r="AU107" s="13">
        <f>IF(ISBLANK($A107),,ROUNDDOWN(V107*AQ6*1.024,))</f>
        <v>0</v>
      </c>
      <c r="AV107" s="13">
        <f>IF(ISBLANK($A107),,ROUNDDOWN(X107*AQ6*1.024,))</f>
        <v>0</v>
      </c>
    </row>
    <row r="108" spans="1:48">
      <c r="F108" s="154">
        <f>SUM(F98:F107)+F95</f>
        <v>503</v>
      </c>
      <c r="G108" s="154">
        <f>SUM(G98:G107)+G95</f>
        <v>1603</v>
      </c>
      <c r="H108" s="154">
        <f>SUM(H98:H107)+H95</f>
        <v>569</v>
      </c>
      <c r="I108" s="154">
        <f>SUM(I98:I107)+I95</f>
        <v>8765</v>
      </c>
      <c r="J108" s="154">
        <f>SUM(J98:J107)+J95</f>
        <v>94</v>
      </c>
      <c r="K108" s="154"/>
      <c r="L108" s="154">
        <f>SUM(L98:L107)+L95</f>
        <v>500</v>
      </c>
      <c r="M108" s="154"/>
      <c r="N108" s="154">
        <f>SUM(N98:N107)+N95</f>
        <v>16600</v>
      </c>
      <c r="O108" s="154"/>
      <c r="P108" s="154">
        <f>SUM(P98:P107)+P95</f>
        <v>18000</v>
      </c>
      <c r="Q108" s="154"/>
      <c r="R108" s="154">
        <f>SUM(R98:R107)+R95</f>
        <v>1445</v>
      </c>
      <c r="S108" s="154"/>
      <c r="T108" s="154">
        <f>SUM(T98:T107)+T95</f>
        <v>300</v>
      </c>
      <c r="U108" s="154"/>
      <c r="V108" s="154">
        <f>SUM(V98:V107)+V95</f>
        <v>3000</v>
      </c>
      <c r="W108" s="154"/>
      <c r="X108" s="154">
        <f>SUM(X98:X107)+X95</f>
        <v>34400</v>
      </c>
      <c r="Y108" s="154"/>
      <c r="Z108" s="154">
        <f>SUM(Z98:Z107)+Z95</f>
        <v>300</v>
      </c>
      <c r="AA108" s="154"/>
      <c r="AB108" s="154">
        <f>SUM(AB98:AB107)+AB95</f>
        <v>50</v>
      </c>
      <c r="AC108" s="154"/>
      <c r="AD108" s="154">
        <f>SUM(AD98:AD107)+AD95</f>
        <v>200</v>
      </c>
      <c r="AE108" s="154"/>
      <c r="AF108" s="180">
        <f>SUM(AF98:AF107)+AF95</f>
        <v>200</v>
      </c>
      <c r="AG108" s="180"/>
      <c r="AH108" s="154"/>
      <c r="AI108" s="154" t="s">
        <v>704</v>
      </c>
      <c r="AJ108" s="154">
        <v>3</v>
      </c>
    </row>
    <row r="109" spans="1:48">
      <c r="F109" s="154"/>
      <c r="G109" s="154"/>
      <c r="H109" s="154"/>
      <c r="I109" s="154"/>
      <c r="J109" s="154"/>
      <c r="K109" s="154"/>
      <c r="L109" s="154"/>
      <c r="M109" s="154"/>
      <c r="N109" s="154"/>
      <c r="O109" s="154"/>
      <c r="P109" s="154"/>
      <c r="Q109" s="154"/>
      <c r="R109" s="154"/>
      <c r="S109" s="154"/>
      <c r="T109" s="154"/>
      <c r="U109" s="154"/>
      <c r="V109" s="154"/>
      <c r="W109" s="154"/>
      <c r="X109" s="154"/>
      <c r="Y109" s="154"/>
      <c r="Z109" s="154"/>
      <c r="AA109" s="154"/>
      <c r="AB109" s="154"/>
      <c r="AC109" s="154"/>
      <c r="AD109" s="154"/>
      <c r="AE109" s="154"/>
      <c r="AF109" s="180"/>
      <c r="AG109" s="180"/>
      <c r="AH109" s="154"/>
      <c r="AI109" s="154"/>
      <c r="AJ109" s="154"/>
    </row>
    <row r="110" spans="1:48">
      <c r="F110" s="154"/>
      <c r="G110" s="154"/>
      <c r="H110" s="154"/>
      <c r="I110" s="154"/>
      <c r="J110" s="154"/>
      <c r="K110" s="154"/>
      <c r="L110" s="154"/>
      <c r="M110" s="154"/>
      <c r="N110" s="154"/>
      <c r="O110" s="154"/>
      <c r="P110" s="154"/>
      <c r="Q110" s="154"/>
      <c r="R110" s="154"/>
      <c r="S110" s="154"/>
      <c r="T110" s="154"/>
      <c r="U110" s="154"/>
      <c r="V110" s="154"/>
      <c r="W110" s="154"/>
      <c r="X110" s="154"/>
      <c r="Y110" s="154"/>
      <c r="Z110" s="154"/>
      <c r="AA110" s="154"/>
      <c r="AB110" s="154"/>
      <c r="AC110" s="154"/>
      <c r="AD110" s="154"/>
      <c r="AE110" s="154"/>
      <c r="AF110" s="180"/>
      <c r="AG110" s="180"/>
      <c r="AH110" s="154"/>
      <c r="AI110" s="154"/>
      <c r="AJ110" s="154"/>
    </row>
    <row r="112" spans="1:48" ht="15">
      <c r="A112" s="219" t="s">
        <v>316</v>
      </c>
      <c r="B112" s="220"/>
      <c r="C112" s="220"/>
    </row>
    <row r="113" spans="1:6">
      <c r="A113" s="149" t="s">
        <v>455</v>
      </c>
      <c r="B113" s="149" t="s">
        <v>456</v>
      </c>
      <c r="C113" s="149" t="s">
        <v>457</v>
      </c>
      <c r="D113" s="4"/>
      <c r="E113" s="4"/>
      <c r="F113" s="4"/>
    </row>
    <row r="114" spans="1:6">
      <c r="A114" s="124" t="s">
        <v>335</v>
      </c>
      <c r="B114" s="125">
        <f t="array" ref="B114">SUM(IF(K8:K106=A114,I8:J106,""))</f>
        <v>909</v>
      </c>
      <c r="C114" s="126">
        <v>2000</v>
      </c>
    </row>
    <row r="115" spans="1:6">
      <c r="A115" s="124" t="s">
        <v>337</v>
      </c>
      <c r="B115" s="125">
        <f t="array" ref="B115">SUM(IF(K8:K106=A115,I8:J106,""),AD23)</f>
        <v>1204</v>
      </c>
      <c r="C115" s="126">
        <v>2000</v>
      </c>
    </row>
    <row r="116" spans="1:6">
      <c r="A116" s="124" t="s">
        <v>343</v>
      </c>
      <c r="B116" s="125">
        <f t="array" ref="B116">SUM(IF(K8:K106=A116,I8:J106,""),AB19,AD24)</f>
        <v>1198</v>
      </c>
      <c r="C116" s="126">
        <v>2000</v>
      </c>
    </row>
    <row r="117" spans="1:6">
      <c r="A117" s="124" t="s">
        <v>458</v>
      </c>
      <c r="B117" s="126">
        <v>10</v>
      </c>
      <c r="C117" s="126">
        <v>40</v>
      </c>
    </row>
    <row r="118" spans="1:6">
      <c r="A118" s="124" t="s">
        <v>459</v>
      </c>
      <c r="B118" s="126">
        <v>10</v>
      </c>
      <c r="C118" s="126">
        <v>40</v>
      </c>
    </row>
    <row r="119" spans="1:6">
      <c r="A119" s="124" t="s">
        <v>460</v>
      </c>
      <c r="B119" s="126">
        <v>10</v>
      </c>
      <c r="C119" s="126">
        <v>40</v>
      </c>
    </row>
    <row r="120" spans="1:6">
      <c r="A120" s="124" t="s">
        <v>461</v>
      </c>
      <c r="B120" s="126">
        <v>10</v>
      </c>
      <c r="C120" s="126">
        <v>40</v>
      </c>
    </row>
    <row r="121" spans="1:6">
      <c r="A121" s="124" t="s">
        <v>462</v>
      </c>
      <c r="B121" s="126">
        <v>10</v>
      </c>
      <c r="C121" s="126">
        <v>40</v>
      </c>
    </row>
    <row r="122" spans="1:6">
      <c r="A122" s="124" t="s">
        <v>499</v>
      </c>
      <c r="B122" s="126">
        <v>10</v>
      </c>
      <c r="C122" s="126">
        <v>40</v>
      </c>
    </row>
    <row r="123" spans="1:6" ht="15">
      <c r="A123" s="124" t="s">
        <v>531</v>
      </c>
      <c r="B123" s="126">
        <v>230</v>
      </c>
      <c r="C123" s="126">
        <f>$L$11/2</f>
        <v>250</v>
      </c>
      <c r="D123" s="129"/>
      <c r="E123" s="152"/>
      <c r="F123" s="154"/>
    </row>
    <row r="124" spans="1:6" ht="15">
      <c r="A124" s="124" t="s">
        <v>532</v>
      </c>
      <c r="B124" s="126">
        <v>230</v>
      </c>
      <c r="C124" s="126">
        <f>$L$11/2</f>
        <v>250</v>
      </c>
      <c r="D124" s="129"/>
      <c r="E124" s="152"/>
      <c r="F124" s="154"/>
    </row>
    <row r="125" spans="1:6">
      <c r="A125" s="124" t="s">
        <v>533</v>
      </c>
      <c r="B125" s="126">
        <v>1900</v>
      </c>
      <c r="C125" s="126">
        <f>$N$11/8</f>
        <v>2050</v>
      </c>
      <c r="E125" s="154"/>
      <c r="F125" s="117"/>
    </row>
    <row r="126" spans="1:6" ht="13.35" customHeight="1">
      <c r="A126" s="124" t="s">
        <v>534</v>
      </c>
      <c r="B126" s="126">
        <v>1900</v>
      </c>
      <c r="C126" s="126">
        <f t="shared" ref="C126:C132" si="24">$N$11/8</f>
        <v>2050</v>
      </c>
      <c r="E126" s="154"/>
      <c r="F126" s="117"/>
    </row>
    <row r="127" spans="1:6" ht="13.35" customHeight="1">
      <c r="A127" s="124" t="s">
        <v>535</v>
      </c>
      <c r="B127" s="126">
        <v>1900</v>
      </c>
      <c r="C127" s="126">
        <f t="shared" si="24"/>
        <v>2050</v>
      </c>
      <c r="E127" s="154"/>
      <c r="F127" s="117"/>
    </row>
    <row r="128" spans="1:6" ht="13.35" customHeight="1">
      <c r="A128" s="124" t="s">
        <v>536</v>
      </c>
      <c r="B128" s="126">
        <v>1900</v>
      </c>
      <c r="C128" s="126">
        <f t="shared" si="24"/>
        <v>2050</v>
      </c>
      <c r="D128" s="116"/>
      <c r="E128" s="154"/>
      <c r="F128" s="117"/>
    </row>
    <row r="129" spans="1:6" ht="13.35" customHeight="1">
      <c r="A129" s="124" t="s">
        <v>537</v>
      </c>
      <c r="B129" s="126">
        <v>1900</v>
      </c>
      <c r="C129" s="126">
        <f t="shared" si="24"/>
        <v>2050</v>
      </c>
      <c r="D129" s="116"/>
      <c r="E129" s="154"/>
      <c r="F129" s="117"/>
    </row>
    <row r="130" spans="1:6" ht="13.35" customHeight="1">
      <c r="A130" s="124" t="s">
        <v>538</v>
      </c>
      <c r="B130" s="126">
        <v>1900</v>
      </c>
      <c r="C130" s="126">
        <f t="shared" si="24"/>
        <v>2050</v>
      </c>
      <c r="D130" s="116"/>
      <c r="E130" s="154"/>
      <c r="F130" s="117"/>
    </row>
    <row r="131" spans="1:6" ht="13.35" customHeight="1">
      <c r="A131" s="124" t="s">
        <v>539</v>
      </c>
      <c r="B131" s="126">
        <v>1900</v>
      </c>
      <c r="C131" s="126">
        <f t="shared" si="24"/>
        <v>2050</v>
      </c>
      <c r="D131" s="116"/>
      <c r="E131" s="154"/>
      <c r="F131" s="117"/>
    </row>
    <row r="132" spans="1:6" ht="13.35" customHeight="1">
      <c r="A132" s="124" t="s">
        <v>540</v>
      </c>
      <c r="B132" s="126">
        <v>1900</v>
      </c>
      <c r="C132" s="126">
        <f t="shared" si="24"/>
        <v>2050</v>
      </c>
      <c r="D132" s="116"/>
      <c r="F132" s="117"/>
    </row>
    <row r="133" spans="1:6">
      <c r="A133" s="124" t="s">
        <v>541</v>
      </c>
      <c r="B133" s="126">
        <v>8300</v>
      </c>
      <c r="C133" s="126">
        <v>9000</v>
      </c>
      <c r="E133" s="154"/>
      <c r="F133" s="154"/>
    </row>
    <row r="134" spans="1:6" ht="13.35" customHeight="1">
      <c r="A134" s="124" t="s">
        <v>542</v>
      </c>
      <c r="B134" s="126">
        <v>8300</v>
      </c>
      <c r="C134" s="126">
        <v>9000</v>
      </c>
      <c r="E134" s="154"/>
      <c r="F134" s="154"/>
    </row>
    <row r="135" spans="1:6">
      <c r="A135" s="124" t="s">
        <v>543</v>
      </c>
      <c r="B135" s="126">
        <f>656+42+15</f>
        <v>713</v>
      </c>
      <c r="C135" s="126">
        <v>795</v>
      </c>
      <c r="E135" s="154"/>
      <c r="F135" s="154"/>
    </row>
    <row r="136" spans="1:6" ht="13.35" customHeight="1">
      <c r="A136" s="124" t="s">
        <v>544</v>
      </c>
      <c r="B136" s="126">
        <f>480+42+15</f>
        <v>537</v>
      </c>
      <c r="C136" s="126">
        <v>600</v>
      </c>
      <c r="E136" s="154"/>
      <c r="F136" s="154"/>
    </row>
    <row r="137" spans="1:6">
      <c r="A137" s="124" t="s">
        <v>137</v>
      </c>
      <c r="B137" s="126">
        <v>276.48</v>
      </c>
      <c r="C137" s="126">
        <v>300</v>
      </c>
      <c r="F137" s="154"/>
    </row>
    <row r="138" spans="1:6" ht="12.6" customHeight="1">
      <c r="A138" s="124" t="s">
        <v>366</v>
      </c>
      <c r="B138" s="126">
        <v>300</v>
      </c>
      <c r="C138" s="126">
        <v>330</v>
      </c>
      <c r="F138" s="154"/>
    </row>
    <row r="139" spans="1:6">
      <c r="A139" s="124" t="s">
        <v>545</v>
      </c>
      <c r="B139" s="126">
        <v>3900</v>
      </c>
      <c r="C139" s="126">
        <v>4200</v>
      </c>
      <c r="E139" s="154"/>
      <c r="F139" s="154"/>
    </row>
    <row r="140" spans="1:6" ht="12.6" customHeight="1">
      <c r="A140" s="124" t="s">
        <v>546</v>
      </c>
      <c r="B140" s="126">
        <v>3900</v>
      </c>
      <c r="C140" s="126">
        <v>4200</v>
      </c>
      <c r="E140" s="154"/>
      <c r="F140" s="154"/>
    </row>
    <row r="141" spans="1:6" ht="12.6" customHeight="1">
      <c r="A141" s="124" t="s">
        <v>547</v>
      </c>
      <c r="B141" s="126">
        <v>3900</v>
      </c>
      <c r="C141" s="126">
        <v>4200</v>
      </c>
      <c r="E141" s="154"/>
      <c r="F141" s="154"/>
    </row>
    <row r="142" spans="1:6" ht="12.6" customHeight="1">
      <c r="A142" s="124" t="s">
        <v>548</v>
      </c>
      <c r="B142" s="126">
        <v>3900</v>
      </c>
      <c r="C142" s="126">
        <v>4200</v>
      </c>
      <c r="E142" s="154"/>
      <c r="F142" s="154"/>
    </row>
    <row r="143" spans="1:6" ht="12.6" customHeight="1">
      <c r="A143" s="124" t="s">
        <v>549</v>
      </c>
      <c r="B143" s="126">
        <v>3900</v>
      </c>
      <c r="C143" s="126">
        <v>4200</v>
      </c>
      <c r="E143" s="154"/>
      <c r="F143" s="154"/>
    </row>
    <row r="144" spans="1:6" ht="12.6" customHeight="1">
      <c r="A144" s="124" t="s">
        <v>550</v>
      </c>
      <c r="B144" s="126">
        <v>3900</v>
      </c>
      <c r="C144" s="126">
        <v>4200</v>
      </c>
      <c r="E144" s="154"/>
      <c r="F144" s="154"/>
    </row>
    <row r="145" spans="1:6" ht="12.6" customHeight="1">
      <c r="A145" s="124" t="s">
        <v>551</v>
      </c>
      <c r="B145" s="126">
        <v>3900</v>
      </c>
      <c r="C145" s="126">
        <v>4200</v>
      </c>
      <c r="E145" s="154"/>
      <c r="F145" s="154"/>
    </row>
    <row r="146" spans="1:6" ht="12.6" customHeight="1">
      <c r="A146" s="124" t="s">
        <v>552</v>
      </c>
      <c r="B146" s="126">
        <v>3900</v>
      </c>
      <c r="C146" s="126">
        <v>4200</v>
      </c>
      <c r="E146" s="154"/>
      <c r="F146" s="154"/>
    </row>
    <row r="147" spans="1:6" ht="12.6" customHeight="1">
      <c r="A147" s="124" t="s">
        <v>527</v>
      </c>
      <c r="B147" s="126">
        <v>737</v>
      </c>
      <c r="C147" s="126">
        <v>800</v>
      </c>
      <c r="E147" s="154"/>
      <c r="F147" s="154"/>
    </row>
    <row r="148" spans="1:6" s="122" customFormat="1">
      <c r="A148" s="130" t="s">
        <v>529</v>
      </c>
      <c r="B148" s="131">
        <f>3200</f>
        <v>3200</v>
      </c>
      <c r="C148" s="131">
        <v>3600</v>
      </c>
      <c r="E148" s="154"/>
      <c r="F148" s="154"/>
    </row>
    <row r="149" spans="1:6">
      <c r="A149" s="124" t="s">
        <v>327</v>
      </c>
      <c r="B149" s="145" cm="1">
        <f t="array" ref="B149">SUM(IF(K8:K107=A149,I8:J107,""))</f>
        <v>829</v>
      </c>
      <c r="C149" s="145">
        <f>IF(E9="vCSA7.0",900, 700)</f>
        <v>900</v>
      </c>
    </row>
    <row r="150" spans="1:6">
      <c r="A150" s="124" t="s">
        <v>695</v>
      </c>
      <c r="B150" s="145">
        <f>IF(OR(E51=1,E51=2,E51=3,E51=4),VLOOKUP(E51,A160:F165,4,FALSE),VLOOKUP(1,A160:F165,4,FALSE))</f>
        <v>200</v>
      </c>
      <c r="C150" s="145">
        <f>IF(OR(E51=1,E51=2,E51=3,E51=4),VLOOKUP(E51,A160:F165,5,FALSE),VLOOKUP(1,A160:F165,5,FALSE))</f>
        <v>225</v>
      </c>
    </row>
    <row r="151" spans="1:6">
      <c r="A151" s="169" t="s">
        <v>676</v>
      </c>
      <c r="B151" s="170">
        <v>58</v>
      </c>
      <c r="C151" s="171">
        <v>100</v>
      </c>
    </row>
    <row r="152" spans="1:6">
      <c r="A152" s="124" t="s">
        <v>405</v>
      </c>
      <c r="B152" s="126">
        <v>1110</v>
      </c>
      <c r="C152" s="126">
        <v>2500</v>
      </c>
    </row>
    <row r="153" spans="1:6">
      <c r="A153" s="85" t="s">
        <v>469</v>
      </c>
      <c r="B153" s="126"/>
      <c r="C153" s="126"/>
    </row>
    <row r="160" spans="1:6" ht="15">
      <c r="A160" s="217" t="s">
        <v>711</v>
      </c>
      <c r="B160" s="218"/>
      <c r="C160" s="218"/>
      <c r="D160" s="218"/>
      <c r="E160" s="218"/>
      <c r="F160" s="218"/>
    </row>
    <row r="161" spans="1:6" ht="25.5">
      <c r="A161" s="189" t="s">
        <v>712</v>
      </c>
      <c r="B161" s="189" t="s">
        <v>474</v>
      </c>
      <c r="C161" s="189" t="s">
        <v>713</v>
      </c>
      <c r="D161" s="189" t="s">
        <v>714</v>
      </c>
      <c r="E161" s="189" t="s">
        <v>714</v>
      </c>
      <c r="F161" s="189" t="s">
        <v>715</v>
      </c>
    </row>
    <row r="162" spans="1:6">
      <c r="A162" s="190">
        <v>1</v>
      </c>
      <c r="B162" s="190">
        <v>8</v>
      </c>
      <c r="C162" s="190">
        <v>32</v>
      </c>
      <c r="D162" s="190">
        <v>200</v>
      </c>
      <c r="E162" s="190">
        <v>225</v>
      </c>
      <c r="F162" s="190">
        <v>4000</v>
      </c>
    </row>
    <row r="163" spans="1:6">
      <c r="A163" s="190">
        <v>2</v>
      </c>
      <c r="B163" s="190">
        <v>10</v>
      </c>
      <c r="C163" s="190">
        <v>32</v>
      </c>
      <c r="D163" s="190">
        <v>315</v>
      </c>
      <c r="E163" s="190">
        <v>350</v>
      </c>
      <c r="F163" s="190">
        <v>4000</v>
      </c>
    </row>
    <row r="164" spans="1:6">
      <c r="A164" s="190">
        <v>3</v>
      </c>
      <c r="B164" s="190">
        <v>12</v>
      </c>
      <c r="C164" s="190">
        <v>32</v>
      </c>
      <c r="D164" s="190">
        <v>360</v>
      </c>
      <c r="E164" s="190">
        <v>400</v>
      </c>
      <c r="F164" s="190">
        <v>4000</v>
      </c>
    </row>
    <row r="165" spans="1:6">
      <c r="A165" s="190">
        <v>4</v>
      </c>
      <c r="B165" s="190">
        <v>12</v>
      </c>
      <c r="C165" s="190">
        <v>32</v>
      </c>
      <c r="D165" s="190">
        <v>360</v>
      </c>
      <c r="E165" s="190">
        <v>400</v>
      </c>
      <c r="F165" s="190">
        <v>4000</v>
      </c>
    </row>
  </sheetData>
  <mergeCells count="11">
    <mergeCell ref="A1:E1"/>
    <mergeCell ref="A3:B3"/>
    <mergeCell ref="F3:G3"/>
    <mergeCell ref="A4:B4"/>
    <mergeCell ref="A5:B5"/>
    <mergeCell ref="A160:F160"/>
    <mergeCell ref="H47:O49"/>
    <mergeCell ref="A112:C112"/>
    <mergeCell ref="A48:D48"/>
    <mergeCell ref="A47:D47"/>
    <mergeCell ref="A51:D51"/>
  </mergeCells>
  <dataValidations count="2">
    <dataValidation type="list" allowBlank="1" showInputMessage="1" showErrorMessage="1" sqref="E9" xr:uid="{9983BDC1-BA09-4A6F-A950-7D2BB6CF2AEE}">
      <formula1>"vCSA7.0, vCSA6.5"</formula1>
    </dataValidation>
    <dataValidation type="list" allowBlank="1" showInputMessage="1" showErrorMessage="1" error="1 To 4 NetAct cluster are allowed to integrated to a Single NAPD." prompt="Select total number of NetAct clusters planned to integrate to NAPD. By default, computing resources shown is for ONE NetAct cluster." sqref="E51" xr:uid="{902D55EC-665B-4773-B69B-1136BB99C194}">
      <formula1>"1,2,3,4"</formula1>
    </dataValidation>
  </dataValidations>
  <hyperlinks>
    <hyperlink ref="F3:G3" location="Shortcuts!A1" display="Back to shortcuts" xr:uid="{6C8F8FD1-132A-42F6-8317-3A793F507534}"/>
  </hyperlinks>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99BDB-B6B4-4A2F-8A8A-F18EE5BFF34E}">
  <dimension ref="A1:AV94"/>
  <sheetViews>
    <sheetView zoomScale="85" zoomScaleNormal="85" zoomScalePageLayoutView="70" workbookViewId="0">
      <selection activeCell="A11" sqref="A11"/>
    </sheetView>
  </sheetViews>
  <sheetFormatPr defaultColWidth="8.5703125" defaultRowHeight="12.75"/>
  <cols>
    <col min="1" max="1" width="10.85546875" style="3" customWidth="1"/>
    <col min="2" max="2" width="15.5703125" style="3" customWidth="1"/>
    <col min="3" max="3" width="14.85546875" style="3" customWidth="1"/>
    <col min="4" max="4" width="23.42578125" style="3" customWidth="1"/>
    <col min="5" max="5" width="55.42578125" style="3" customWidth="1"/>
    <col min="6" max="6" width="8.5703125" style="3"/>
    <col min="7" max="7" width="24" style="3" customWidth="1"/>
    <col min="8" max="8" width="21.42578125" style="3" customWidth="1"/>
    <col min="9" max="10" width="8.5703125" style="3"/>
    <col min="11" max="11" width="17.85546875" style="3" customWidth="1"/>
    <col min="12" max="12" width="8.5703125" style="3"/>
    <col min="13" max="13" width="9.5703125" style="3" customWidth="1"/>
    <col min="14" max="14" width="8.5703125" style="3"/>
    <col min="15" max="15" width="11.5703125" style="3" customWidth="1"/>
    <col min="16" max="16" width="8.5703125" style="3"/>
    <col min="17" max="17" width="9.5703125" style="3" customWidth="1"/>
    <col min="18" max="18" width="8.5703125" style="3"/>
    <col min="19" max="21" width="9.5703125" style="3" customWidth="1"/>
    <col min="22" max="22" width="8.5703125" style="3"/>
    <col min="23" max="23" width="9.5703125" style="3" customWidth="1"/>
    <col min="24" max="24" width="11.140625" style="3" customWidth="1"/>
    <col min="25" max="26" width="9.5703125" style="3" customWidth="1"/>
    <col min="27" max="33" width="13.42578125" style="3" customWidth="1"/>
    <col min="34" max="34" width="22" style="3" customWidth="1"/>
    <col min="35" max="35" width="12.42578125" style="3" customWidth="1"/>
    <col min="36" max="36" width="13.42578125" style="3" customWidth="1"/>
    <col min="37" max="39" width="8.5703125" style="3"/>
    <col min="40" max="40" width="18.5703125" style="3" customWidth="1"/>
    <col min="41" max="47" width="8.5703125" style="3"/>
    <col min="48" max="48" width="11.140625" style="3" customWidth="1"/>
    <col min="49" max="16384" width="8.5703125" style="3"/>
  </cols>
  <sheetData>
    <row r="1" spans="1:48">
      <c r="A1" s="155" t="s">
        <v>4</v>
      </c>
      <c r="B1" s="155"/>
      <c r="C1" s="155"/>
      <c r="D1" s="155"/>
      <c r="E1" s="156"/>
      <c r="F1" s="155" t="s">
        <v>708</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row>
    <row r="3" spans="1:48" ht="15">
      <c r="A3" s="225" t="s">
        <v>632</v>
      </c>
      <c r="B3" s="225"/>
      <c r="C3" s="16"/>
      <c r="D3" s="156" t="s">
        <v>553</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8">
      <c r="A4" s="225" t="s">
        <v>303</v>
      </c>
      <c r="B4" s="225"/>
      <c r="C4" s="16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8">
      <c r="A5" s="225" t="s">
        <v>305</v>
      </c>
      <c r="B5" s="225"/>
      <c r="C5" s="156" t="s">
        <v>306</v>
      </c>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row>
    <row r="6" spans="1:48">
      <c r="A6" s="156"/>
      <c r="B6" s="156"/>
      <c r="C6" s="35" t="s">
        <v>307</v>
      </c>
      <c r="D6" s="156"/>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7" t="s">
        <v>308</v>
      </c>
      <c r="AN6" s="7"/>
      <c r="AO6" s="156"/>
      <c r="AP6" s="156" t="s">
        <v>309</v>
      </c>
      <c r="AQ6" s="156">
        <v>0.9</v>
      </c>
      <c r="AR6" s="156"/>
      <c r="AS6" s="156"/>
      <c r="AT6" s="156"/>
      <c r="AU6" s="156"/>
      <c r="AV6" s="156"/>
    </row>
    <row r="7" spans="1:48" ht="25.5">
      <c r="A7" s="5" t="s">
        <v>160</v>
      </c>
      <c r="B7" s="5" t="s">
        <v>310</v>
      </c>
      <c r="C7" s="5" t="s">
        <v>311</v>
      </c>
      <c r="D7" s="5" t="s">
        <v>312</v>
      </c>
      <c r="E7" s="5" t="s">
        <v>313</v>
      </c>
      <c r="F7" s="4" t="s">
        <v>103</v>
      </c>
      <c r="G7" s="4" t="s">
        <v>109</v>
      </c>
      <c r="H7" s="4" t="s">
        <v>314</v>
      </c>
      <c r="I7" s="4" t="s">
        <v>113</v>
      </c>
      <c r="J7" s="4" t="s">
        <v>315</v>
      </c>
      <c r="K7" s="4" t="s">
        <v>316</v>
      </c>
      <c r="L7" s="4" t="s">
        <v>118</v>
      </c>
      <c r="M7" s="4" t="s">
        <v>316</v>
      </c>
      <c r="N7" s="4" t="s">
        <v>20</v>
      </c>
      <c r="O7" s="4" t="s">
        <v>316</v>
      </c>
      <c r="P7" s="4" t="s">
        <v>122</v>
      </c>
      <c r="Q7" s="4" t="s">
        <v>316</v>
      </c>
      <c r="R7" s="4" t="s">
        <v>130</v>
      </c>
      <c r="S7" s="4" t="s">
        <v>316</v>
      </c>
      <c r="T7" s="4" t="s">
        <v>137</v>
      </c>
      <c r="U7" s="4" t="s">
        <v>316</v>
      </c>
      <c r="V7" s="4" t="s">
        <v>126</v>
      </c>
      <c r="W7" s="4" t="s">
        <v>316</v>
      </c>
      <c r="X7" s="4" t="s">
        <v>317</v>
      </c>
      <c r="Y7" s="4" t="s">
        <v>316</v>
      </c>
      <c r="Z7" s="4" t="s">
        <v>554</v>
      </c>
      <c r="AA7" s="4" t="s">
        <v>316</v>
      </c>
      <c r="AB7" s="4" t="s">
        <v>319</v>
      </c>
      <c r="AC7" s="4" t="s">
        <v>316</v>
      </c>
      <c r="AD7" s="4" t="s">
        <v>320</v>
      </c>
      <c r="AE7" s="4" t="s">
        <v>316</v>
      </c>
      <c r="AF7" s="95" t="s">
        <v>321</v>
      </c>
      <c r="AG7" s="4" t="s">
        <v>316</v>
      </c>
      <c r="AH7" s="4" t="s">
        <v>322</v>
      </c>
      <c r="AI7" s="4" t="s">
        <v>323</v>
      </c>
      <c r="AJ7" s="4" t="s">
        <v>324</v>
      </c>
      <c r="AK7" s="156"/>
      <c r="AL7" s="156"/>
      <c r="AM7" s="4" t="s">
        <v>109</v>
      </c>
      <c r="AN7" s="4" t="s">
        <v>314</v>
      </c>
      <c r="AO7" s="4" t="s">
        <v>113</v>
      </c>
      <c r="AP7" s="4" t="s">
        <v>118</v>
      </c>
      <c r="AQ7" s="4" t="s">
        <v>20</v>
      </c>
      <c r="AR7" s="4" t="s">
        <v>122</v>
      </c>
      <c r="AS7" s="4" t="s">
        <v>130</v>
      </c>
      <c r="AT7" s="4" t="s">
        <v>137</v>
      </c>
      <c r="AU7" s="4" t="s">
        <v>126</v>
      </c>
      <c r="AV7" s="4" t="s">
        <v>317</v>
      </c>
    </row>
    <row r="8" spans="1:48">
      <c r="A8" s="16" t="s">
        <v>325</v>
      </c>
      <c r="B8" s="17"/>
      <c r="C8" s="16" t="s">
        <v>333</v>
      </c>
      <c r="D8" s="16" t="s">
        <v>453</v>
      </c>
      <c r="E8" s="16" t="s">
        <v>8</v>
      </c>
      <c r="F8" s="17">
        <v>4</v>
      </c>
      <c r="G8" s="17">
        <v>4</v>
      </c>
      <c r="H8" s="17">
        <v>0</v>
      </c>
      <c r="I8" s="17">
        <v>350</v>
      </c>
      <c r="J8" s="17">
        <f>G8-H8</f>
        <v>4</v>
      </c>
      <c r="K8" s="17" t="s">
        <v>327</v>
      </c>
      <c r="L8" s="17"/>
      <c r="M8" s="17"/>
      <c r="N8" s="17"/>
      <c r="O8" s="17"/>
      <c r="P8" s="17"/>
      <c r="Q8" s="17"/>
      <c r="R8" s="17"/>
      <c r="S8" s="17"/>
      <c r="T8" s="17"/>
      <c r="U8" s="17"/>
      <c r="V8" s="17"/>
      <c r="W8" s="17"/>
      <c r="X8" s="17"/>
      <c r="Y8" s="17"/>
      <c r="Z8" s="17"/>
      <c r="AA8" s="17"/>
      <c r="AB8" s="17"/>
      <c r="AC8" s="17"/>
      <c r="AD8" s="17"/>
      <c r="AE8" s="17"/>
      <c r="AF8" s="152"/>
      <c r="AG8" s="152"/>
      <c r="AH8" s="17" t="s">
        <v>328</v>
      </c>
      <c r="AI8" s="17" t="s">
        <v>329</v>
      </c>
      <c r="AJ8" s="17"/>
      <c r="AK8" s="156"/>
      <c r="AL8" s="156"/>
      <c r="AM8" s="156">
        <f t="shared" ref="AM8:AN28" si="0">IF(ISBLANK($A8),,G8*1.024)</f>
        <v>4.0960000000000001</v>
      </c>
      <c r="AN8" s="156">
        <f t="shared" si="0"/>
        <v>0</v>
      </c>
      <c r="AO8" s="156">
        <f>IF(ISBLANK($A8),,ROUNDDOWN(I8*AQ6*1.024,))</f>
        <v>322</v>
      </c>
      <c r="AP8" s="156">
        <f>IF(ISBLANK($A8),,ROUNDDOWN(L8*AQ6*1.024,))</f>
        <v>0</v>
      </c>
      <c r="AQ8" s="156">
        <f>IF(ISBLANK($A8),,ROUNDDOWN(N8*AQ6*1.024,))</f>
        <v>0</v>
      </c>
      <c r="AR8" s="156">
        <f>IF(ISBLANK($A8),,ROUNDDOWN(P8*AQ6*1.024,))</f>
        <v>0</v>
      </c>
      <c r="AS8" s="156">
        <f>IF(ISBLANK($A8),,ROUNDDOWN(R8*AQ6*1.024,))</f>
        <v>0</v>
      </c>
      <c r="AT8" s="156">
        <f>IF(ISBLANK($A8),,ROUNDDOWN(T8*AQ$6*1.024,))</f>
        <v>0</v>
      </c>
      <c r="AU8" s="156">
        <f>IF(ISBLANK($A8),,ROUNDDOWN(V8*AQ6*1.024,))</f>
        <v>0</v>
      </c>
      <c r="AV8" s="156">
        <f>IF(ISBLANK($A8),,ROUNDDOWN(X8*AQ6*1.024,))</f>
        <v>0</v>
      </c>
    </row>
    <row r="9" spans="1:48">
      <c r="A9" s="156" t="s">
        <v>331</v>
      </c>
      <c r="B9" s="152" t="s">
        <v>332</v>
      </c>
      <c r="C9" s="156" t="s">
        <v>333</v>
      </c>
      <c r="D9" s="156" t="s">
        <v>453</v>
      </c>
      <c r="E9" s="156" t="s">
        <v>334</v>
      </c>
      <c r="F9" s="152">
        <v>4</v>
      </c>
      <c r="G9" s="152">
        <v>4</v>
      </c>
      <c r="H9" s="152">
        <v>4</v>
      </c>
      <c r="I9" s="152">
        <v>41</v>
      </c>
      <c r="J9" s="154">
        <f t="shared" ref="J9:J30" si="1">G9-H9</f>
        <v>0</v>
      </c>
      <c r="K9" s="152" t="s">
        <v>335</v>
      </c>
      <c r="L9" s="152"/>
      <c r="M9" s="152"/>
      <c r="N9" s="152"/>
      <c r="O9" s="152"/>
      <c r="P9" s="152"/>
      <c r="Q9" s="152"/>
      <c r="R9" s="152"/>
      <c r="S9" s="152"/>
      <c r="T9" s="152"/>
      <c r="U9" s="152"/>
      <c r="V9" s="152"/>
      <c r="W9" s="152"/>
      <c r="X9" s="152"/>
      <c r="Y9" s="152"/>
      <c r="Z9" s="152"/>
      <c r="AA9" s="152"/>
      <c r="AB9" s="152"/>
      <c r="AC9" s="152"/>
      <c r="AD9" s="152"/>
      <c r="AE9" s="152"/>
      <c r="AF9" s="152"/>
      <c r="AG9" s="152"/>
      <c r="AH9" s="152" t="s">
        <v>328</v>
      </c>
      <c r="AI9" s="152" t="s">
        <v>329</v>
      </c>
      <c r="AJ9" s="152"/>
      <c r="AK9" s="156"/>
      <c r="AL9" s="156"/>
      <c r="AM9" s="156">
        <f t="shared" si="0"/>
        <v>4.0960000000000001</v>
      </c>
      <c r="AN9" s="156">
        <f t="shared" si="0"/>
        <v>4.0960000000000001</v>
      </c>
      <c r="AO9" s="156">
        <f>IF(ISBLANK($A9),,ROUNDDOWN(I9*AQ6*1.024,))</f>
        <v>37</v>
      </c>
      <c r="AP9" s="156">
        <f>IF(ISBLANK($A9),,ROUNDDOWN(L9*AQ6*1.024,))</f>
        <v>0</v>
      </c>
      <c r="AQ9" s="156">
        <f>IF(ISBLANK($A9),,ROUNDDOWN(N9*AQ6*1.024,))</f>
        <v>0</v>
      </c>
      <c r="AR9" s="156">
        <f>IF(ISBLANK($A9),,ROUNDDOWN(P9*AQ6*1.024,))</f>
        <v>0</v>
      </c>
      <c r="AS9" s="156">
        <f>IF(ISBLANK($A9),,ROUNDDOWN(R9*AQ6*1.024,))</f>
        <v>0</v>
      </c>
      <c r="AT9" s="156">
        <f t="shared" ref="AT9:AT30" si="2">IF(ISBLANK($A9),,ROUNDDOWN(T9*AQ$6*1.024,))</f>
        <v>0</v>
      </c>
      <c r="AU9" s="156">
        <f>IF(ISBLANK($A9),,ROUNDDOWN(V9*AQ6*1.024,))</f>
        <v>0</v>
      </c>
      <c r="AV9" s="156">
        <f>IF(ISBLANK($A9),,ROUNDDOWN(X9*AQ6*1.024,))</f>
        <v>0</v>
      </c>
    </row>
    <row r="10" spans="1:48">
      <c r="A10" s="156" t="s">
        <v>336</v>
      </c>
      <c r="B10" s="152"/>
      <c r="C10" s="156" t="s">
        <v>333</v>
      </c>
      <c r="D10" s="156" t="s">
        <v>453</v>
      </c>
      <c r="E10" s="156" t="s">
        <v>20</v>
      </c>
      <c r="F10" s="143">
        <f>VLOOKUP(N10,B93:H94,3,FALSE)</f>
        <v>6</v>
      </c>
      <c r="G10" s="143">
        <f>VLOOKUP(N10,B93:H94,4,FALSE)</f>
        <v>40</v>
      </c>
      <c r="H10" s="143">
        <f>(G10*82.5)/100</f>
        <v>33</v>
      </c>
      <c r="I10" s="152">
        <v>91</v>
      </c>
      <c r="J10" s="154">
        <f t="shared" si="1"/>
        <v>7</v>
      </c>
      <c r="K10" s="152" t="s">
        <v>337</v>
      </c>
      <c r="L10" s="152">
        <v>66</v>
      </c>
      <c r="M10" s="152" t="s">
        <v>338</v>
      </c>
      <c r="N10" s="143">
        <v>750</v>
      </c>
      <c r="O10" s="152" t="s">
        <v>339</v>
      </c>
      <c r="P10" s="207">
        <f>VLOOKUP(N10,B93:H94,5,FALSE)</f>
        <v>1125</v>
      </c>
      <c r="Q10" s="152" t="s">
        <v>340</v>
      </c>
      <c r="R10" s="152"/>
      <c r="S10" s="152"/>
      <c r="T10" s="152"/>
      <c r="U10" s="152"/>
      <c r="V10" s="152"/>
      <c r="W10" s="152"/>
      <c r="X10" s="208">
        <f>VLOOKUP(N10,B93:H94,7,FALSE)</f>
        <v>2800</v>
      </c>
      <c r="Y10" s="152" t="s">
        <v>126</v>
      </c>
      <c r="Z10" s="152"/>
      <c r="AA10" s="152"/>
      <c r="AB10" s="152"/>
      <c r="AC10" s="152"/>
      <c r="AD10" s="152"/>
      <c r="AE10" s="152"/>
      <c r="AF10" s="152">
        <v>2500</v>
      </c>
      <c r="AG10" s="152" t="s">
        <v>341</v>
      </c>
      <c r="AH10" s="152" t="s">
        <v>328</v>
      </c>
      <c r="AI10" s="152" t="s">
        <v>329</v>
      </c>
      <c r="AJ10" s="152"/>
      <c r="AK10" s="156"/>
      <c r="AL10" s="156"/>
      <c r="AM10" s="156">
        <f t="shared" si="0"/>
        <v>40.96</v>
      </c>
      <c r="AN10" s="156">
        <f t="shared" si="0"/>
        <v>33.792000000000002</v>
      </c>
      <c r="AO10" s="156">
        <f>IF(ISBLANK($A10),,ROUNDDOWN(I10*AQ6*1.024,))</f>
        <v>83</v>
      </c>
      <c r="AP10" s="156">
        <f>IF(ISBLANK($A10),,ROUNDDOWN(L10*AQ6*1.024,))</f>
        <v>60</v>
      </c>
      <c r="AQ10" s="156">
        <f>IF(ISBLANK($A10),,ROUNDDOWN(N10*AQ6*1.024,))</f>
        <v>691</v>
      </c>
      <c r="AR10" s="156">
        <f>IF(ISBLANK($A10),,ROUNDDOWN(P10*AQ6*1.024,))</f>
        <v>1036</v>
      </c>
      <c r="AS10" s="156">
        <f>IF(ISBLANK($A10),,ROUNDDOWN(R10*AQ6*1.024,))</f>
        <v>0</v>
      </c>
      <c r="AT10" s="156">
        <f t="shared" si="2"/>
        <v>0</v>
      </c>
      <c r="AU10" s="156">
        <f>IF(ISBLANK($A10),,ROUNDDOWN(V10*AQ6*1.024,))</f>
        <v>0</v>
      </c>
      <c r="AV10" s="156">
        <f>IF(ISBLANK($A10),,ROUNDDOWN(X10*AQ6*1.024,))</f>
        <v>2580</v>
      </c>
    </row>
    <row r="11" spans="1:48">
      <c r="A11" s="156" t="s">
        <v>342</v>
      </c>
      <c r="B11" s="152" t="s">
        <v>332</v>
      </c>
      <c r="C11" s="156" t="s">
        <v>333</v>
      </c>
      <c r="D11" s="156" t="s">
        <v>453</v>
      </c>
      <c r="E11" s="156" t="s">
        <v>24</v>
      </c>
      <c r="F11" s="152">
        <v>3</v>
      </c>
      <c r="G11" s="152">
        <v>5</v>
      </c>
      <c r="H11" s="152">
        <v>5</v>
      </c>
      <c r="I11" s="152">
        <v>46</v>
      </c>
      <c r="J11" s="154">
        <f t="shared" si="1"/>
        <v>0</v>
      </c>
      <c r="K11" s="152" t="s">
        <v>343</v>
      </c>
      <c r="L11" s="152"/>
      <c r="M11" s="152"/>
      <c r="N11" s="152"/>
      <c r="O11" s="152"/>
      <c r="P11" s="152"/>
      <c r="Q11" s="152"/>
      <c r="R11" s="172">
        <v>270</v>
      </c>
      <c r="S11" s="152" t="s">
        <v>344</v>
      </c>
      <c r="T11" s="152">
        <v>300</v>
      </c>
      <c r="U11" s="152" t="s">
        <v>137</v>
      </c>
      <c r="V11" s="152"/>
      <c r="W11" s="152"/>
      <c r="X11" s="152">
        <v>250</v>
      </c>
      <c r="Y11" s="152" t="s">
        <v>126</v>
      </c>
      <c r="Z11" s="152"/>
      <c r="AA11" s="152"/>
      <c r="AB11" s="152"/>
      <c r="AC11" s="152"/>
      <c r="AD11" s="152"/>
      <c r="AE11" s="152"/>
      <c r="AF11" s="156"/>
      <c r="AG11" s="156"/>
      <c r="AH11" s="152" t="s">
        <v>328</v>
      </c>
      <c r="AI11" s="152" t="s">
        <v>329</v>
      </c>
      <c r="AJ11" s="152"/>
      <c r="AK11" s="156"/>
      <c r="AL11" s="156"/>
      <c r="AM11" s="156">
        <f t="shared" si="0"/>
        <v>5.12</v>
      </c>
      <c r="AN11" s="156">
        <f t="shared" si="0"/>
        <v>5.12</v>
      </c>
      <c r="AO11" s="156">
        <f>IF(ISBLANK($A11),,ROUNDDOWN(I11*AQ6*1.024,))</f>
        <v>42</v>
      </c>
      <c r="AP11" s="156">
        <f>IF(ISBLANK($A11),,ROUNDDOWN(L11*AQ6*1.024,))</f>
        <v>0</v>
      </c>
      <c r="AQ11" s="156">
        <f>IF(ISBLANK($A11),,ROUNDDOWN(N11*AQ6*1.024,))</f>
        <v>0</v>
      </c>
      <c r="AR11" s="156">
        <f>IF(ISBLANK($A11),,ROUNDDOWN(P11*AQ6*1.024,))</f>
        <v>0</v>
      </c>
      <c r="AS11" s="156">
        <f>IF(ISBLANK($A11),,ROUNDDOWN(R11*AQ6*1.024,))</f>
        <v>248</v>
      </c>
      <c r="AT11" s="156">
        <f t="shared" si="2"/>
        <v>276</v>
      </c>
      <c r="AU11" s="156">
        <f>IF(ISBLANK($A11),,ROUNDDOWN(V11*AQ6*1.024,))</f>
        <v>0</v>
      </c>
      <c r="AV11" s="156">
        <f>IF(ISBLANK($A11),,ROUNDDOWN(X11*AQ6*1.024,))</f>
        <v>230</v>
      </c>
    </row>
    <row r="12" spans="1:48">
      <c r="A12" s="156" t="s">
        <v>345</v>
      </c>
      <c r="B12" s="152"/>
      <c r="C12" s="156" t="s">
        <v>333</v>
      </c>
      <c r="D12" s="156" t="s">
        <v>453</v>
      </c>
      <c r="E12" s="156" t="s">
        <v>28</v>
      </c>
      <c r="F12" s="152">
        <v>2</v>
      </c>
      <c r="G12" s="152">
        <v>2</v>
      </c>
      <c r="H12" s="152">
        <v>0</v>
      </c>
      <c r="I12" s="152">
        <v>31</v>
      </c>
      <c r="J12" s="154">
        <f t="shared" si="1"/>
        <v>2</v>
      </c>
      <c r="K12" s="152" t="s">
        <v>335</v>
      </c>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t="s">
        <v>346</v>
      </c>
      <c r="AI12" s="152" t="s">
        <v>347</v>
      </c>
      <c r="AJ12" s="152" t="s">
        <v>329</v>
      </c>
      <c r="AK12" s="156"/>
      <c r="AL12" s="156"/>
      <c r="AM12" s="156">
        <f t="shared" si="0"/>
        <v>2.048</v>
      </c>
      <c r="AN12" s="156">
        <f t="shared" si="0"/>
        <v>0</v>
      </c>
      <c r="AO12" s="156">
        <f>IF(ISBLANK($A12),,ROUNDDOWN(I12*AQ6*1.024,))</f>
        <v>28</v>
      </c>
      <c r="AP12" s="156">
        <f>IF(ISBLANK($A12),,ROUNDDOWN(L12*AQ6*1.024,))</f>
        <v>0</v>
      </c>
      <c r="AQ12" s="156">
        <f>IF(ISBLANK($A12),,ROUNDDOWN(N12*AQ6*1.024,))</f>
        <v>0</v>
      </c>
      <c r="AR12" s="156">
        <f>IF(ISBLANK($A12),,ROUNDDOWN(P12*AQ6*1.024,))</f>
        <v>0</v>
      </c>
      <c r="AS12" s="156">
        <f>IF(ISBLANK($A12),,ROUNDDOWN(R12*AQ6*1.024,))</f>
        <v>0</v>
      </c>
      <c r="AT12" s="156">
        <f t="shared" si="2"/>
        <v>0</v>
      </c>
      <c r="AU12" s="156">
        <f>IF(ISBLANK($A12),,ROUNDDOWN(V12*AQ6*1.024,))</f>
        <v>0</v>
      </c>
      <c r="AV12" s="156">
        <f>IF(ISBLANK($A12),,ROUNDDOWN(X12*AQ6*1.024,))</f>
        <v>0</v>
      </c>
    </row>
    <row r="13" spans="1:48">
      <c r="A13" s="156" t="s">
        <v>348</v>
      </c>
      <c r="B13" s="152"/>
      <c r="C13" s="156" t="s">
        <v>333</v>
      </c>
      <c r="D13" s="156" t="s">
        <v>453</v>
      </c>
      <c r="E13" s="156" t="s">
        <v>555</v>
      </c>
      <c r="F13" s="152">
        <v>2</v>
      </c>
      <c r="G13" s="152">
        <v>3</v>
      </c>
      <c r="H13" s="152">
        <v>0</v>
      </c>
      <c r="I13" s="152">
        <v>31</v>
      </c>
      <c r="J13" s="154">
        <f t="shared" si="1"/>
        <v>3</v>
      </c>
      <c r="K13" s="152" t="s">
        <v>337</v>
      </c>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t="s">
        <v>328</v>
      </c>
      <c r="AI13" s="152" t="s">
        <v>329</v>
      </c>
      <c r="AJ13" s="152"/>
      <c r="AK13" s="156"/>
      <c r="AL13" s="156"/>
      <c r="AM13" s="156">
        <f t="shared" si="0"/>
        <v>3.0720000000000001</v>
      </c>
      <c r="AN13" s="156">
        <f t="shared" si="0"/>
        <v>0</v>
      </c>
      <c r="AO13" s="156">
        <f>IF(ISBLANK($A13),,ROUNDDOWN(I13*AQ6*1.024,))</f>
        <v>28</v>
      </c>
      <c r="AP13" s="156">
        <f>IF(ISBLANK($A13),,ROUNDDOWN(L13*AQ6*1.024,))</f>
        <v>0</v>
      </c>
      <c r="AQ13" s="156">
        <f>IF(ISBLANK($A13),,ROUNDDOWN(N13*AQ6*1.024,))</f>
        <v>0</v>
      </c>
      <c r="AR13" s="156">
        <f>IF(ISBLANK($A13),,ROUNDDOWN(P13*AQ6*1.024,))</f>
        <v>0</v>
      </c>
      <c r="AS13" s="156">
        <f>IF(ISBLANK($A13),,ROUNDDOWN(R13*AQ6*1.024,))</f>
        <v>0</v>
      </c>
      <c r="AT13" s="156">
        <f t="shared" si="2"/>
        <v>0</v>
      </c>
      <c r="AU13" s="156">
        <f>IF(ISBLANK($A13),,ROUNDDOWN(V13*AQ6*1.024,))</f>
        <v>0</v>
      </c>
      <c r="AV13" s="156">
        <f>IF(ISBLANK($A13),,ROUNDDOWN(X13*AQ6*1.024,))</f>
        <v>0</v>
      </c>
    </row>
    <row r="14" spans="1:48">
      <c r="A14" s="156" t="s">
        <v>349</v>
      </c>
      <c r="B14" s="152"/>
      <c r="C14" s="156" t="s">
        <v>333</v>
      </c>
      <c r="D14" s="156" t="s">
        <v>453</v>
      </c>
      <c r="E14" s="156" t="s">
        <v>350</v>
      </c>
      <c r="F14" s="152">
        <v>3</v>
      </c>
      <c r="G14" s="152">
        <v>6</v>
      </c>
      <c r="H14" s="152">
        <v>0</v>
      </c>
      <c r="I14" s="152">
        <v>61</v>
      </c>
      <c r="J14" s="154">
        <f t="shared" si="1"/>
        <v>6</v>
      </c>
      <c r="K14" s="152" t="s">
        <v>343</v>
      </c>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t="s">
        <v>346</v>
      </c>
      <c r="AI14" s="152" t="s">
        <v>347</v>
      </c>
      <c r="AJ14" s="152"/>
      <c r="AK14" s="156"/>
      <c r="AL14" s="156"/>
      <c r="AM14" s="156">
        <f t="shared" si="0"/>
        <v>6.1440000000000001</v>
      </c>
      <c r="AN14" s="156">
        <f t="shared" si="0"/>
        <v>0</v>
      </c>
      <c r="AO14" s="156">
        <f>IF(ISBLANK($A14),,ROUNDDOWN(I14*AQ6*1.024,))</f>
        <v>56</v>
      </c>
      <c r="AP14" s="156">
        <f>IF(ISBLANK($A14),,ROUNDDOWN(L14*AQ6*1.024,))</f>
        <v>0</v>
      </c>
      <c r="AQ14" s="156">
        <f>IF(ISBLANK($A14),,ROUNDDOWN(N14*AQ6*1.024,))</f>
        <v>0</v>
      </c>
      <c r="AR14" s="156">
        <f>IF(ISBLANK($A14),,ROUNDDOWN(P14*AQ6*1.024,))</f>
        <v>0</v>
      </c>
      <c r="AS14" s="156">
        <f>IF(ISBLANK($A14),,ROUNDDOWN(R14*AQ6*1.024,))</f>
        <v>0</v>
      </c>
      <c r="AT14" s="156">
        <f t="shared" si="2"/>
        <v>0</v>
      </c>
      <c r="AU14" s="156">
        <f>IF(ISBLANK($A14),,ROUNDDOWN(V14*AQ6*1.024,))</f>
        <v>0</v>
      </c>
      <c r="AV14" s="156">
        <f>IF(ISBLANK($A14),,ROUNDDOWN(X14*AQ6*1.024,))</f>
        <v>0</v>
      </c>
    </row>
    <row r="15" spans="1:48">
      <c r="A15" s="156" t="s">
        <v>351</v>
      </c>
      <c r="B15" s="152"/>
      <c r="C15" s="156" t="s">
        <v>333</v>
      </c>
      <c r="D15" s="156" t="s">
        <v>453</v>
      </c>
      <c r="E15" s="156" t="s">
        <v>40</v>
      </c>
      <c r="F15" s="152">
        <v>3</v>
      </c>
      <c r="G15" s="152">
        <v>4</v>
      </c>
      <c r="H15" s="152">
        <v>0</v>
      </c>
      <c r="I15" s="152">
        <v>56</v>
      </c>
      <c r="J15" s="154">
        <f t="shared" si="1"/>
        <v>4</v>
      </c>
      <c r="K15" s="152" t="s">
        <v>335</v>
      </c>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t="s">
        <v>346</v>
      </c>
      <c r="AI15" s="152" t="s">
        <v>347</v>
      </c>
      <c r="AJ15" s="152"/>
      <c r="AK15" s="156"/>
      <c r="AL15" s="156"/>
      <c r="AM15" s="156">
        <f t="shared" si="0"/>
        <v>4.0960000000000001</v>
      </c>
      <c r="AN15" s="156">
        <f t="shared" si="0"/>
        <v>0</v>
      </c>
      <c r="AO15" s="156">
        <f>IF(ISBLANK($A15),,ROUNDDOWN(I15*AQ6*1.024,))</f>
        <v>51</v>
      </c>
      <c r="AP15" s="156">
        <f>IF(ISBLANK($A15),,ROUNDDOWN(L15*AQ6*1.024,))</f>
        <v>0</v>
      </c>
      <c r="AQ15" s="156">
        <f>IF(ISBLANK($A15),,ROUNDDOWN(N15*AQ6*1.024,))</f>
        <v>0</v>
      </c>
      <c r="AR15" s="156">
        <f>IF(ISBLANK($A15),,ROUNDDOWN(P15*AQ6*1.024,))</f>
        <v>0</v>
      </c>
      <c r="AS15" s="156">
        <f>IF(ISBLANK($A15),,ROUNDDOWN(R15*AQ6*1.024,))</f>
        <v>0</v>
      </c>
      <c r="AT15" s="156">
        <f t="shared" si="2"/>
        <v>0</v>
      </c>
      <c r="AU15" s="156">
        <f>IF(ISBLANK($A15),,ROUNDDOWN(V15*AQ6*1.024,))</f>
        <v>0</v>
      </c>
      <c r="AV15" s="156">
        <f>IF(ISBLANK($A15),,ROUNDDOWN(X15*AQ6*1.024,))</f>
        <v>0</v>
      </c>
    </row>
    <row r="16" spans="1:48">
      <c r="A16" s="156" t="s">
        <v>352</v>
      </c>
      <c r="B16" s="152"/>
      <c r="C16" s="156" t="s">
        <v>333</v>
      </c>
      <c r="D16" s="156" t="s">
        <v>453</v>
      </c>
      <c r="E16" s="156" t="s">
        <v>43</v>
      </c>
      <c r="F16" s="152">
        <v>2</v>
      </c>
      <c r="G16" s="152">
        <v>2</v>
      </c>
      <c r="H16" s="152">
        <v>0</v>
      </c>
      <c r="I16" s="152">
        <v>31</v>
      </c>
      <c r="J16" s="154">
        <f t="shared" si="1"/>
        <v>2</v>
      </c>
      <c r="K16" s="152" t="s">
        <v>337</v>
      </c>
      <c r="L16" s="152"/>
      <c r="M16" s="152"/>
      <c r="N16" s="152"/>
      <c r="O16" s="152"/>
      <c r="P16" s="152"/>
      <c r="Q16" s="152"/>
      <c r="R16" s="152"/>
      <c r="S16" s="156"/>
      <c r="T16" s="152"/>
      <c r="U16" s="152"/>
      <c r="V16" s="152"/>
      <c r="W16" s="152"/>
      <c r="X16" s="152"/>
      <c r="Y16" s="152"/>
      <c r="Z16" s="152"/>
      <c r="AA16" s="152"/>
      <c r="AB16" s="152"/>
      <c r="AC16" s="152"/>
      <c r="AD16" s="152"/>
      <c r="AE16" s="152"/>
      <c r="AF16" s="152"/>
      <c r="AG16" s="152"/>
      <c r="AH16" s="152" t="s">
        <v>346</v>
      </c>
      <c r="AI16" s="152" t="s">
        <v>347</v>
      </c>
      <c r="AJ16" s="152"/>
      <c r="AK16" s="156"/>
      <c r="AL16" s="156"/>
      <c r="AM16" s="156">
        <f t="shared" si="0"/>
        <v>2.048</v>
      </c>
      <c r="AN16" s="156">
        <f t="shared" si="0"/>
        <v>0</v>
      </c>
      <c r="AO16" s="156">
        <f>IF(ISBLANK($A16),,ROUNDDOWN(I16*AQ6*1.024,))</f>
        <v>28</v>
      </c>
      <c r="AP16" s="156">
        <f>IF(ISBLANK($A16),,ROUNDDOWN(L16*AQ6*1.024,))</f>
        <v>0</v>
      </c>
      <c r="AQ16" s="156">
        <f>IF(ISBLANK($A16),,ROUNDDOWN(N16*AQ6*1.024,))</f>
        <v>0</v>
      </c>
      <c r="AR16" s="156">
        <f>IF(ISBLANK($A16),,ROUNDDOWN(P16*AQ6*1.024,))</f>
        <v>0</v>
      </c>
      <c r="AS16" s="156">
        <f>IF(ISBLANK($A16),,ROUNDDOWN(R16*AQ6*1.024,))</f>
        <v>0</v>
      </c>
      <c r="AT16" s="156">
        <f t="shared" si="2"/>
        <v>0</v>
      </c>
      <c r="AU16" s="156">
        <f>IF(ISBLANK($A16),,ROUNDDOWN(V16*AQ6*1.024,))</f>
        <v>0</v>
      </c>
      <c r="AV16" s="156">
        <f>IF(ISBLANK($A16),,ROUNDDOWN(X16*AQ6*1.024,))</f>
        <v>0</v>
      </c>
    </row>
    <row r="17" spans="1:48">
      <c r="A17" s="156" t="s">
        <v>353</v>
      </c>
      <c r="B17" s="152"/>
      <c r="C17" s="156" t="s">
        <v>333</v>
      </c>
      <c r="D17" s="156" t="s">
        <v>453</v>
      </c>
      <c r="E17" s="156" t="s">
        <v>47</v>
      </c>
      <c r="F17" s="152">
        <v>2</v>
      </c>
      <c r="G17" s="152">
        <v>4</v>
      </c>
      <c r="H17" s="152">
        <v>0</v>
      </c>
      <c r="I17" s="152">
        <v>31</v>
      </c>
      <c r="J17" s="154">
        <f t="shared" si="1"/>
        <v>4</v>
      </c>
      <c r="K17" s="152" t="s">
        <v>343</v>
      </c>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t="s">
        <v>346</v>
      </c>
      <c r="AI17" s="152" t="s">
        <v>347</v>
      </c>
      <c r="AJ17" s="152" t="s">
        <v>329</v>
      </c>
      <c r="AK17" s="156"/>
      <c r="AL17" s="156"/>
      <c r="AM17" s="156">
        <f t="shared" si="0"/>
        <v>4.0960000000000001</v>
      </c>
      <c r="AN17" s="156">
        <f t="shared" si="0"/>
        <v>0</v>
      </c>
      <c r="AO17" s="156">
        <f>IF(ISBLANK($A17),,ROUNDDOWN(I17*AQ6*1.024,))</f>
        <v>28</v>
      </c>
      <c r="AP17" s="156">
        <f>IF(ISBLANK($A17),,ROUNDDOWN(L17*AQ6*1.024,))</f>
        <v>0</v>
      </c>
      <c r="AQ17" s="156">
        <f>IF(ISBLANK($A17),,ROUNDDOWN(N17*AQ6*1.024,))</f>
        <v>0</v>
      </c>
      <c r="AR17" s="156">
        <f>IF(ISBLANK($A17),,ROUNDDOWN(P17*AQ6*1.024,))</f>
        <v>0</v>
      </c>
      <c r="AS17" s="156">
        <f>IF(ISBLANK($A17),,ROUNDDOWN(R17*AQ6*1.024,))</f>
        <v>0</v>
      </c>
      <c r="AT17" s="156">
        <f t="shared" si="2"/>
        <v>0</v>
      </c>
      <c r="AU17" s="156">
        <f>IF(ISBLANK($A17),,ROUNDDOWN(V17*AQ6*1.024,))</f>
        <v>0</v>
      </c>
      <c r="AV17" s="156">
        <f>IF(ISBLANK($A17),,ROUNDDOWN(X17*AQ6*1.024,))</f>
        <v>0</v>
      </c>
    </row>
    <row r="18" spans="1:48">
      <c r="A18" s="156" t="s">
        <v>354</v>
      </c>
      <c r="B18" s="152"/>
      <c r="C18" s="156" t="s">
        <v>333</v>
      </c>
      <c r="D18" s="156" t="s">
        <v>453</v>
      </c>
      <c r="E18" s="156" t="s">
        <v>355</v>
      </c>
      <c r="F18" s="152">
        <v>6</v>
      </c>
      <c r="G18" s="152">
        <v>6</v>
      </c>
      <c r="H18" s="152">
        <v>0</v>
      </c>
      <c r="I18" s="152">
        <v>101</v>
      </c>
      <c r="J18" s="154">
        <f t="shared" si="1"/>
        <v>6</v>
      </c>
      <c r="K18" s="152" t="s">
        <v>335</v>
      </c>
      <c r="L18" s="152"/>
      <c r="M18" s="152"/>
      <c r="N18" s="152"/>
      <c r="O18" s="152"/>
      <c r="P18" s="152"/>
      <c r="Q18" s="152"/>
      <c r="R18" s="152"/>
      <c r="S18" s="152"/>
      <c r="T18" s="152"/>
      <c r="U18" s="152"/>
      <c r="V18" s="152"/>
      <c r="W18" s="152"/>
      <c r="X18" s="152"/>
      <c r="Y18" s="152"/>
      <c r="Z18" s="152"/>
      <c r="AA18" s="152"/>
      <c r="AB18" s="152">
        <v>50</v>
      </c>
      <c r="AC18" s="152" t="s">
        <v>343</v>
      </c>
      <c r="AD18" s="152"/>
      <c r="AE18" s="152"/>
      <c r="AF18" s="152"/>
      <c r="AG18" s="152"/>
      <c r="AH18" s="152" t="s">
        <v>328</v>
      </c>
      <c r="AI18" s="152" t="s">
        <v>329</v>
      </c>
      <c r="AJ18" s="152"/>
      <c r="AK18" s="156"/>
      <c r="AL18" s="156"/>
      <c r="AM18" s="156">
        <f t="shared" si="0"/>
        <v>6.1440000000000001</v>
      </c>
      <c r="AN18" s="156">
        <f t="shared" si="0"/>
        <v>0</v>
      </c>
      <c r="AO18" s="156">
        <f>IF(ISBLANK($A18),,ROUNDDOWN(I18*AQ6*1.024,))</f>
        <v>93</v>
      </c>
      <c r="AP18" s="156">
        <f>IF(ISBLANK($A18),,ROUNDDOWN(L18*AQ6*1.024,))</f>
        <v>0</v>
      </c>
      <c r="AQ18" s="156">
        <f>IF(ISBLANK($A18),,ROUNDDOWN(N18*AQ6*1.024,))</f>
        <v>0</v>
      </c>
      <c r="AR18" s="156">
        <f>IF(ISBLANK($A18),,ROUNDDOWN(P18*AQ6*1.024,))</f>
        <v>0</v>
      </c>
      <c r="AS18" s="156">
        <f>IF(ISBLANK($A18),,ROUNDDOWN(R18*AQ6*1.024,))</f>
        <v>0</v>
      </c>
      <c r="AT18" s="156">
        <f t="shared" si="2"/>
        <v>0</v>
      </c>
      <c r="AU18" s="156">
        <f>IF(ISBLANK($A18),,ROUNDDOWN(V18*AQ6*1.024,))</f>
        <v>0</v>
      </c>
      <c r="AV18" s="156">
        <f>IF(ISBLANK($A18),,ROUNDDOWN(X18*AQ6*1.024,))</f>
        <v>0</v>
      </c>
    </row>
    <row r="19" spans="1:48">
      <c r="A19" s="156" t="s">
        <v>356</v>
      </c>
      <c r="B19" s="152"/>
      <c r="C19" s="156" t="s">
        <v>333</v>
      </c>
      <c r="D19" s="156" t="s">
        <v>453</v>
      </c>
      <c r="E19" s="156" t="s">
        <v>55</v>
      </c>
      <c r="F19" s="152">
        <v>2</v>
      </c>
      <c r="G19" s="152">
        <v>4</v>
      </c>
      <c r="H19" s="152">
        <v>0</v>
      </c>
      <c r="I19" s="152">
        <v>51</v>
      </c>
      <c r="J19" s="154">
        <f t="shared" si="1"/>
        <v>4</v>
      </c>
      <c r="K19" s="152" t="s">
        <v>337</v>
      </c>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t="s">
        <v>346</v>
      </c>
      <c r="AI19" s="152" t="s">
        <v>347</v>
      </c>
      <c r="AJ19" s="152"/>
      <c r="AK19" s="156"/>
      <c r="AL19" s="156"/>
      <c r="AM19" s="156">
        <f t="shared" si="0"/>
        <v>4.0960000000000001</v>
      </c>
      <c r="AN19" s="156">
        <f t="shared" si="0"/>
        <v>0</v>
      </c>
      <c r="AO19" s="156">
        <f>IF(ISBLANK($A19),,ROUNDDOWN(I19*AQ6*1.024,))</f>
        <v>47</v>
      </c>
      <c r="AP19" s="156">
        <f>IF(ISBLANK($A19),,ROUNDDOWN(L19*AQ6*1.024,))</f>
        <v>0</v>
      </c>
      <c r="AQ19" s="156">
        <f>IF(ISBLANK($A19),,ROUNDDOWN(N19*AQ6*1.024,))</f>
        <v>0</v>
      </c>
      <c r="AR19" s="156">
        <f>IF(ISBLANK($A19),,ROUNDDOWN(P19*AQ6*1.024,))</f>
        <v>0</v>
      </c>
      <c r="AS19" s="156">
        <f>IF(ISBLANK($A19),,ROUNDDOWN(R19*AQ6*1.024,))</f>
        <v>0</v>
      </c>
      <c r="AT19" s="156">
        <f t="shared" si="2"/>
        <v>0</v>
      </c>
      <c r="AU19" s="156">
        <f>IF(ISBLANK($A19),,ROUNDDOWN(V19*AQ6*1.024,))</f>
        <v>0</v>
      </c>
      <c r="AV19" s="156">
        <f>IF(ISBLANK($A19),,ROUNDDOWN(X19*AQ6*1.024,))</f>
        <v>0</v>
      </c>
    </row>
    <row r="20" spans="1:48">
      <c r="A20" s="156" t="s">
        <v>357</v>
      </c>
      <c r="B20" s="152"/>
      <c r="C20" s="156" t="s">
        <v>333</v>
      </c>
      <c r="D20" s="156" t="s">
        <v>453</v>
      </c>
      <c r="E20" s="156" t="s">
        <v>63</v>
      </c>
      <c r="F20" s="152">
        <v>5</v>
      </c>
      <c r="G20" s="152">
        <v>12</v>
      </c>
      <c r="H20" s="152">
        <v>0</v>
      </c>
      <c r="I20" s="152">
        <v>56</v>
      </c>
      <c r="J20" s="154">
        <f t="shared" si="1"/>
        <v>12</v>
      </c>
      <c r="K20" s="152" t="s">
        <v>343</v>
      </c>
      <c r="L20" s="152"/>
      <c r="M20" s="152"/>
      <c r="N20" s="152"/>
      <c r="O20" s="152"/>
      <c r="P20" s="152"/>
      <c r="Q20" s="152"/>
      <c r="R20" s="152"/>
      <c r="S20" s="152"/>
      <c r="T20" s="152"/>
      <c r="U20" s="152"/>
      <c r="V20" s="152"/>
      <c r="W20" s="152"/>
      <c r="X20" s="152"/>
      <c r="Y20" s="152"/>
      <c r="Z20" s="152"/>
      <c r="AA20" s="152"/>
      <c r="AB20" s="152"/>
      <c r="AC20" s="152"/>
      <c r="AD20" s="152">
        <v>65</v>
      </c>
      <c r="AE20" s="152" t="s">
        <v>343</v>
      </c>
      <c r="AF20" s="152"/>
      <c r="AG20" s="152"/>
      <c r="AH20" s="152" t="s">
        <v>328</v>
      </c>
      <c r="AI20" s="152" t="s">
        <v>329</v>
      </c>
      <c r="AJ20" s="152"/>
      <c r="AK20" s="156"/>
      <c r="AL20" s="156"/>
      <c r="AM20" s="156">
        <f t="shared" si="0"/>
        <v>12.288</v>
      </c>
      <c r="AN20" s="156">
        <f t="shared" si="0"/>
        <v>0</v>
      </c>
      <c r="AO20" s="156">
        <f>IF(ISBLANK($A20),,ROUNDDOWN(I20*AQ6*1.024,))</f>
        <v>51</v>
      </c>
      <c r="AP20" s="156">
        <f>IF(ISBLANK($A20),,ROUNDDOWN(L20*AQ6*1.024,))</f>
        <v>0</v>
      </c>
      <c r="AQ20" s="156">
        <f>IF(ISBLANK($A20),,ROUNDDOWN(N20*AQ6*1.024,))</f>
        <v>0</v>
      </c>
      <c r="AR20" s="156">
        <f>IF(ISBLANK($A20),,ROUNDDOWN(P20*AQ6*1.024,))</f>
        <v>0</v>
      </c>
      <c r="AS20" s="156">
        <f>IF(ISBLANK($A20),,ROUNDDOWN(R20*AQ6*1.024,))</f>
        <v>0</v>
      </c>
      <c r="AT20" s="156">
        <f t="shared" si="2"/>
        <v>0</v>
      </c>
      <c r="AU20" s="156">
        <f>IF(ISBLANK($A20),,ROUNDDOWN(V20*AQ6*1.024,))</f>
        <v>0</v>
      </c>
      <c r="AV20" s="156">
        <f>IF(ISBLANK($A20),,ROUNDDOWN(X20*AQ6*1.024,))</f>
        <v>0</v>
      </c>
    </row>
    <row r="21" spans="1:48">
      <c r="A21" s="156" t="s">
        <v>358</v>
      </c>
      <c r="B21" s="152"/>
      <c r="C21" s="156" t="s">
        <v>333</v>
      </c>
      <c r="D21" s="156" t="s">
        <v>453</v>
      </c>
      <c r="E21" s="156" t="s">
        <v>71</v>
      </c>
      <c r="F21" s="152">
        <v>3</v>
      </c>
      <c r="G21" s="152">
        <v>5</v>
      </c>
      <c r="H21" s="152">
        <v>0</v>
      </c>
      <c r="I21" s="152">
        <v>41</v>
      </c>
      <c r="J21" s="154">
        <f t="shared" si="1"/>
        <v>5</v>
      </c>
      <c r="K21" s="152" t="s">
        <v>335</v>
      </c>
      <c r="L21" s="152"/>
      <c r="M21" s="152"/>
      <c r="N21" s="152"/>
      <c r="O21" s="152"/>
      <c r="P21" s="152"/>
      <c r="Q21" s="152"/>
      <c r="R21" s="152"/>
      <c r="S21" s="152"/>
      <c r="T21" s="152"/>
      <c r="U21" s="152"/>
      <c r="V21" s="152"/>
      <c r="W21" s="152"/>
      <c r="X21" s="152"/>
      <c r="Y21" s="152"/>
      <c r="Z21" s="152"/>
      <c r="AA21" s="152"/>
      <c r="AB21" s="152"/>
      <c r="AC21" s="152"/>
      <c r="AD21" s="152"/>
      <c r="AE21" s="152"/>
      <c r="AF21" s="152"/>
      <c r="AG21" s="152"/>
      <c r="AH21" s="152" t="s">
        <v>328</v>
      </c>
      <c r="AI21" s="152" t="s">
        <v>329</v>
      </c>
      <c r="AJ21" s="152"/>
      <c r="AK21" s="156"/>
      <c r="AL21" s="156"/>
      <c r="AM21" s="156">
        <f t="shared" si="0"/>
        <v>5.12</v>
      </c>
      <c r="AN21" s="156">
        <f t="shared" si="0"/>
        <v>0</v>
      </c>
      <c r="AO21" s="156">
        <f>IF(ISBLANK($A21),,ROUNDDOWN(I21*AQ6*1.024,))</f>
        <v>37</v>
      </c>
      <c r="AP21" s="156">
        <f>IF(ISBLANK($A21),,ROUNDDOWN(L21*AQ6*1.024,))</f>
        <v>0</v>
      </c>
      <c r="AQ21" s="156">
        <f>IF(ISBLANK($A21),,ROUNDDOWN(N21*AQ6*1.024,))</f>
        <v>0</v>
      </c>
      <c r="AR21" s="156">
        <f>IF(ISBLANK($A21),,ROUNDDOWN(P21*AQ6*1.024,))</f>
        <v>0</v>
      </c>
      <c r="AS21" s="156">
        <f>IF(ISBLANK($A21),,ROUNDDOWN(R21*AQ6*1.024,))</f>
        <v>0</v>
      </c>
      <c r="AT21" s="156">
        <f t="shared" si="2"/>
        <v>0</v>
      </c>
      <c r="AU21" s="156">
        <f>IF(ISBLANK($A21),,ROUNDDOWN(V21*AQ6*1.024,))</f>
        <v>0</v>
      </c>
      <c r="AV21" s="156">
        <f>IF(ISBLANK($A21),,ROUNDDOWN(X21*AQ6*1.024,))</f>
        <v>0</v>
      </c>
    </row>
    <row r="22" spans="1:48">
      <c r="A22" s="156" t="s">
        <v>359</v>
      </c>
      <c r="B22" s="152"/>
      <c r="C22" s="156" t="s">
        <v>333</v>
      </c>
      <c r="D22" s="156" t="s">
        <v>453</v>
      </c>
      <c r="E22" s="156" t="s">
        <v>73</v>
      </c>
      <c r="F22" s="152">
        <v>8</v>
      </c>
      <c r="G22" s="152">
        <v>32</v>
      </c>
      <c r="H22" s="152">
        <v>32</v>
      </c>
      <c r="I22" s="152">
        <v>136</v>
      </c>
      <c r="J22" s="154">
        <f t="shared" si="1"/>
        <v>0</v>
      </c>
      <c r="K22" s="152" t="s">
        <v>337</v>
      </c>
      <c r="L22" s="152"/>
      <c r="M22" s="152"/>
      <c r="N22" s="152"/>
      <c r="O22" s="152"/>
      <c r="P22" s="152"/>
      <c r="Q22" s="152"/>
      <c r="R22" s="152"/>
      <c r="S22" s="152"/>
      <c r="T22" s="152"/>
      <c r="U22" s="152"/>
      <c r="V22" s="152"/>
      <c r="W22" s="152"/>
      <c r="X22" s="152"/>
      <c r="Y22" s="152"/>
      <c r="Z22" s="152"/>
      <c r="AA22" s="152"/>
      <c r="AB22" s="152"/>
      <c r="AC22" s="152"/>
      <c r="AD22" s="152"/>
      <c r="AE22" s="152"/>
      <c r="AF22" s="152"/>
      <c r="AG22" s="152"/>
      <c r="AH22" s="152" t="s">
        <v>346</v>
      </c>
      <c r="AI22" s="152" t="s">
        <v>347</v>
      </c>
      <c r="AJ22" s="152"/>
      <c r="AK22" s="156"/>
      <c r="AL22" s="156"/>
      <c r="AM22" s="156">
        <f t="shared" si="0"/>
        <v>32.768000000000001</v>
      </c>
      <c r="AN22" s="156">
        <f t="shared" si="0"/>
        <v>32.768000000000001</v>
      </c>
      <c r="AO22" s="156">
        <f>IF(ISBLANK($A22),,ROUNDDOWN(I22*AQ6*1.024,))</f>
        <v>125</v>
      </c>
      <c r="AP22" s="156">
        <f>IF(ISBLANK($A22),,ROUNDDOWN(L22*AQ6*1.024,))</f>
        <v>0</v>
      </c>
      <c r="AQ22" s="156">
        <f>IF(ISBLANK($A22),,ROUNDDOWN(N22*AQ6*1.024,))</f>
        <v>0</v>
      </c>
      <c r="AR22" s="156">
        <f>IF(ISBLANK($A22),,ROUNDDOWN(P22*AQ6*1.024,))</f>
        <v>0</v>
      </c>
      <c r="AS22" s="156">
        <f>IF(ISBLANK($A22),,ROUNDDOWN(R22*AQ6*1.024,))</f>
        <v>0</v>
      </c>
      <c r="AT22" s="156">
        <f t="shared" si="2"/>
        <v>0</v>
      </c>
      <c r="AU22" s="156">
        <f>IF(ISBLANK($A22),,ROUNDDOWN(V22*AQ6*1.024,))</f>
        <v>0</v>
      </c>
      <c r="AV22" s="156">
        <f>IF(ISBLANK($A22),,ROUNDDOWN(X22*AQ6*1.024,))</f>
        <v>0</v>
      </c>
    </row>
    <row r="23" spans="1:48">
      <c r="A23" s="156" t="s">
        <v>360</v>
      </c>
      <c r="B23" s="152"/>
      <c r="C23" s="156" t="s">
        <v>333</v>
      </c>
      <c r="D23" s="156" t="s">
        <v>453</v>
      </c>
      <c r="E23" s="156" t="s">
        <v>73</v>
      </c>
      <c r="F23" s="152">
        <v>8</v>
      </c>
      <c r="G23" s="152">
        <v>32</v>
      </c>
      <c r="H23" s="152">
        <v>32</v>
      </c>
      <c r="I23" s="152">
        <v>136</v>
      </c>
      <c r="J23" s="154">
        <f t="shared" si="1"/>
        <v>0</v>
      </c>
      <c r="K23" s="152" t="s">
        <v>343</v>
      </c>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t="s">
        <v>346</v>
      </c>
      <c r="AI23" s="152" t="s">
        <v>347</v>
      </c>
      <c r="AJ23" s="152"/>
      <c r="AK23" s="156"/>
      <c r="AL23" s="156"/>
      <c r="AM23" s="156">
        <f t="shared" si="0"/>
        <v>32.768000000000001</v>
      </c>
      <c r="AN23" s="156">
        <f t="shared" si="0"/>
        <v>32.768000000000001</v>
      </c>
      <c r="AO23" s="156">
        <f>IF(ISBLANK($A23),,ROUNDDOWN(I23*AQ6*1.024,))</f>
        <v>125</v>
      </c>
      <c r="AP23" s="156">
        <f>IF(ISBLANK($A23),,ROUNDDOWN(L23*AQ6*1.024,))</f>
        <v>0</v>
      </c>
      <c r="AQ23" s="156">
        <f>IF(ISBLANK($A23),,ROUNDDOWN(N23*AQ6*1.024,))</f>
        <v>0</v>
      </c>
      <c r="AR23" s="156">
        <f>IF(ISBLANK($A23),,ROUNDDOWN(P23*AQ6*1.024,))</f>
        <v>0</v>
      </c>
      <c r="AS23" s="156">
        <f>IF(ISBLANK($A23),,ROUNDDOWN(R23*AQ6*1.024,))</f>
        <v>0</v>
      </c>
      <c r="AT23" s="156">
        <f t="shared" si="2"/>
        <v>0</v>
      </c>
      <c r="AU23" s="156">
        <f>IF(ISBLANK($A23),,ROUNDDOWN(V23*AQ6*1.024,))</f>
        <v>0</v>
      </c>
      <c r="AV23" s="156">
        <f>IF(ISBLANK($A23),,ROUNDDOWN(X23*AQ6*1.024,))</f>
        <v>0</v>
      </c>
    </row>
    <row r="24" spans="1:48">
      <c r="A24" s="156" t="s">
        <v>361</v>
      </c>
      <c r="B24" s="152"/>
      <c r="C24" s="156" t="s">
        <v>333</v>
      </c>
      <c r="D24" s="11" t="s">
        <v>362</v>
      </c>
      <c r="E24" s="156" t="s">
        <v>75</v>
      </c>
      <c r="F24" s="152">
        <v>4</v>
      </c>
      <c r="G24" s="152">
        <v>4</v>
      </c>
      <c r="H24" s="152">
        <v>0</v>
      </c>
      <c r="I24" s="152">
        <v>100</v>
      </c>
      <c r="J24" s="154">
        <f t="shared" si="1"/>
        <v>4</v>
      </c>
      <c r="K24" s="152" t="s">
        <v>335</v>
      </c>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t="s">
        <v>328</v>
      </c>
      <c r="AI24" s="152" t="s">
        <v>329</v>
      </c>
      <c r="AJ24" s="152"/>
      <c r="AK24" s="156"/>
      <c r="AL24" s="156"/>
      <c r="AM24" s="156">
        <f t="shared" si="0"/>
        <v>4.0960000000000001</v>
      </c>
      <c r="AN24" s="156">
        <f t="shared" si="0"/>
        <v>0</v>
      </c>
      <c r="AO24" s="156">
        <f>IF(ISBLANK($A24),,ROUNDDOWN(I24*AQ6*1.024,))</f>
        <v>92</v>
      </c>
      <c r="AP24" s="156">
        <f>IF(ISBLANK($A24),,ROUNDDOWN(L24*AQ6*1.024,))</f>
        <v>0</v>
      </c>
      <c r="AQ24" s="156">
        <f>IF(ISBLANK($A24),,ROUNDDOWN(N24*AQ6*1.024,))</f>
        <v>0</v>
      </c>
      <c r="AR24" s="156">
        <f>IF(ISBLANK($A24),,ROUNDDOWN(P24*AQ6*1.024,))</f>
        <v>0</v>
      </c>
      <c r="AS24" s="156">
        <f>IF(ISBLANK($A24),,ROUNDDOWN(R24*AQ6*1.024,))</f>
        <v>0</v>
      </c>
      <c r="AT24" s="156">
        <f t="shared" si="2"/>
        <v>0</v>
      </c>
      <c r="AU24" s="156">
        <f>IF(ISBLANK($A24),,ROUNDDOWN(V24*AQ6*1.024,))</f>
        <v>0</v>
      </c>
      <c r="AV24" s="156">
        <f>IF(ISBLANK($A24),,ROUNDDOWN(X24*AQ6*1.024,))</f>
        <v>0</v>
      </c>
    </row>
    <row r="25" spans="1:48">
      <c r="A25" s="156" t="s">
        <v>363</v>
      </c>
      <c r="B25" s="152"/>
      <c r="C25" s="156" t="s">
        <v>333</v>
      </c>
      <c r="D25" s="11" t="s">
        <v>362</v>
      </c>
      <c r="E25" s="156" t="s">
        <v>79</v>
      </c>
      <c r="F25" s="152">
        <v>4</v>
      </c>
      <c r="G25" s="152">
        <v>16</v>
      </c>
      <c r="H25" s="152">
        <v>0</v>
      </c>
      <c r="I25" s="152">
        <v>100</v>
      </c>
      <c r="J25" s="154">
        <f t="shared" si="1"/>
        <v>16</v>
      </c>
      <c r="K25" s="152" t="s">
        <v>337</v>
      </c>
      <c r="L25" s="152"/>
      <c r="M25" s="152"/>
      <c r="N25" s="152"/>
      <c r="O25" s="152"/>
      <c r="P25" s="152"/>
      <c r="Q25" s="152"/>
      <c r="R25" s="152"/>
      <c r="S25" s="152"/>
      <c r="T25" s="152"/>
      <c r="U25" s="152"/>
      <c r="V25" s="152"/>
      <c r="W25" s="152"/>
      <c r="X25" s="152"/>
      <c r="Y25" s="152"/>
      <c r="Z25" s="152"/>
      <c r="AA25" s="152"/>
      <c r="AB25" s="152"/>
      <c r="AC25" s="152"/>
      <c r="AD25" s="152"/>
      <c r="AE25" s="152"/>
      <c r="AF25" s="152"/>
      <c r="AG25" s="152"/>
      <c r="AH25" s="152" t="s">
        <v>328</v>
      </c>
      <c r="AI25" s="152" t="s">
        <v>329</v>
      </c>
      <c r="AJ25" s="152"/>
      <c r="AK25" s="156"/>
      <c r="AL25" s="156"/>
      <c r="AM25" s="156">
        <f t="shared" si="0"/>
        <v>16.384</v>
      </c>
      <c r="AN25" s="156">
        <f t="shared" si="0"/>
        <v>0</v>
      </c>
      <c r="AO25" s="156">
        <f>IF(ISBLANK($A25),,ROUNDDOWN(I25*AQ6*1.024,))</f>
        <v>92</v>
      </c>
      <c r="AP25" s="156">
        <f>IF(ISBLANK($A25),,ROUNDDOWN(L25*AQ6*1.024,))</f>
        <v>0</v>
      </c>
      <c r="AQ25" s="156">
        <f>IF(ISBLANK($A25),,ROUNDDOWN(N25*AQ6*1.024,))</f>
        <v>0</v>
      </c>
      <c r="AR25" s="156">
        <f>IF(ISBLANK($A25),,ROUNDDOWN(P25*AQ6*1.024,))</f>
        <v>0</v>
      </c>
      <c r="AS25" s="156">
        <f>IF(ISBLANK($A25),,ROUNDDOWN(R25*AQ6*1.024,))</f>
        <v>0</v>
      </c>
      <c r="AT25" s="156">
        <f t="shared" si="2"/>
        <v>0</v>
      </c>
      <c r="AU25" s="156">
        <f>IF(ISBLANK($A25),,ROUNDDOWN(V25*AQ6*1.024,))</f>
        <v>0</v>
      </c>
      <c r="AV25" s="156">
        <f>IF(ISBLANK($A25),,ROUNDDOWN(X25*AQ6*1.024,))</f>
        <v>0</v>
      </c>
    </row>
    <row r="26" spans="1:48">
      <c r="A26" s="156" t="s">
        <v>364</v>
      </c>
      <c r="B26" s="152"/>
      <c r="C26" s="156" t="s">
        <v>333</v>
      </c>
      <c r="D26" s="11" t="s">
        <v>362</v>
      </c>
      <c r="E26" s="156" t="s">
        <v>77</v>
      </c>
      <c r="F26" s="152">
        <v>4</v>
      </c>
      <c r="G26" s="152">
        <v>14</v>
      </c>
      <c r="H26" s="152">
        <v>0</v>
      </c>
      <c r="I26" s="152">
        <v>100</v>
      </c>
      <c r="J26" s="154">
        <f t="shared" si="1"/>
        <v>14</v>
      </c>
      <c r="K26" s="152" t="s">
        <v>343</v>
      </c>
      <c r="L26" s="152"/>
      <c r="M26" s="152"/>
      <c r="N26" s="152"/>
      <c r="O26" s="152"/>
      <c r="P26" s="152"/>
      <c r="Q26" s="152"/>
      <c r="R26" s="152"/>
      <c r="S26" s="152"/>
      <c r="T26" s="152"/>
      <c r="U26" s="152"/>
      <c r="V26" s="152"/>
      <c r="W26" s="152"/>
      <c r="X26" s="152"/>
      <c r="Y26" s="152"/>
      <c r="Z26" s="152"/>
      <c r="AA26" s="152"/>
      <c r="AB26" s="152"/>
      <c r="AC26" s="152"/>
      <c r="AD26" s="152"/>
      <c r="AE26" s="152"/>
      <c r="AF26" s="152"/>
      <c r="AG26" s="152"/>
      <c r="AH26" s="152" t="s">
        <v>328</v>
      </c>
      <c r="AI26" s="152" t="s">
        <v>329</v>
      </c>
      <c r="AJ26" s="152"/>
      <c r="AK26" s="156"/>
      <c r="AL26" s="156"/>
      <c r="AM26" s="156">
        <f t="shared" si="0"/>
        <v>14.336</v>
      </c>
      <c r="AN26" s="156">
        <f t="shared" si="0"/>
        <v>0</v>
      </c>
      <c r="AO26" s="156">
        <f>IF(ISBLANK($A26),,ROUNDDOWN(I26*AQ6*1.024,))</f>
        <v>92</v>
      </c>
      <c r="AP26" s="156">
        <f>IF(ISBLANK($A26),,ROUNDDOWN(L26*AQ6*1.024,))</f>
        <v>0</v>
      </c>
      <c r="AQ26" s="156">
        <f>IF(ISBLANK($A26),,ROUNDDOWN(N26*AQ6*1.024,))</f>
        <v>0</v>
      </c>
      <c r="AR26" s="156">
        <f>IF(ISBLANK($A26),,ROUNDDOWN(P26*AQ6*1.024,))</f>
        <v>0</v>
      </c>
      <c r="AS26" s="156">
        <f>IF(ISBLANK($A26),,ROUNDDOWN(R26*AQ6*1.024,))</f>
        <v>0</v>
      </c>
      <c r="AT26" s="156">
        <f t="shared" si="2"/>
        <v>0</v>
      </c>
      <c r="AU26" s="156">
        <f>IF(ISBLANK($A26),,ROUNDDOWN(V26*AQ6*1.024,))</f>
        <v>0</v>
      </c>
      <c r="AV26" s="156">
        <f>IF(ISBLANK($A26),,ROUNDDOWN(X26*AQ6*1.024,))</f>
        <v>0</v>
      </c>
    </row>
    <row r="27" spans="1:48">
      <c r="A27" s="156" t="s">
        <v>365</v>
      </c>
      <c r="B27" s="152"/>
      <c r="C27" s="156" t="s">
        <v>333</v>
      </c>
      <c r="D27" s="156" t="s">
        <v>453</v>
      </c>
      <c r="E27" s="156" t="s">
        <v>81</v>
      </c>
      <c r="F27" s="152">
        <v>6</v>
      </c>
      <c r="G27" s="152">
        <v>6</v>
      </c>
      <c r="H27" s="152">
        <v>0</v>
      </c>
      <c r="I27" s="152">
        <v>56</v>
      </c>
      <c r="J27" s="154">
        <f t="shared" si="1"/>
        <v>6</v>
      </c>
      <c r="K27" s="152" t="s">
        <v>343</v>
      </c>
      <c r="L27" s="152"/>
      <c r="M27" s="152"/>
      <c r="N27" s="152"/>
      <c r="O27" s="152"/>
      <c r="P27" s="152"/>
      <c r="Q27" s="152"/>
      <c r="R27" s="152"/>
      <c r="S27" s="152"/>
      <c r="T27" s="152"/>
      <c r="U27" s="152"/>
      <c r="V27" s="152"/>
      <c r="W27" s="152"/>
      <c r="X27" s="152"/>
      <c r="Y27" s="152"/>
      <c r="Z27" s="152">
        <v>50</v>
      </c>
      <c r="AA27" s="152" t="s">
        <v>366</v>
      </c>
      <c r="AB27" s="152"/>
      <c r="AC27" s="152"/>
      <c r="AD27" s="152"/>
      <c r="AE27" s="152"/>
      <c r="AF27" s="152"/>
      <c r="AG27" s="152"/>
      <c r="AH27" s="152" t="s">
        <v>328</v>
      </c>
      <c r="AI27" s="152" t="s">
        <v>329</v>
      </c>
      <c r="AJ27" s="152"/>
      <c r="AK27" s="156"/>
      <c r="AL27" s="156"/>
      <c r="AM27" s="156">
        <f t="shared" si="0"/>
        <v>6.1440000000000001</v>
      </c>
      <c r="AN27" s="156">
        <f t="shared" si="0"/>
        <v>0</v>
      </c>
      <c r="AO27" s="156">
        <f>IF(ISBLANK($A27),,ROUNDDOWN(I27*AQ6*1.024,))</f>
        <v>51</v>
      </c>
      <c r="AP27" s="156">
        <f>IF(ISBLANK($A27),,ROUNDDOWN(L27*AQ6*1.024,))</f>
        <v>0</v>
      </c>
      <c r="AQ27" s="156">
        <f>IF(ISBLANK($A27),,ROUNDDOWN(N27*AQ6*1.024,))</f>
        <v>0</v>
      </c>
      <c r="AR27" s="156">
        <f>IF(ISBLANK($A27),,ROUNDDOWN(P27*AQ6*1.024,))</f>
        <v>0</v>
      </c>
      <c r="AS27" s="156">
        <f>IF(ISBLANK($A27),,ROUNDDOWN(R27*AQ6*1.024,))</f>
        <v>0</v>
      </c>
      <c r="AT27" s="156">
        <f t="shared" si="2"/>
        <v>0</v>
      </c>
      <c r="AU27" s="156">
        <f>IF(ISBLANK($A27),,ROUNDDOWN(V27*AQ6*1.024,))</f>
        <v>0</v>
      </c>
      <c r="AV27" s="156">
        <f>IF(ISBLANK($A27),,ROUNDDOWN(X27*AQ6*1.024,))</f>
        <v>0</v>
      </c>
    </row>
    <row r="28" spans="1:48">
      <c r="A28" s="156" t="s">
        <v>367</v>
      </c>
      <c r="B28" s="152"/>
      <c r="C28" s="156" t="s">
        <v>333</v>
      </c>
      <c r="D28" s="156" t="s">
        <v>453</v>
      </c>
      <c r="E28" s="156" t="s">
        <v>81</v>
      </c>
      <c r="F28" s="152">
        <v>6</v>
      </c>
      <c r="G28" s="152">
        <v>6</v>
      </c>
      <c r="H28" s="152">
        <v>0</v>
      </c>
      <c r="I28" s="152">
        <v>56</v>
      </c>
      <c r="J28" s="154">
        <f t="shared" si="1"/>
        <v>6</v>
      </c>
      <c r="K28" s="152" t="s">
        <v>335</v>
      </c>
      <c r="L28" s="152"/>
      <c r="M28" s="152"/>
      <c r="N28" s="152"/>
      <c r="O28" s="152"/>
      <c r="P28" s="152"/>
      <c r="Q28" s="152"/>
      <c r="R28" s="152"/>
      <c r="S28" s="152"/>
      <c r="T28" s="152"/>
      <c r="U28" s="152"/>
      <c r="V28" s="152"/>
      <c r="W28" s="152"/>
      <c r="X28" s="152"/>
      <c r="Y28" s="152"/>
      <c r="Z28" s="152">
        <v>50</v>
      </c>
      <c r="AA28" s="152" t="s">
        <v>366</v>
      </c>
      <c r="AB28" s="152"/>
      <c r="AC28" s="152"/>
      <c r="AD28" s="152"/>
      <c r="AE28" s="152"/>
      <c r="AF28" s="152"/>
      <c r="AG28" s="152"/>
      <c r="AH28" s="152" t="s">
        <v>328</v>
      </c>
      <c r="AI28" s="152" t="s">
        <v>329</v>
      </c>
      <c r="AJ28" s="152"/>
      <c r="AK28" s="156"/>
      <c r="AL28" s="156"/>
      <c r="AM28" s="156">
        <f t="shared" si="0"/>
        <v>6.1440000000000001</v>
      </c>
      <c r="AN28" s="156">
        <f t="shared" si="0"/>
        <v>0</v>
      </c>
      <c r="AO28" s="156">
        <f>IF(ISBLANK($A28),,ROUNDDOWN(I28*AQ6*1.024,))</f>
        <v>51</v>
      </c>
      <c r="AP28" s="156">
        <f>IF(ISBLANK($A28),,ROUNDDOWN(L28*AQ6*1.024,))</f>
        <v>0</v>
      </c>
      <c r="AQ28" s="156">
        <f>IF(ISBLANK($A28),,ROUNDDOWN(N28*AQ6*1.024,))</f>
        <v>0</v>
      </c>
      <c r="AR28" s="156">
        <f>IF(ISBLANK($A28),,ROUNDDOWN(P28*AQ6*1.024,))</f>
        <v>0</v>
      </c>
      <c r="AS28" s="156">
        <f>IF(ISBLANK($A28),,ROUNDDOWN(R28*AQ6*1.024,))</f>
        <v>0</v>
      </c>
      <c r="AT28" s="156">
        <f t="shared" si="2"/>
        <v>0</v>
      </c>
      <c r="AU28" s="156">
        <f>IF(ISBLANK($A28),,ROUNDDOWN(V28*AQ6*1.024,))</f>
        <v>0</v>
      </c>
      <c r="AV28" s="156">
        <f>IF(ISBLANK($A28),,ROUNDDOWN(X28*AQ6*1.024,))</f>
        <v>0</v>
      </c>
    </row>
    <row r="29" spans="1:48">
      <c r="A29" s="156" t="s">
        <v>368</v>
      </c>
      <c r="B29" s="152"/>
      <c r="C29" s="156" t="s">
        <v>333</v>
      </c>
      <c r="D29" s="156" t="s">
        <v>453</v>
      </c>
      <c r="E29" s="156" t="s">
        <v>369</v>
      </c>
      <c r="F29" s="152">
        <v>3</v>
      </c>
      <c r="G29" s="152">
        <v>3</v>
      </c>
      <c r="H29" s="152">
        <v>0</v>
      </c>
      <c r="I29" s="152">
        <v>41</v>
      </c>
      <c r="J29" s="154">
        <f t="shared" si="1"/>
        <v>3</v>
      </c>
      <c r="K29" s="152" t="s">
        <v>343</v>
      </c>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t="s">
        <v>328</v>
      </c>
      <c r="AI29" s="152" t="s">
        <v>329</v>
      </c>
      <c r="AJ29" s="152"/>
      <c r="AK29" s="156"/>
      <c r="AL29" s="156"/>
      <c r="AM29" s="156">
        <f>IF(ISBLANK($A29),,G29*1.024)</f>
        <v>3.0720000000000001</v>
      </c>
      <c r="AN29" s="156">
        <f>IF(ISBLANK($A29),,H29*1.024)</f>
        <v>0</v>
      </c>
      <c r="AO29" s="156">
        <f>IF(ISBLANK($A29),,ROUNDDOWN(I29*AQ6*1.024,))</f>
        <v>37</v>
      </c>
      <c r="AP29" s="156">
        <f>IF(ISBLANK($A29),,ROUNDDOWN(L29*AQ6*1.024,))</f>
        <v>0</v>
      </c>
      <c r="AQ29" s="156">
        <f>IF(ISBLANK($A29),,ROUNDDOWN(N29*AQ6*1.024,))</f>
        <v>0</v>
      </c>
      <c r="AR29" s="156">
        <f>IF(ISBLANK($A29),,ROUNDDOWN(P29*AQ6*1.024,))</f>
        <v>0</v>
      </c>
      <c r="AS29" s="156">
        <f>IF(ISBLANK($A29),,ROUNDDOWN(R29*AQ6*1.024,))</f>
        <v>0</v>
      </c>
      <c r="AT29" s="156">
        <f t="shared" si="2"/>
        <v>0</v>
      </c>
      <c r="AU29" s="156">
        <f>IF(ISBLANK($A29),,ROUNDDOWN(V29*AQ6*1.024,))</f>
        <v>0</v>
      </c>
      <c r="AV29" s="156">
        <f>IF(ISBLANK($A29),,ROUNDDOWN(X29*AQ6*1.024,))</f>
        <v>0</v>
      </c>
    </row>
    <row r="30" spans="1:48">
      <c r="A30" s="156" t="s">
        <v>370</v>
      </c>
      <c r="B30" s="152"/>
      <c r="C30" s="156" t="s">
        <v>333</v>
      </c>
      <c r="D30" s="156" t="s">
        <v>453</v>
      </c>
      <c r="E30" s="156" t="s">
        <v>371</v>
      </c>
      <c r="F30" s="152">
        <v>3</v>
      </c>
      <c r="G30" s="152">
        <v>3</v>
      </c>
      <c r="H30" s="152">
        <v>0</v>
      </c>
      <c r="I30" s="152">
        <v>41</v>
      </c>
      <c r="J30" s="36">
        <f t="shared" si="1"/>
        <v>3</v>
      </c>
      <c r="K30" s="8" t="s">
        <v>343</v>
      </c>
      <c r="L30" s="8"/>
      <c r="M30" s="8"/>
      <c r="N30" s="8"/>
      <c r="O30" s="8"/>
      <c r="P30" s="8"/>
      <c r="Q30" s="8"/>
      <c r="R30" s="8"/>
      <c r="S30" s="8"/>
      <c r="T30" s="8"/>
      <c r="U30" s="8"/>
      <c r="V30" s="8"/>
      <c r="W30" s="8"/>
      <c r="X30" s="8"/>
      <c r="Y30" s="8"/>
      <c r="Z30" s="8"/>
      <c r="AA30" s="8"/>
      <c r="AB30" s="8"/>
      <c r="AC30" s="8"/>
      <c r="AD30" s="8"/>
      <c r="AE30" s="8"/>
      <c r="AF30" s="8"/>
      <c r="AG30" s="8"/>
      <c r="AH30" s="8" t="s">
        <v>328</v>
      </c>
      <c r="AI30" s="8" t="s">
        <v>329</v>
      </c>
      <c r="AJ30" s="8"/>
      <c r="AK30" s="156"/>
      <c r="AL30" s="156"/>
      <c r="AM30" s="156">
        <f>IF(ISBLANK($A30),,G30*1.024)</f>
        <v>3.0720000000000001</v>
      </c>
      <c r="AN30" s="156">
        <f>IF(ISBLANK($A30),,H30*1.024)</f>
        <v>0</v>
      </c>
      <c r="AO30" s="156">
        <f>IF(ISBLANK($A30),,ROUNDDOWN(I30*AQ6*1.024,))</f>
        <v>37</v>
      </c>
      <c r="AP30" s="156">
        <f>IF(ISBLANK($A30),,ROUNDDOWN(L30*AQ6*1.024,))</f>
        <v>0</v>
      </c>
      <c r="AQ30" s="156">
        <f>IF(ISBLANK($A30),,ROUNDDOWN(N30*AQ6*1.024,))</f>
        <v>0</v>
      </c>
      <c r="AR30" s="156">
        <f>IF(ISBLANK($A30),,ROUNDDOWN(P30*AQ6*1.024,))</f>
        <v>0</v>
      </c>
      <c r="AS30" s="156">
        <f>IF(ISBLANK($A30),,ROUNDDOWN(R30*AQ6*1.024,))</f>
        <v>0</v>
      </c>
      <c r="AT30" s="156">
        <f t="shared" si="2"/>
        <v>0</v>
      </c>
      <c r="AU30" s="156">
        <f>IF(ISBLANK($A30),,ROUNDDOWN(V30*AQ6*1.024,))</f>
        <v>0</v>
      </c>
      <c r="AV30" s="156">
        <f>IF(ISBLANK($A30),,ROUNDDOWN(X30*AQ6*1.024,))</f>
        <v>0</v>
      </c>
    </row>
    <row r="31" spans="1:48">
      <c r="A31" s="10"/>
      <c r="B31" s="10"/>
      <c r="C31" s="10"/>
      <c r="D31" s="10"/>
      <c r="E31" s="10"/>
      <c r="F31" s="9">
        <f>SUM(F8:F30)</f>
        <v>93</v>
      </c>
      <c r="G31" s="9">
        <f>SUM(G8:G30)</f>
        <v>217</v>
      </c>
      <c r="H31" s="9">
        <f>SUM(H8:H30)</f>
        <v>106</v>
      </c>
      <c r="I31" s="9">
        <f>SUM(I8:I30)</f>
        <v>1784</v>
      </c>
      <c r="J31" s="152"/>
      <c r="K31" s="152"/>
      <c r="L31" s="152">
        <f>SUM(L8:L30)</f>
        <v>66</v>
      </c>
      <c r="M31" s="152"/>
      <c r="N31" s="152">
        <f>SUM(N8:N30)</f>
        <v>750</v>
      </c>
      <c r="O31" s="152"/>
      <c r="P31" s="152">
        <f>SUM(P8:P30)</f>
        <v>1125</v>
      </c>
      <c r="Q31" s="152"/>
      <c r="R31" s="152">
        <f>SUM(R8:R30)</f>
        <v>270</v>
      </c>
      <c r="S31" s="152"/>
      <c r="T31" s="152">
        <f>SUM(T8:T30)</f>
        <v>300</v>
      </c>
      <c r="U31" s="152"/>
      <c r="V31" s="152">
        <f>SUM(V8:V30)</f>
        <v>0</v>
      </c>
      <c r="W31" s="152"/>
      <c r="X31" s="152">
        <f>SUM(X8:X30)</f>
        <v>3050</v>
      </c>
      <c r="Y31" s="156"/>
      <c r="Z31" s="152">
        <f>SUM(Z8:Z30)</f>
        <v>100</v>
      </c>
      <c r="AA31" s="156"/>
      <c r="AB31" s="152">
        <f>SUM(AB8:AB30)</f>
        <v>50</v>
      </c>
      <c r="AC31" s="156"/>
      <c r="AD31" s="152">
        <f>SUM(AD8:AD30)</f>
        <v>65</v>
      </c>
      <c r="AE31" s="156"/>
      <c r="AF31" s="152">
        <f>SUM(AF8:AF30)</f>
        <v>2500</v>
      </c>
      <c r="AG31" s="156"/>
      <c r="AH31" s="156"/>
      <c r="AI31" s="152" t="s">
        <v>556</v>
      </c>
      <c r="AJ31" s="152">
        <v>2</v>
      </c>
      <c r="AK31" s="156"/>
      <c r="AL31" s="156"/>
      <c r="AM31" s="156"/>
      <c r="AN31" s="156"/>
      <c r="AO31" s="156"/>
      <c r="AP31" s="156"/>
      <c r="AQ31" s="156"/>
      <c r="AR31" s="156"/>
      <c r="AS31" s="156"/>
      <c r="AT31" s="156"/>
      <c r="AU31" s="156"/>
      <c r="AV31" s="156"/>
    </row>
    <row r="33" spans="1:48">
      <c r="A33" s="7" t="s">
        <v>380</v>
      </c>
      <c r="B33" s="156"/>
      <c r="C33" s="156"/>
      <c r="D33" s="156"/>
      <c r="E33" s="156"/>
      <c r="F33" s="156"/>
      <c r="G33" s="156"/>
      <c r="H33" s="156"/>
      <c r="I33" s="156"/>
      <c r="J33" s="156"/>
      <c r="K33" s="45"/>
      <c r="L33" s="156"/>
      <c r="M33" s="156"/>
      <c r="N33" s="45"/>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row>
    <row r="34" spans="1:48">
      <c r="A34" s="156"/>
      <c r="B34" s="156"/>
      <c r="C34" s="156"/>
      <c r="D34" s="156"/>
      <c r="E34" s="156"/>
      <c r="F34" s="156"/>
      <c r="G34" s="156"/>
      <c r="H34" s="156"/>
      <c r="I34" s="156"/>
      <c r="J34" s="156"/>
      <c r="K34" s="156"/>
      <c r="L34" s="45"/>
      <c r="M34" s="156"/>
      <c r="N34" s="156"/>
      <c r="O34" s="45"/>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row>
    <row r="35" spans="1:48">
      <c r="A35" s="156" t="s">
        <v>381</v>
      </c>
      <c r="B35" s="156"/>
      <c r="C35" s="156" t="s">
        <v>333</v>
      </c>
      <c r="D35" s="156" t="s">
        <v>453</v>
      </c>
      <c r="E35" s="156" t="s">
        <v>10</v>
      </c>
      <c r="F35" s="152">
        <v>4</v>
      </c>
      <c r="G35" s="152">
        <v>16</v>
      </c>
      <c r="H35" s="152">
        <v>0</v>
      </c>
      <c r="I35" s="157">
        <v>71</v>
      </c>
      <c r="J35" s="154">
        <f t="shared" ref="J35:J50" si="3">G35-H35</f>
        <v>16</v>
      </c>
      <c r="K35" s="152"/>
      <c r="L35" s="152"/>
      <c r="M35" s="152"/>
      <c r="N35" s="152"/>
      <c r="O35" s="152"/>
      <c r="P35" s="152"/>
      <c r="Q35" s="152"/>
      <c r="R35" s="152"/>
      <c r="S35" s="152"/>
      <c r="T35" s="152"/>
      <c r="U35" s="152"/>
      <c r="V35" s="152"/>
      <c r="W35" s="152"/>
      <c r="X35" s="152"/>
      <c r="Y35" s="156"/>
      <c r="Z35" s="156"/>
      <c r="AA35" s="156"/>
      <c r="AB35" s="156"/>
      <c r="AC35" s="156"/>
      <c r="AD35" s="156"/>
      <c r="AE35" s="156"/>
      <c r="AF35" s="156"/>
      <c r="AG35" s="156"/>
      <c r="AH35" s="152" t="s">
        <v>328</v>
      </c>
      <c r="AI35" s="152" t="s">
        <v>329</v>
      </c>
      <c r="AJ35" s="152"/>
      <c r="AK35" s="156"/>
      <c r="AL35" s="156"/>
      <c r="AM35" s="156">
        <f t="shared" ref="AM35:AN50" si="4">IF(ISBLANK($A35),,G35*1.024)</f>
        <v>16.384</v>
      </c>
      <c r="AN35" s="156">
        <f t="shared" si="4"/>
        <v>0</v>
      </c>
      <c r="AO35" s="156">
        <f>IF(ISBLANK($A35),,ROUNDDOWN(I35*AQ6*1.024,))</f>
        <v>65</v>
      </c>
      <c r="AP35" s="156">
        <f>IF(ISBLANK($A35),,ROUNDDOWN(L35*AQ6*1.024,))</f>
        <v>0</v>
      </c>
      <c r="AQ35" s="156">
        <f>IF(ISBLANK($A35),,ROUNDDOWN(N35*AQ6*1.024,))</f>
        <v>0</v>
      </c>
      <c r="AR35" s="156">
        <f>IF(ISBLANK($A35),,ROUNDDOWN(P35*AQ6*1.024,))</f>
        <v>0</v>
      </c>
      <c r="AS35" s="156">
        <f>IF(ISBLANK($A35),,ROUNDDOWN(R35*AQ6*1.024,))</f>
        <v>0</v>
      </c>
      <c r="AT35" s="156">
        <f t="shared" ref="AT35:AT48" si="5">IF(ISBLANK($A35),,ROUNDDOWN(T35*AQ$6*1.024,))</f>
        <v>0</v>
      </c>
      <c r="AU35" s="156">
        <f>IF(ISBLANK($A35),,ROUNDDOWN(V35*AQ6*1.024,))</f>
        <v>0</v>
      </c>
      <c r="AV35" s="156">
        <f>IF(ISBLANK($A35),,ROUNDDOWN(X35*AQ6*1.024,))</f>
        <v>0</v>
      </c>
    </row>
    <row r="36" spans="1:48">
      <c r="A36" s="156" t="s">
        <v>382</v>
      </c>
      <c r="B36" s="156"/>
      <c r="C36" s="156" t="s">
        <v>333</v>
      </c>
      <c r="D36" s="11" t="s">
        <v>362</v>
      </c>
      <c r="E36" s="156" t="s">
        <v>75</v>
      </c>
      <c r="F36" s="152">
        <v>4</v>
      </c>
      <c r="G36" s="152">
        <v>4</v>
      </c>
      <c r="H36" s="152">
        <v>0</v>
      </c>
      <c r="I36" s="152">
        <v>100</v>
      </c>
      <c r="J36" s="154">
        <f t="shared" si="3"/>
        <v>4</v>
      </c>
      <c r="K36" s="152"/>
      <c r="L36" s="152"/>
      <c r="M36" s="152"/>
      <c r="N36" s="152"/>
      <c r="O36" s="152"/>
      <c r="P36" s="152"/>
      <c r="Q36" s="152"/>
      <c r="R36" s="152"/>
      <c r="S36" s="152"/>
      <c r="T36" s="152"/>
      <c r="U36" s="152"/>
      <c r="V36" s="152"/>
      <c r="W36" s="152"/>
      <c r="X36" s="152"/>
      <c r="Y36" s="156"/>
      <c r="Z36" s="156"/>
      <c r="AA36" s="156"/>
      <c r="AB36" s="156"/>
      <c r="AC36" s="156"/>
      <c r="AD36" s="156"/>
      <c r="AE36" s="156"/>
      <c r="AF36" s="156"/>
      <c r="AG36" s="156"/>
      <c r="AH36" s="152" t="s">
        <v>328</v>
      </c>
      <c r="AI36" s="152" t="s">
        <v>329</v>
      </c>
      <c r="AJ36" s="152"/>
      <c r="AK36" s="156"/>
      <c r="AL36" s="156"/>
      <c r="AM36" s="156">
        <f t="shared" si="4"/>
        <v>4.0960000000000001</v>
      </c>
      <c r="AN36" s="156">
        <f t="shared" si="4"/>
        <v>0</v>
      </c>
      <c r="AO36" s="156">
        <f>IF(ISBLANK($A36),,ROUNDDOWN(I36*AQ6*1.024,))</f>
        <v>92</v>
      </c>
      <c r="AP36" s="156">
        <f>IF(ISBLANK($A36),,ROUNDDOWN(L36*AQ6*1.024,))</f>
        <v>0</v>
      </c>
      <c r="AQ36" s="156">
        <f>IF(ISBLANK($A36),,ROUNDDOWN(N36*AQ6*1.024,))</f>
        <v>0</v>
      </c>
      <c r="AR36" s="156">
        <f>IF(ISBLANK($A36),,ROUNDDOWN(P36*AQ6*1.024,))</f>
        <v>0</v>
      </c>
      <c r="AS36" s="156">
        <f>IF(ISBLANK($A36),,ROUNDDOWN(R36*AQ6*1.024,))</f>
        <v>0</v>
      </c>
      <c r="AT36" s="156">
        <f t="shared" si="5"/>
        <v>0</v>
      </c>
      <c r="AU36" s="156">
        <f>IF(ISBLANK($A36),,ROUNDDOWN(V36*AQ6*1.024,))</f>
        <v>0</v>
      </c>
      <c r="AV36" s="156">
        <f>IF(ISBLANK($A36),,ROUNDDOWN(X36*AQ6*1.024,))</f>
        <v>0</v>
      </c>
    </row>
    <row r="37" spans="1:48">
      <c r="A37" s="156" t="s">
        <v>383</v>
      </c>
      <c r="B37" s="156"/>
      <c r="C37" s="156" t="s">
        <v>333</v>
      </c>
      <c r="D37" s="11" t="s">
        <v>362</v>
      </c>
      <c r="E37" s="156" t="s">
        <v>79</v>
      </c>
      <c r="F37" s="152">
        <v>4</v>
      </c>
      <c r="G37" s="152">
        <v>16</v>
      </c>
      <c r="H37" s="152">
        <v>0</v>
      </c>
      <c r="I37" s="152">
        <v>100</v>
      </c>
      <c r="J37" s="154">
        <f t="shared" si="3"/>
        <v>16</v>
      </c>
      <c r="K37" s="152"/>
      <c r="L37" s="152"/>
      <c r="M37" s="152"/>
      <c r="N37" s="152"/>
      <c r="O37" s="152"/>
      <c r="P37" s="152"/>
      <c r="Q37" s="152"/>
      <c r="R37" s="152"/>
      <c r="S37" s="152"/>
      <c r="T37" s="152"/>
      <c r="U37" s="152"/>
      <c r="V37" s="152"/>
      <c r="W37" s="152"/>
      <c r="X37" s="152"/>
      <c r="Y37" s="156"/>
      <c r="Z37" s="156"/>
      <c r="AA37" s="156"/>
      <c r="AB37" s="156"/>
      <c r="AC37" s="156"/>
      <c r="AD37" s="156"/>
      <c r="AE37" s="156"/>
      <c r="AF37" s="156"/>
      <c r="AG37" s="156"/>
      <c r="AH37" s="152" t="s">
        <v>328</v>
      </c>
      <c r="AI37" s="152" t="s">
        <v>329</v>
      </c>
      <c r="AJ37" s="152"/>
      <c r="AK37" s="156"/>
      <c r="AL37" s="156"/>
      <c r="AM37" s="156">
        <f t="shared" si="4"/>
        <v>16.384</v>
      </c>
      <c r="AN37" s="156">
        <f t="shared" si="4"/>
        <v>0</v>
      </c>
      <c r="AO37" s="156">
        <f>IF(ISBLANK($A37),,ROUNDDOWN(I37*AQ6*1.024,))</f>
        <v>92</v>
      </c>
      <c r="AP37" s="156">
        <f>IF(ISBLANK($A37),,ROUNDDOWN(L37*AQ6*1.024,))</f>
        <v>0</v>
      </c>
      <c r="AQ37" s="156">
        <f>IF(ISBLANK($A37),,ROUNDDOWN(N37*AQ6*1.024,))</f>
        <v>0</v>
      </c>
      <c r="AR37" s="156">
        <f>IF(ISBLANK($A37),,ROUNDDOWN(P37*AQ6*1.024,))</f>
        <v>0</v>
      </c>
      <c r="AS37" s="156">
        <f>IF(ISBLANK($A37),,ROUNDDOWN(R37*AQ6*1.024,))</f>
        <v>0</v>
      </c>
      <c r="AT37" s="156">
        <f t="shared" si="5"/>
        <v>0</v>
      </c>
      <c r="AU37" s="156">
        <f>IF(ISBLANK($A37),,ROUNDDOWN(V37*AQ6*1.024,))</f>
        <v>0</v>
      </c>
      <c r="AV37" s="156">
        <f>IF(ISBLANK($A37),,ROUNDDOWN(X37*AQ6*1.024,))</f>
        <v>0</v>
      </c>
    </row>
    <row r="38" spans="1:48">
      <c r="A38" s="156" t="s">
        <v>384</v>
      </c>
      <c r="B38" s="156"/>
      <c r="C38" s="156" t="s">
        <v>333</v>
      </c>
      <c r="D38" s="11" t="s">
        <v>362</v>
      </c>
      <c r="E38" s="156" t="s">
        <v>79</v>
      </c>
      <c r="F38" s="152">
        <v>4</v>
      </c>
      <c r="G38" s="152">
        <v>16</v>
      </c>
      <c r="H38" s="152">
        <v>0</v>
      </c>
      <c r="I38" s="152">
        <v>100</v>
      </c>
      <c r="J38" s="154">
        <f t="shared" si="3"/>
        <v>16</v>
      </c>
      <c r="K38" s="152"/>
      <c r="L38" s="152"/>
      <c r="M38" s="152"/>
      <c r="N38" s="152"/>
      <c r="O38" s="152"/>
      <c r="P38" s="152"/>
      <c r="Q38" s="152"/>
      <c r="R38" s="152"/>
      <c r="S38" s="152"/>
      <c r="T38" s="152"/>
      <c r="U38" s="152"/>
      <c r="V38" s="152"/>
      <c r="W38" s="152"/>
      <c r="X38" s="152"/>
      <c r="Y38" s="156"/>
      <c r="Z38" s="156"/>
      <c r="AA38" s="156"/>
      <c r="AB38" s="156"/>
      <c r="AC38" s="156"/>
      <c r="AD38" s="156"/>
      <c r="AE38" s="156"/>
      <c r="AF38" s="156"/>
      <c r="AG38" s="156"/>
      <c r="AH38" s="152" t="s">
        <v>328</v>
      </c>
      <c r="AI38" s="152" t="s">
        <v>329</v>
      </c>
      <c r="AJ38" s="152"/>
      <c r="AK38" s="156"/>
      <c r="AL38" s="156"/>
      <c r="AM38" s="156">
        <f t="shared" si="4"/>
        <v>16.384</v>
      </c>
      <c r="AN38" s="156">
        <f t="shared" si="4"/>
        <v>0</v>
      </c>
      <c r="AO38" s="156">
        <f>IF(ISBLANK($A38),,ROUNDDOWN(I38*AQ6*1.024,))</f>
        <v>92</v>
      </c>
      <c r="AP38" s="156">
        <f>IF(ISBLANK($A38),,ROUNDDOWN(L38*AQ6*1.024,))</f>
        <v>0</v>
      </c>
      <c r="AQ38" s="156">
        <f>IF(ISBLANK($A38),,ROUNDDOWN(N38*AQ6*1.024,))</f>
        <v>0</v>
      </c>
      <c r="AR38" s="156">
        <f>IF(ISBLANK($A38),,ROUNDDOWN(P38*AQ6*1.024,))</f>
        <v>0</v>
      </c>
      <c r="AS38" s="156">
        <f>IF(ISBLANK($A38),,ROUNDDOWN(R38*AQ6*1.024,))</f>
        <v>0</v>
      </c>
      <c r="AT38" s="156">
        <f t="shared" si="5"/>
        <v>0</v>
      </c>
      <c r="AU38" s="156">
        <f>IF(ISBLANK($A38),,ROUNDDOWN(V38*AQ6*1.024,))</f>
        <v>0</v>
      </c>
      <c r="AV38" s="156">
        <f>IF(ISBLANK($A38),,ROUNDDOWN(X38*AQ6*1.024,))</f>
        <v>0</v>
      </c>
    </row>
    <row r="39" spans="1:48">
      <c r="A39" s="156" t="s">
        <v>385</v>
      </c>
      <c r="B39" s="156"/>
      <c r="C39" s="156" t="s">
        <v>333</v>
      </c>
      <c r="D39" s="11" t="s">
        <v>362</v>
      </c>
      <c r="E39" s="156" t="s">
        <v>77</v>
      </c>
      <c r="F39" s="152">
        <v>4</v>
      </c>
      <c r="G39" s="152">
        <v>14</v>
      </c>
      <c r="H39" s="152">
        <v>0</v>
      </c>
      <c r="I39" s="152">
        <v>100</v>
      </c>
      <c r="J39" s="154">
        <f t="shared" si="3"/>
        <v>14</v>
      </c>
      <c r="K39" s="152"/>
      <c r="L39" s="152"/>
      <c r="M39" s="152"/>
      <c r="N39" s="152"/>
      <c r="O39" s="152"/>
      <c r="P39" s="152"/>
      <c r="Q39" s="152"/>
      <c r="R39" s="152"/>
      <c r="S39" s="152"/>
      <c r="T39" s="152"/>
      <c r="U39" s="152"/>
      <c r="V39" s="152"/>
      <c r="W39" s="152"/>
      <c r="X39" s="152"/>
      <c r="Y39" s="156"/>
      <c r="Z39" s="156"/>
      <c r="AA39" s="156"/>
      <c r="AB39" s="156"/>
      <c r="AC39" s="156"/>
      <c r="AD39" s="156"/>
      <c r="AE39" s="156"/>
      <c r="AF39" s="156"/>
      <c r="AG39" s="156"/>
      <c r="AH39" s="152" t="s">
        <v>328</v>
      </c>
      <c r="AI39" s="152" t="s">
        <v>329</v>
      </c>
      <c r="AJ39" s="152"/>
      <c r="AK39" s="156"/>
      <c r="AL39" s="156"/>
      <c r="AM39" s="156">
        <f t="shared" si="4"/>
        <v>14.336</v>
      </c>
      <c r="AN39" s="156">
        <f t="shared" si="4"/>
        <v>0</v>
      </c>
      <c r="AO39" s="156">
        <f>IF(ISBLANK($A39),,ROUNDDOWN(I39*AQ6*1.024,))</f>
        <v>92</v>
      </c>
      <c r="AP39" s="156">
        <f>IF(ISBLANK($A39),,ROUNDDOWN(L39*AQ6*1.024,))</f>
        <v>0</v>
      </c>
      <c r="AQ39" s="156">
        <f>IF(ISBLANK($A39),,ROUNDDOWN(N39*AQ6*1.024,))</f>
        <v>0</v>
      </c>
      <c r="AR39" s="156">
        <f>IF(ISBLANK($A39),,ROUNDDOWN(P39*AQ6*1.024,))</f>
        <v>0</v>
      </c>
      <c r="AS39" s="156">
        <f>IF(ISBLANK($A39),,ROUNDDOWN(R39*AQ6*1.024,))</f>
        <v>0</v>
      </c>
      <c r="AT39" s="156">
        <f t="shared" si="5"/>
        <v>0</v>
      </c>
      <c r="AU39" s="156">
        <f>IF(ISBLANK($A39),,ROUNDDOWN(V39*AQ6*1.024,))</f>
        <v>0</v>
      </c>
      <c r="AV39" s="156">
        <f>IF(ISBLANK($A39),,ROUNDDOWN(X39*AQ6*1.024,))</f>
        <v>0</v>
      </c>
    </row>
    <row r="40" spans="1:48">
      <c r="A40" s="156" t="s">
        <v>386</v>
      </c>
      <c r="B40" s="156"/>
      <c r="C40" s="156" t="s">
        <v>333</v>
      </c>
      <c r="D40" s="156" t="s">
        <v>453</v>
      </c>
      <c r="E40" s="156" t="s">
        <v>110</v>
      </c>
      <c r="F40" s="152">
        <v>3</v>
      </c>
      <c r="G40" s="152">
        <v>8</v>
      </c>
      <c r="H40" s="152">
        <v>0</v>
      </c>
      <c r="I40" s="152">
        <v>121</v>
      </c>
      <c r="J40" s="154">
        <f t="shared" si="3"/>
        <v>8</v>
      </c>
      <c r="K40" s="152"/>
      <c r="L40" s="152"/>
      <c r="M40" s="152"/>
      <c r="N40" s="152"/>
      <c r="O40" s="152"/>
      <c r="P40" s="152"/>
      <c r="Q40" s="152"/>
      <c r="R40" s="152"/>
      <c r="S40" s="152"/>
      <c r="T40" s="152"/>
      <c r="U40" s="152"/>
      <c r="V40" s="152"/>
      <c r="W40" s="152"/>
      <c r="X40" s="152"/>
      <c r="Y40" s="156"/>
      <c r="Z40" s="156"/>
      <c r="AA40" s="156"/>
      <c r="AB40" s="156"/>
      <c r="AC40" s="156"/>
      <c r="AD40" s="156"/>
      <c r="AE40" s="156"/>
      <c r="AF40" s="156"/>
      <c r="AG40" s="156"/>
      <c r="AH40" s="152" t="s">
        <v>328</v>
      </c>
      <c r="AI40" s="152" t="s">
        <v>329</v>
      </c>
      <c r="AJ40" s="152"/>
      <c r="AK40" s="156"/>
      <c r="AL40" s="156"/>
      <c r="AM40" s="156">
        <f t="shared" si="4"/>
        <v>8.1920000000000002</v>
      </c>
      <c r="AN40" s="156">
        <f t="shared" si="4"/>
        <v>0</v>
      </c>
      <c r="AO40" s="156">
        <f>IF(ISBLANK($A40),,ROUNDDOWN(I40*AQ6*1.024,))</f>
        <v>111</v>
      </c>
      <c r="AP40" s="156">
        <f>IF(ISBLANK($A40),,ROUNDDOWN(L40*AQ6*1.024,))</f>
        <v>0</v>
      </c>
      <c r="AQ40" s="156">
        <f>IF(ISBLANK($A40),,ROUNDDOWN(N40*AQ6*1.024,))</f>
        <v>0</v>
      </c>
      <c r="AR40" s="156">
        <f>IF(ISBLANK($A40),,ROUNDDOWN(P40*AQ6*1.024,))</f>
        <v>0</v>
      </c>
      <c r="AS40" s="156">
        <f>IF(ISBLANK($A40),,ROUNDDOWN(R40*AQ6*1.024,))</f>
        <v>0</v>
      </c>
      <c r="AT40" s="156">
        <f t="shared" si="5"/>
        <v>0</v>
      </c>
      <c r="AU40" s="156">
        <f>IF(ISBLANK($A40),,ROUNDDOWN(V40*AQ6*1.024,))</f>
        <v>0</v>
      </c>
      <c r="AV40" s="156">
        <f>IF(ISBLANK($A40),,ROUNDDOWN(X40*AQ6*1.024,))</f>
        <v>0</v>
      </c>
    </row>
    <row r="41" spans="1:48">
      <c r="A41" s="156" t="s">
        <v>387</v>
      </c>
      <c r="B41" s="156"/>
      <c r="C41" s="156" t="s">
        <v>333</v>
      </c>
      <c r="D41" s="156" t="s">
        <v>453</v>
      </c>
      <c r="E41" s="156" t="s">
        <v>110</v>
      </c>
      <c r="F41" s="152">
        <v>3</v>
      </c>
      <c r="G41" s="152">
        <v>8</v>
      </c>
      <c r="H41" s="152">
        <v>0</v>
      </c>
      <c r="I41" s="152">
        <v>121</v>
      </c>
      <c r="J41" s="154">
        <f t="shared" si="3"/>
        <v>8</v>
      </c>
      <c r="K41" s="152"/>
      <c r="L41" s="152"/>
      <c r="M41" s="152"/>
      <c r="N41" s="152"/>
      <c r="O41" s="152"/>
      <c r="P41" s="152"/>
      <c r="Q41" s="152"/>
      <c r="R41" s="152"/>
      <c r="S41" s="152"/>
      <c r="T41" s="152"/>
      <c r="U41" s="152"/>
      <c r="V41" s="152"/>
      <c r="W41" s="152"/>
      <c r="X41" s="152"/>
      <c r="Y41" s="156"/>
      <c r="Z41" s="156"/>
      <c r="AA41" s="156"/>
      <c r="AB41" s="156"/>
      <c r="AC41" s="156"/>
      <c r="AD41" s="156"/>
      <c r="AE41" s="156"/>
      <c r="AF41" s="156"/>
      <c r="AG41" s="156"/>
      <c r="AH41" s="152" t="s">
        <v>328</v>
      </c>
      <c r="AI41" s="152" t="s">
        <v>329</v>
      </c>
      <c r="AJ41" s="152"/>
      <c r="AK41" s="156"/>
      <c r="AL41" s="156"/>
      <c r="AM41" s="156">
        <f t="shared" si="4"/>
        <v>8.1920000000000002</v>
      </c>
      <c r="AN41" s="156">
        <f t="shared" si="4"/>
        <v>0</v>
      </c>
      <c r="AO41" s="156">
        <f>IF(ISBLANK($A41),,ROUNDDOWN(I41*AQ6*1.024,))</f>
        <v>111</v>
      </c>
      <c r="AP41" s="156">
        <f>IF(ISBLANK($A41),,ROUNDDOWN(L41*AQ6*1.024,))</f>
        <v>0</v>
      </c>
      <c r="AQ41" s="156">
        <f>IF(ISBLANK($A41),,ROUNDDOWN(N41*AQ6*1.024,))</f>
        <v>0</v>
      </c>
      <c r="AR41" s="156">
        <f>IF(ISBLANK($A41),,ROUNDDOWN(P41*AQ6*1.024,))</f>
        <v>0</v>
      </c>
      <c r="AS41" s="156">
        <f>IF(ISBLANK($A41),,ROUNDDOWN(R41*AQ6*1.024,))</f>
        <v>0</v>
      </c>
      <c r="AT41" s="156">
        <f t="shared" si="5"/>
        <v>0</v>
      </c>
      <c r="AU41" s="156">
        <f>IF(ISBLANK($A41),,ROUNDDOWN(V41*AQ6*1.024,))</f>
        <v>0</v>
      </c>
      <c r="AV41" s="156">
        <f>IF(ISBLANK($A41),,ROUNDDOWN(X41*AQ6*1.024,))</f>
        <v>0</v>
      </c>
    </row>
    <row r="42" spans="1:48">
      <c r="A42" s="156" t="s">
        <v>388</v>
      </c>
      <c r="B42" s="156"/>
      <c r="C42" s="156" t="s">
        <v>333</v>
      </c>
      <c r="D42" s="156" t="s">
        <v>453</v>
      </c>
      <c r="E42" s="156" t="s">
        <v>30</v>
      </c>
      <c r="F42" s="152">
        <v>2</v>
      </c>
      <c r="G42" s="152">
        <v>4</v>
      </c>
      <c r="H42" s="152">
        <v>0</v>
      </c>
      <c r="I42" s="152">
        <v>41</v>
      </c>
      <c r="J42" s="154">
        <f t="shared" si="3"/>
        <v>4</v>
      </c>
      <c r="K42" s="152"/>
      <c r="L42" s="152"/>
      <c r="M42" s="152"/>
      <c r="N42" s="152"/>
      <c r="O42" s="152"/>
      <c r="P42" s="152"/>
      <c r="Q42" s="152"/>
      <c r="R42" s="152"/>
      <c r="S42" s="152"/>
      <c r="T42" s="152"/>
      <c r="U42" s="152"/>
      <c r="V42" s="152"/>
      <c r="W42" s="152"/>
      <c r="X42" s="152"/>
      <c r="Y42" s="156"/>
      <c r="Z42" s="156"/>
      <c r="AA42" s="156"/>
      <c r="AB42" s="156"/>
      <c r="AC42" s="156"/>
      <c r="AD42" s="156"/>
      <c r="AE42" s="156"/>
      <c r="AF42" s="156"/>
      <c r="AG42" s="156"/>
      <c r="AH42" s="152" t="s">
        <v>328</v>
      </c>
      <c r="AI42" s="152" t="s">
        <v>329</v>
      </c>
      <c r="AJ42" s="152"/>
      <c r="AK42" s="156"/>
      <c r="AL42" s="156"/>
      <c r="AM42" s="156">
        <f t="shared" si="4"/>
        <v>4.0960000000000001</v>
      </c>
      <c r="AN42" s="156">
        <f t="shared" si="4"/>
        <v>0</v>
      </c>
      <c r="AO42" s="156">
        <f>IF(ISBLANK($A42),,ROUNDDOWN(I42*AQ6*1.024,))</f>
        <v>37</v>
      </c>
      <c r="AP42" s="156">
        <f>IF(ISBLANK($A42),,ROUNDDOWN(L42*AQ6*1.024,))</f>
        <v>0</v>
      </c>
      <c r="AQ42" s="156">
        <f>IF(ISBLANK($A42),,ROUNDDOWN(N42*AQ6*1.024,))</f>
        <v>0</v>
      </c>
      <c r="AR42" s="156">
        <f>IF(ISBLANK($A42),,ROUNDDOWN(P42*AQ6*1.024,))</f>
        <v>0</v>
      </c>
      <c r="AS42" s="156">
        <f>IF(ISBLANK($A42),,ROUNDDOWN(R42*AQ6*1.024,))</f>
        <v>0</v>
      </c>
      <c r="AT42" s="156">
        <f t="shared" si="5"/>
        <v>0</v>
      </c>
      <c r="AU42" s="156">
        <f>IF(ISBLANK($A42),,ROUNDDOWN(V42*AQ6*1.024,))</f>
        <v>0</v>
      </c>
      <c r="AV42" s="156">
        <f>IF(ISBLANK($A42),,ROUNDDOWN(X42*AQ6*1.024,))</f>
        <v>0</v>
      </c>
    </row>
    <row r="43" spans="1:48">
      <c r="A43" s="156" t="s">
        <v>389</v>
      </c>
      <c r="B43" s="156"/>
      <c r="C43" s="156" t="s">
        <v>333</v>
      </c>
      <c r="D43" s="156" t="s">
        <v>453</v>
      </c>
      <c r="E43" s="156" t="s">
        <v>22</v>
      </c>
      <c r="F43" s="152">
        <v>2</v>
      </c>
      <c r="G43" s="152">
        <v>4</v>
      </c>
      <c r="H43" s="152">
        <v>0</v>
      </c>
      <c r="I43" s="152">
        <v>31</v>
      </c>
      <c r="J43" s="154">
        <f t="shared" si="3"/>
        <v>4</v>
      </c>
      <c r="K43" s="152"/>
      <c r="L43" s="152"/>
      <c r="M43" s="152"/>
      <c r="N43" s="152"/>
      <c r="O43" s="152"/>
      <c r="P43" s="152"/>
      <c r="Q43" s="152"/>
      <c r="R43" s="152"/>
      <c r="S43" s="152"/>
      <c r="T43" s="152"/>
      <c r="U43" s="152"/>
      <c r="V43" s="152"/>
      <c r="W43" s="152"/>
      <c r="X43" s="152"/>
      <c r="Y43" s="156"/>
      <c r="Z43" s="156"/>
      <c r="AA43" s="156"/>
      <c r="AB43" s="156"/>
      <c r="AC43" s="156"/>
      <c r="AD43" s="156"/>
      <c r="AE43" s="156"/>
      <c r="AF43" s="156"/>
      <c r="AG43" s="156"/>
      <c r="AH43" s="152" t="s">
        <v>328</v>
      </c>
      <c r="AI43" s="152" t="s">
        <v>329</v>
      </c>
      <c r="AJ43" s="152"/>
      <c r="AK43" s="156"/>
      <c r="AL43" s="156"/>
      <c r="AM43" s="156">
        <f t="shared" si="4"/>
        <v>4.0960000000000001</v>
      </c>
      <c r="AN43" s="156">
        <f t="shared" si="4"/>
        <v>0</v>
      </c>
      <c r="AO43" s="156">
        <f>IF(ISBLANK($A43),,ROUNDDOWN(I43*AQ6*1.024,))</f>
        <v>28</v>
      </c>
      <c r="AP43" s="156">
        <f>IF(ISBLANK($A43),,ROUNDDOWN(L43*AQ6*1.024,))</f>
        <v>0</v>
      </c>
      <c r="AQ43" s="156">
        <f>IF(ISBLANK($A43),,ROUNDDOWN(N43*AQ6*1.024,))</f>
        <v>0</v>
      </c>
      <c r="AR43" s="156">
        <f>IF(ISBLANK($A43),,ROUNDDOWN(P43*AQ6*1.024,))</f>
        <v>0</v>
      </c>
      <c r="AS43" s="156">
        <f>IF(ISBLANK($A43),,ROUNDDOWN(R43*AQ6*1.024,))</f>
        <v>0</v>
      </c>
      <c r="AT43" s="156">
        <f t="shared" si="5"/>
        <v>0</v>
      </c>
      <c r="AU43" s="156">
        <f>IF(ISBLANK($A43),,ROUNDDOWN(V43*AQ6*1.024,))</f>
        <v>0</v>
      </c>
      <c r="AV43" s="156">
        <f>IF(ISBLANK($A43),,ROUNDDOWN(X43*AQ6*1.024,))</f>
        <v>0</v>
      </c>
    </row>
    <row r="44" spans="1:48">
      <c r="A44" s="156" t="s">
        <v>390</v>
      </c>
      <c r="B44" s="156"/>
      <c r="C44" s="156" t="s">
        <v>333</v>
      </c>
      <c r="D44" s="156" t="s">
        <v>453</v>
      </c>
      <c r="E44" s="156" t="s">
        <v>26</v>
      </c>
      <c r="F44" s="152">
        <v>4</v>
      </c>
      <c r="G44" s="152">
        <v>4</v>
      </c>
      <c r="H44" s="152">
        <v>0</v>
      </c>
      <c r="I44" s="152">
        <v>31</v>
      </c>
      <c r="J44" s="154">
        <f t="shared" si="3"/>
        <v>4</v>
      </c>
      <c r="K44" s="152"/>
      <c r="L44" s="152"/>
      <c r="M44" s="152"/>
      <c r="N44" s="152"/>
      <c r="O44" s="152"/>
      <c r="P44" s="152"/>
      <c r="Q44" s="152"/>
      <c r="R44" s="152"/>
      <c r="S44" s="152"/>
      <c r="T44" s="152"/>
      <c r="U44" s="152"/>
      <c r="V44" s="152"/>
      <c r="W44" s="152"/>
      <c r="X44" s="152"/>
      <c r="Y44" s="156"/>
      <c r="Z44" s="156"/>
      <c r="AA44" s="156"/>
      <c r="AB44" s="156"/>
      <c r="AC44" s="156"/>
      <c r="AD44" s="156"/>
      <c r="AE44" s="156"/>
      <c r="AF44" s="156"/>
      <c r="AG44" s="156"/>
      <c r="AH44" s="152" t="s">
        <v>328</v>
      </c>
      <c r="AI44" s="152" t="s">
        <v>329</v>
      </c>
      <c r="AJ44" s="152"/>
      <c r="AK44" s="156"/>
      <c r="AL44" s="156"/>
      <c r="AM44" s="156">
        <f t="shared" si="4"/>
        <v>4.0960000000000001</v>
      </c>
      <c r="AN44" s="156">
        <f t="shared" si="4"/>
        <v>0</v>
      </c>
      <c r="AO44" s="156">
        <f>IF(ISBLANK($A44),,ROUNDDOWN(I44*AQ6*1.024,))</f>
        <v>28</v>
      </c>
      <c r="AP44" s="156">
        <f>IF(ISBLANK($A44),,ROUNDDOWN(L44*AQ6*1.024,))</f>
        <v>0</v>
      </c>
      <c r="AQ44" s="156">
        <f>IF(ISBLANK($A44),,ROUNDDOWN(N44*AQ6*1.024,))</f>
        <v>0</v>
      </c>
      <c r="AR44" s="156">
        <f>IF(ISBLANK($A44),,ROUNDDOWN(P44*AQ6*1.024,))</f>
        <v>0</v>
      </c>
      <c r="AS44" s="156">
        <f>IF(ISBLANK($A44),,ROUNDDOWN(R44*AQ6*1.024,))</f>
        <v>0</v>
      </c>
      <c r="AT44" s="156">
        <f t="shared" si="5"/>
        <v>0</v>
      </c>
      <c r="AU44" s="156">
        <f>IF(ISBLANK($A44),,ROUNDDOWN(V44*AQ6*1.024,))</f>
        <v>0</v>
      </c>
      <c r="AV44" s="156">
        <f>IF(ISBLANK($A44),,ROUNDDOWN(X44*AQ6*1.024,))</f>
        <v>0</v>
      </c>
    </row>
    <row r="45" spans="1:48" ht="15">
      <c r="A45" s="156" t="s">
        <v>391</v>
      </c>
      <c r="B45" s="156"/>
      <c r="C45" s="156" t="s">
        <v>333</v>
      </c>
      <c r="D45" s="156" t="s">
        <v>453</v>
      </c>
      <c r="E45" s="156" t="s">
        <v>38</v>
      </c>
      <c r="F45" s="152">
        <v>4</v>
      </c>
      <c r="G45" s="152">
        <v>5</v>
      </c>
      <c r="H45" s="152">
        <v>0</v>
      </c>
      <c r="I45" s="152">
        <v>111</v>
      </c>
      <c r="J45" s="154">
        <f t="shared" si="3"/>
        <v>5</v>
      </c>
      <c r="K45" s="1"/>
      <c r="L45" s="152"/>
      <c r="M45" s="152"/>
      <c r="N45" s="1"/>
      <c r="O45"/>
      <c r="P45" s="152"/>
      <c r="Q45" s="152"/>
      <c r="R45" s="152"/>
      <c r="S45" s="152"/>
      <c r="T45" s="152"/>
      <c r="U45" s="152"/>
      <c r="V45" s="152"/>
      <c r="W45" s="152"/>
      <c r="X45" s="152"/>
      <c r="Y45" s="156"/>
      <c r="Z45" s="156"/>
      <c r="AA45" s="156"/>
      <c r="AB45" s="156"/>
      <c r="AC45" s="156"/>
      <c r="AD45" s="156"/>
      <c r="AE45" s="156"/>
      <c r="AF45" s="156"/>
      <c r="AG45" s="156"/>
      <c r="AH45" s="152" t="s">
        <v>328</v>
      </c>
      <c r="AI45" s="152" t="s">
        <v>329</v>
      </c>
      <c r="AJ45" s="152" t="s">
        <v>329</v>
      </c>
      <c r="AK45" s="156"/>
      <c r="AL45" s="156"/>
      <c r="AM45" s="156">
        <f t="shared" si="4"/>
        <v>5.12</v>
      </c>
      <c r="AN45" s="156">
        <f t="shared" si="4"/>
        <v>0</v>
      </c>
      <c r="AO45" s="156">
        <f>IF(ISBLANK($A45),,ROUNDDOWN(I45*AQ6*1.024,))</f>
        <v>102</v>
      </c>
      <c r="AP45" s="156">
        <f>IF(ISBLANK($A45),,ROUNDDOWN(L45*AQ6*1.024,))</f>
        <v>0</v>
      </c>
      <c r="AQ45" s="156">
        <f>IF(ISBLANK($A45),,ROUNDDOWN(N45*AQ6*1.024,))</f>
        <v>0</v>
      </c>
      <c r="AR45" s="156">
        <f>IF(ISBLANK($A45),,ROUNDDOWN(P45*AQ6*1.024,))</f>
        <v>0</v>
      </c>
      <c r="AS45" s="156">
        <f>IF(ISBLANK($A45),,ROUNDDOWN(R45*AQ6*1.024,))</f>
        <v>0</v>
      </c>
      <c r="AT45" s="156">
        <f t="shared" si="5"/>
        <v>0</v>
      </c>
      <c r="AU45" s="156">
        <f>IF(ISBLANK($A45),,ROUNDDOWN(V45*AQ6*1.024,))</f>
        <v>0</v>
      </c>
      <c r="AV45" s="156">
        <f>IF(ISBLANK($A45),,ROUNDDOWN(X45*AQ6*1.024,))</f>
        <v>0</v>
      </c>
    </row>
    <row r="46" spans="1:48" ht="15">
      <c r="A46" s="156" t="s">
        <v>392</v>
      </c>
      <c r="B46" s="156"/>
      <c r="C46" s="156" t="s">
        <v>333</v>
      </c>
      <c r="D46" s="156" t="s">
        <v>453</v>
      </c>
      <c r="E46" s="156" t="s">
        <v>49</v>
      </c>
      <c r="F46" s="152">
        <v>2</v>
      </c>
      <c r="G46" s="152">
        <v>2</v>
      </c>
      <c r="H46" s="152">
        <v>0</v>
      </c>
      <c r="I46" s="152">
        <v>16</v>
      </c>
      <c r="J46" s="154">
        <f t="shared" si="3"/>
        <v>2</v>
      </c>
      <c r="K46" s="1"/>
      <c r="L46" s="152"/>
      <c r="M46" s="152"/>
      <c r="N46" s="1"/>
      <c r="O46"/>
      <c r="P46" s="152"/>
      <c r="Q46" s="152"/>
      <c r="R46" s="152"/>
      <c r="S46" s="152"/>
      <c r="T46" s="152"/>
      <c r="U46" s="152"/>
      <c r="V46" s="152"/>
      <c r="W46" s="152"/>
      <c r="X46" s="152"/>
      <c r="Y46" s="156"/>
      <c r="Z46" s="156"/>
      <c r="AA46" s="156"/>
      <c r="AB46" s="156"/>
      <c r="AC46" s="156"/>
      <c r="AD46" s="156"/>
      <c r="AE46" s="156"/>
      <c r="AF46" s="156"/>
      <c r="AG46" s="156"/>
      <c r="AH46" s="152" t="s">
        <v>328</v>
      </c>
      <c r="AI46" s="152" t="s">
        <v>329</v>
      </c>
      <c r="AJ46" s="152"/>
      <c r="AK46" s="156"/>
      <c r="AL46" s="156"/>
      <c r="AM46" s="156">
        <f t="shared" si="4"/>
        <v>2.048</v>
      </c>
      <c r="AN46" s="156">
        <f t="shared" si="4"/>
        <v>0</v>
      </c>
      <c r="AO46" s="156">
        <f>IF(ISBLANK($A46),,ROUNDDOWN(I46*AQ6*1.024,))</f>
        <v>14</v>
      </c>
      <c r="AP46" s="156">
        <f>IF(ISBLANK($A46),,ROUNDDOWN(L46*AQ6*1.024,))</f>
        <v>0</v>
      </c>
      <c r="AQ46" s="156">
        <f>IF(ISBLANK($A46),,ROUNDDOWN(N46*AQ6*1.024,))</f>
        <v>0</v>
      </c>
      <c r="AR46" s="156">
        <f>IF(ISBLANK($A46),,ROUNDDOWN(P46*AQ6*1.024,))</f>
        <v>0</v>
      </c>
      <c r="AS46" s="156">
        <f>IF(ISBLANK($A46),,ROUNDDOWN(R46*AQ6*1.024,))</f>
        <v>0</v>
      </c>
      <c r="AT46" s="156">
        <f t="shared" si="5"/>
        <v>0</v>
      </c>
      <c r="AU46" s="156">
        <f>IF(ISBLANK($A46),,ROUNDDOWN(V46*AQ6*1.024,))</f>
        <v>0</v>
      </c>
      <c r="AV46" s="156">
        <f>IF(ISBLANK($A46),,ROUNDDOWN(X46*AQ6*1.024,))</f>
        <v>0</v>
      </c>
    </row>
    <row r="47" spans="1:48" ht="15">
      <c r="A47" s="156" t="s">
        <v>393</v>
      </c>
      <c r="B47" s="156"/>
      <c r="C47" s="156" t="s">
        <v>333</v>
      </c>
      <c r="D47" s="156" t="s">
        <v>453</v>
      </c>
      <c r="E47" s="156" t="s">
        <v>49</v>
      </c>
      <c r="F47" s="152">
        <v>2</v>
      </c>
      <c r="G47" s="152">
        <v>2</v>
      </c>
      <c r="H47" s="152">
        <v>0</v>
      </c>
      <c r="I47" s="152">
        <v>16</v>
      </c>
      <c r="J47" s="154">
        <f t="shared" si="3"/>
        <v>2</v>
      </c>
      <c r="K47" s="1"/>
      <c r="L47" s="152"/>
      <c r="M47" s="152"/>
      <c r="N47" s="1"/>
      <c r="O47"/>
      <c r="P47" s="152"/>
      <c r="Q47" s="152"/>
      <c r="R47" s="152"/>
      <c r="S47" s="152"/>
      <c r="T47" s="152"/>
      <c r="U47" s="152"/>
      <c r="V47" s="152"/>
      <c r="W47" s="152"/>
      <c r="X47" s="152"/>
      <c r="Y47" s="156"/>
      <c r="Z47" s="156"/>
      <c r="AA47" s="156"/>
      <c r="AB47" s="156"/>
      <c r="AC47" s="156"/>
      <c r="AD47" s="156"/>
      <c r="AE47" s="156"/>
      <c r="AF47" s="156"/>
      <c r="AG47" s="156"/>
      <c r="AH47" s="152" t="s">
        <v>328</v>
      </c>
      <c r="AI47" s="152" t="s">
        <v>329</v>
      </c>
      <c r="AJ47" s="152"/>
      <c r="AK47" s="156"/>
      <c r="AL47" s="156"/>
      <c r="AM47" s="156">
        <f t="shared" si="4"/>
        <v>2.048</v>
      </c>
      <c r="AN47" s="156">
        <f t="shared" si="4"/>
        <v>0</v>
      </c>
      <c r="AO47" s="156">
        <f>IF(ISBLANK($A47),,ROUNDDOWN(I47*AQ6*1.024,))</f>
        <v>14</v>
      </c>
      <c r="AP47" s="156">
        <f>IF(ISBLANK($A47),,ROUNDDOWN(L47*AQ6*1.024,))</f>
        <v>0</v>
      </c>
      <c r="AQ47" s="156">
        <f>IF(ISBLANK($A47),,ROUNDDOWN(N47*AQ6*1.024,))</f>
        <v>0</v>
      </c>
      <c r="AR47" s="156">
        <f>IF(ISBLANK($A47),,ROUNDDOWN(P47*AQ6*1.024,))</f>
        <v>0</v>
      </c>
      <c r="AS47" s="156">
        <f>IF(ISBLANK($A47),,ROUNDDOWN(R47*AQ6*1.024,))</f>
        <v>0</v>
      </c>
      <c r="AT47" s="156">
        <f t="shared" si="5"/>
        <v>0</v>
      </c>
      <c r="AU47" s="156">
        <f>IF(ISBLANK($A47),,ROUNDDOWN(V47*AQ6*1.024,))</f>
        <v>0</v>
      </c>
      <c r="AV47" s="156">
        <f>IF(ISBLANK($A47),,ROUNDDOWN(X47*AQ6*1.024,))</f>
        <v>0</v>
      </c>
    </row>
    <row r="48" spans="1:48" ht="15">
      <c r="A48" s="156" t="s">
        <v>394</v>
      </c>
      <c r="B48" s="156"/>
      <c r="C48" s="156" t="s">
        <v>333</v>
      </c>
      <c r="D48" s="156" t="s">
        <v>453</v>
      </c>
      <c r="E48" s="156" t="s">
        <v>53</v>
      </c>
      <c r="F48" s="152">
        <v>6</v>
      </c>
      <c r="G48" s="152">
        <v>5</v>
      </c>
      <c r="H48" s="152">
        <v>0</v>
      </c>
      <c r="I48" s="152">
        <v>41</v>
      </c>
      <c r="J48" s="154">
        <f t="shared" si="3"/>
        <v>5</v>
      </c>
      <c r="K48" s="1"/>
      <c r="L48" s="152"/>
      <c r="M48" s="152"/>
      <c r="N48" s="1"/>
      <c r="O48"/>
      <c r="P48" s="152"/>
      <c r="Q48" s="152"/>
      <c r="R48" s="152"/>
      <c r="S48" s="152"/>
      <c r="T48" s="152"/>
      <c r="U48" s="152"/>
      <c r="V48" s="152"/>
      <c r="W48" s="152"/>
      <c r="X48" s="152"/>
      <c r="Y48" s="156"/>
      <c r="Z48" s="156"/>
      <c r="AA48" s="156"/>
      <c r="AB48" s="156"/>
      <c r="AC48" s="156"/>
      <c r="AD48" s="156"/>
      <c r="AE48" s="156"/>
      <c r="AF48" s="156"/>
      <c r="AG48" s="156"/>
      <c r="AH48" s="152" t="s">
        <v>328</v>
      </c>
      <c r="AI48" s="152" t="s">
        <v>329</v>
      </c>
      <c r="AJ48" s="152"/>
      <c r="AK48" s="156"/>
      <c r="AL48" s="156"/>
      <c r="AM48" s="156">
        <f t="shared" si="4"/>
        <v>5.12</v>
      </c>
      <c r="AN48" s="156">
        <f t="shared" si="4"/>
        <v>0</v>
      </c>
      <c r="AO48" s="156">
        <f>IF(ISBLANK($A48),,ROUNDDOWN(I48*AQ6*1.024,))</f>
        <v>37</v>
      </c>
      <c r="AP48" s="156">
        <f>IF(ISBLANK($A48),,ROUNDDOWN(L48*AQ6*1.024,))</f>
        <v>0</v>
      </c>
      <c r="AQ48" s="156">
        <f>IF(ISBLANK($A48),,ROUNDDOWN(N48*AQ6*1.024,))</f>
        <v>0</v>
      </c>
      <c r="AR48" s="156">
        <f>IF(ISBLANK($A48),,ROUNDDOWN(P48*AQ6*1.024,))</f>
        <v>0</v>
      </c>
      <c r="AS48" s="156">
        <f>IF(ISBLANK($A48),,ROUNDDOWN(R48*AQ6*1.024,))</f>
        <v>0</v>
      </c>
      <c r="AT48" s="156">
        <f t="shared" si="5"/>
        <v>0</v>
      </c>
      <c r="AU48" s="156">
        <f>IF(ISBLANK($A48),,ROUNDDOWN(V48*AQ6*1.024,))</f>
        <v>0</v>
      </c>
      <c r="AV48" s="156">
        <f>IF(ISBLANK($A48),,ROUNDDOWN(X48*AQ6*1.024,))</f>
        <v>0</v>
      </c>
    </row>
    <row r="49" spans="1:48" s="35" customFormat="1" ht="15">
      <c r="A49" s="156" t="s">
        <v>395</v>
      </c>
      <c r="B49" s="156"/>
      <c r="C49" s="156" t="s">
        <v>333</v>
      </c>
      <c r="D49" s="156" t="s">
        <v>453</v>
      </c>
      <c r="E49" s="156" t="s">
        <v>57</v>
      </c>
      <c r="F49" s="152">
        <v>2</v>
      </c>
      <c r="G49" s="152">
        <v>2</v>
      </c>
      <c r="H49" s="152">
        <v>0</v>
      </c>
      <c r="I49" s="152">
        <v>31</v>
      </c>
      <c r="J49" s="152">
        <f t="shared" si="3"/>
        <v>2</v>
      </c>
      <c r="K49" s="40"/>
      <c r="L49" s="154"/>
      <c r="M49" s="154"/>
      <c r="N49" s="40"/>
      <c r="O49" s="41"/>
      <c r="P49" s="154"/>
      <c r="Q49" s="154"/>
      <c r="R49" s="154"/>
      <c r="S49" s="154"/>
      <c r="T49" s="154"/>
      <c r="U49" s="154"/>
      <c r="V49" s="154"/>
      <c r="X49" s="154"/>
      <c r="Y49" s="115"/>
      <c r="Z49" s="114"/>
      <c r="AA49" s="114"/>
      <c r="AB49" s="114"/>
      <c r="AC49" s="114"/>
      <c r="AD49" s="114"/>
      <c r="AE49" s="114"/>
      <c r="AF49" s="114"/>
      <c r="AG49" s="114"/>
      <c r="AH49" s="114" t="s">
        <v>328</v>
      </c>
      <c r="AI49" s="114" t="s">
        <v>329</v>
      </c>
      <c r="AJ49" s="114"/>
      <c r="AM49" s="35">
        <f t="shared" si="4"/>
        <v>2.048</v>
      </c>
      <c r="AN49" s="35">
        <f t="shared" si="4"/>
        <v>0</v>
      </c>
      <c r="AO49" s="35">
        <f>IF(ISBLANK($A49),,ROUNDDOWN(I49*AQ$6*1.024,))</f>
        <v>28</v>
      </c>
      <c r="AP49" s="35">
        <f>IF(ISBLANK($A49),,ROUNDDOWN(L49*AQ$6*1.024,))</f>
        <v>0</v>
      </c>
      <c r="AQ49" s="35">
        <f>IF(ISBLANK($A49),,ROUNDDOWN(N49*AQ$6*1.024,))</f>
        <v>0</v>
      </c>
      <c r="AR49" s="35">
        <f>IF(ISBLANK($A49),,ROUNDDOWN(P49*AQ$6*1.024,))</f>
        <v>0</v>
      </c>
      <c r="AS49" s="35">
        <f>IF(ISBLANK($A49),,ROUNDDOWN(R49*AQ$6*1.024,))</f>
        <v>0</v>
      </c>
      <c r="AT49" s="156">
        <f>IF(ISBLANK($A49),,ROUNDDOWN(T49*AQ$6*1.024,))</f>
        <v>0</v>
      </c>
      <c r="AU49" s="35">
        <f>IF(ISBLANK($A49),,ROUNDDOWN(V49*AQ$6*1.024,))</f>
        <v>0</v>
      </c>
      <c r="AV49" s="35">
        <f>IF(ISBLANK($A49),,ROUNDDOWN(X49*AQ$6*1.024,))</f>
        <v>0</v>
      </c>
    </row>
    <row r="50" spans="1:48" s="42" customFormat="1" ht="15">
      <c r="A50" s="13" t="s">
        <v>655</v>
      </c>
      <c r="B50" s="13"/>
      <c r="C50" s="13" t="s">
        <v>333</v>
      </c>
      <c r="D50" s="13" t="s">
        <v>326</v>
      </c>
      <c r="E50" s="13" t="s">
        <v>656</v>
      </c>
      <c r="F50" s="8">
        <v>12</v>
      </c>
      <c r="G50" s="8">
        <v>24</v>
      </c>
      <c r="H50" s="8">
        <v>0</v>
      </c>
      <c r="I50" s="8">
        <v>2098</v>
      </c>
      <c r="J50" s="8">
        <f t="shared" si="3"/>
        <v>24</v>
      </c>
      <c r="K50" s="99"/>
      <c r="L50" s="36"/>
      <c r="M50" s="36"/>
      <c r="N50" s="99"/>
      <c r="O50" s="163"/>
      <c r="P50" s="36"/>
      <c r="Q50" s="36"/>
      <c r="R50" s="36"/>
      <c r="S50" s="36"/>
      <c r="T50" s="36"/>
      <c r="U50" s="36"/>
      <c r="V50" s="36"/>
      <c r="X50" s="36"/>
      <c r="Z50" s="36"/>
      <c r="AA50" s="36"/>
      <c r="AB50" s="36"/>
      <c r="AC50" s="36"/>
      <c r="AD50" s="36"/>
      <c r="AE50" s="36"/>
      <c r="AF50" s="36"/>
      <c r="AG50" s="36"/>
      <c r="AH50" s="36" t="s">
        <v>328</v>
      </c>
      <c r="AI50" s="36" t="s">
        <v>329</v>
      </c>
      <c r="AJ50" s="36"/>
      <c r="AM50" s="42">
        <f t="shared" si="4"/>
        <v>24.576000000000001</v>
      </c>
      <c r="AN50" s="42">
        <f t="shared" si="4"/>
        <v>0</v>
      </c>
      <c r="AO50" s="42">
        <f>IF(ISBLANK($A50),,ROUNDDOWN(I50*AQ$6*1.024,))</f>
        <v>1933</v>
      </c>
      <c r="AP50" s="42">
        <f>IF(ISBLANK($A50),,ROUNDDOWN(L50*AQ$6*1.024,))</f>
        <v>0</v>
      </c>
      <c r="AQ50" s="42">
        <f>IF(ISBLANK($A50),,ROUNDDOWN(N50*AQ$6*1.024,))</f>
        <v>0</v>
      </c>
      <c r="AR50" s="42">
        <f>IF(ISBLANK($A50),,ROUNDDOWN(P50*AQ$6*1.024,))</f>
        <v>0</v>
      </c>
      <c r="AS50" s="42">
        <f>IF(ISBLANK($A50),,ROUNDDOWN(R50*AQ$6*1.024,))</f>
        <v>0</v>
      </c>
      <c r="AT50" s="13">
        <f>IF(ISBLANK($A50),,ROUNDDOWN(T50*AQ$6*1.024,))</f>
        <v>0</v>
      </c>
      <c r="AU50" s="42">
        <f>IF(ISBLANK($A50),,ROUNDDOWN(V50*AQ$6*1.024,))</f>
        <v>0</v>
      </c>
      <c r="AV50" s="42">
        <f>IF(ISBLANK($A50),,ROUNDDOWN(X50*AQ$6*1.024,))</f>
        <v>0</v>
      </c>
    </row>
    <row r="51" spans="1:48">
      <c r="A51" s="101"/>
      <c r="B51" s="101"/>
      <c r="C51" s="101"/>
      <c r="D51" s="101"/>
      <c r="E51" s="101"/>
      <c r="F51" s="102">
        <f>SUM(F35:F50)+F31</f>
        <v>155</v>
      </c>
      <c r="G51" s="102">
        <f>SUM(G35:G50)+G31</f>
        <v>351</v>
      </c>
      <c r="H51" s="102">
        <f>SUM(H35:H50)+H31</f>
        <v>106</v>
      </c>
      <c r="I51" s="102">
        <f>SUM(I35:I50)+I31</f>
        <v>4913</v>
      </c>
      <c r="J51" s="102"/>
      <c r="K51" s="102"/>
      <c r="L51" s="102">
        <f>SUM(L35:L50)+L31</f>
        <v>66</v>
      </c>
      <c r="M51" s="102"/>
      <c r="N51" s="102">
        <f>SUM(N35:N50)+N31</f>
        <v>750</v>
      </c>
      <c r="O51" s="102"/>
      <c r="P51" s="102">
        <f>SUM(P35:P50)+P31</f>
        <v>1125</v>
      </c>
      <c r="Q51" s="102"/>
      <c r="R51" s="102">
        <f>SUM(R35:R50)+R31</f>
        <v>270</v>
      </c>
      <c r="S51" s="102"/>
      <c r="T51" s="102">
        <f>SUM(T35:T50)+T31</f>
        <v>300</v>
      </c>
      <c r="U51" s="102"/>
      <c r="V51" s="102">
        <f>SUM(V35:V50)+V31</f>
        <v>0</v>
      </c>
      <c r="W51" s="102"/>
      <c r="X51" s="102">
        <f>SUM(X35:X50)+X31</f>
        <v>3050</v>
      </c>
      <c r="Y51" s="156"/>
      <c r="Z51" s="102">
        <f>SUM(Z35:Z50)+Z31</f>
        <v>100</v>
      </c>
      <c r="AA51" s="156"/>
      <c r="AB51" s="102">
        <f>SUM(AB35:AB50)+AB31</f>
        <v>50</v>
      </c>
      <c r="AC51" s="156"/>
      <c r="AD51" s="102">
        <f>SUM(AD35:AD50)+AD31</f>
        <v>65</v>
      </c>
      <c r="AE51" s="156"/>
      <c r="AF51" s="102">
        <f>SUM(AF35:AF50)+AF31</f>
        <v>2500</v>
      </c>
      <c r="AG51" s="156"/>
      <c r="AH51" s="156"/>
      <c r="AI51" s="152" t="s">
        <v>557</v>
      </c>
      <c r="AJ51" s="152">
        <f>3</f>
        <v>3</v>
      </c>
      <c r="AK51" s="156"/>
      <c r="AL51" s="156"/>
      <c r="AM51" s="156"/>
      <c r="AN51" s="156"/>
      <c r="AO51" s="156"/>
      <c r="AP51" s="156"/>
      <c r="AQ51" s="156"/>
      <c r="AR51" s="156"/>
      <c r="AS51" s="156"/>
      <c r="AT51" s="156"/>
      <c r="AU51" s="156"/>
      <c r="AV51" s="156"/>
    </row>
    <row r="53" spans="1:48">
      <c r="A53" s="7" t="s">
        <v>424</v>
      </c>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row>
    <row r="55" spans="1:48">
      <c r="A55" s="156" t="s">
        <v>425</v>
      </c>
      <c r="B55" s="156"/>
      <c r="C55" s="156" t="s">
        <v>426</v>
      </c>
      <c r="D55" s="156" t="s">
        <v>427</v>
      </c>
      <c r="E55" s="156" t="s">
        <v>8</v>
      </c>
      <c r="F55" s="152">
        <v>2</v>
      </c>
      <c r="G55" s="152">
        <v>4</v>
      </c>
      <c r="H55" s="152">
        <v>4</v>
      </c>
      <c r="I55" s="152">
        <v>350</v>
      </c>
      <c r="J55" s="152">
        <f t="shared" ref="J55:J60" si="6">G55-H55</f>
        <v>0</v>
      </c>
      <c r="K55" s="154" t="s">
        <v>428</v>
      </c>
      <c r="L55" s="154"/>
      <c r="M55" s="154"/>
      <c r="N55" s="154"/>
      <c r="O55" s="154"/>
      <c r="P55" s="154"/>
      <c r="Q55" s="154"/>
      <c r="R55" s="154"/>
      <c r="S55" s="154"/>
      <c r="T55" s="154"/>
      <c r="U55" s="154"/>
      <c r="V55" s="152"/>
      <c r="W55" s="152"/>
      <c r="X55" s="152"/>
      <c r="Y55" s="156"/>
      <c r="Z55" s="156"/>
      <c r="AA55" s="156"/>
      <c r="AB55" s="156"/>
      <c r="AC55" s="156"/>
      <c r="AD55" s="156"/>
      <c r="AE55" s="156"/>
      <c r="AF55" s="156"/>
      <c r="AG55" s="156"/>
      <c r="AH55" s="152" t="s">
        <v>328</v>
      </c>
      <c r="AI55" s="152" t="s">
        <v>329</v>
      </c>
      <c r="AJ55" s="152"/>
      <c r="AK55" s="156"/>
      <c r="AL55" s="156"/>
      <c r="AM55" s="156">
        <f t="shared" ref="AM55:AN62" si="7">IF(ISBLANK($A55),,G55*1.024)</f>
        <v>4.0960000000000001</v>
      </c>
      <c r="AN55" s="156">
        <f t="shared" si="7"/>
        <v>4.0960000000000001</v>
      </c>
      <c r="AO55" s="156">
        <f>IF(ISBLANK($A55),,ROUNDDOWN(I55*AQ6*1.024,))</f>
        <v>322</v>
      </c>
      <c r="AP55" s="156">
        <f>IF(ISBLANK($A55),,ROUNDDOWN(L55*AQ6*1.024,))</f>
        <v>0</v>
      </c>
      <c r="AQ55" s="156">
        <f>IF(ISBLANK($A55),,ROUNDDOWN(N55*AQ6*1.024,))</f>
        <v>0</v>
      </c>
      <c r="AR55" s="156">
        <f>IF(ISBLANK($A55),,ROUNDDOWN(P55*AQ6*1.024,))</f>
        <v>0</v>
      </c>
      <c r="AS55" s="156">
        <f>IF(ISBLANK($A55),,ROUNDDOWN(R55*AQ6*1.024,))</f>
        <v>0</v>
      </c>
      <c r="AT55" s="156">
        <f t="shared" ref="AT55:AT63" si="8">IF(ISBLANK($A55),,ROUNDDOWN(T55*AQ$6*1.024,))</f>
        <v>0</v>
      </c>
      <c r="AU55" s="156">
        <f>IF(ISBLANK($A55),,ROUNDDOWN(V55*AQ6*1.024,))</f>
        <v>0</v>
      </c>
      <c r="AV55" s="156">
        <f>IF(ISBLANK($A55),,ROUNDDOWN(X55*AQ6*1.024,))</f>
        <v>0</v>
      </c>
    </row>
    <row r="56" spans="1:48">
      <c r="A56" s="156" t="s">
        <v>429</v>
      </c>
      <c r="B56" s="156"/>
      <c r="C56" s="156" t="s">
        <v>426</v>
      </c>
      <c r="D56" s="156" t="s">
        <v>427</v>
      </c>
      <c r="E56" s="156" t="s">
        <v>430</v>
      </c>
      <c r="F56" s="152">
        <v>6</v>
      </c>
      <c r="G56" s="152">
        <v>10</v>
      </c>
      <c r="H56" s="152">
        <v>10</v>
      </c>
      <c r="I56" s="152">
        <v>100</v>
      </c>
      <c r="J56" s="152">
        <f t="shared" si="6"/>
        <v>0</v>
      </c>
      <c r="K56" s="154" t="s">
        <v>428</v>
      </c>
      <c r="L56" s="154"/>
      <c r="M56" s="154"/>
      <c r="N56" s="154">
        <v>200</v>
      </c>
      <c r="O56" s="154" t="s">
        <v>431</v>
      </c>
      <c r="P56" s="154"/>
      <c r="Q56" s="154"/>
      <c r="R56" s="154"/>
      <c r="S56" s="154"/>
      <c r="T56" s="154"/>
      <c r="U56" s="154"/>
      <c r="V56" s="152"/>
      <c r="W56" s="152"/>
      <c r="X56" s="152"/>
      <c r="Y56" s="156"/>
      <c r="Z56" s="156"/>
      <c r="AA56" s="156"/>
      <c r="AB56" s="156"/>
      <c r="AC56" s="156"/>
      <c r="AD56" s="156"/>
      <c r="AE56" s="156"/>
      <c r="AF56" s="156"/>
      <c r="AG56" s="156"/>
      <c r="AH56" s="152" t="s">
        <v>328</v>
      </c>
      <c r="AI56" s="152" t="s">
        <v>329</v>
      </c>
      <c r="AJ56" s="152"/>
      <c r="AK56" s="156"/>
      <c r="AL56" s="156"/>
      <c r="AM56" s="156">
        <f t="shared" si="7"/>
        <v>10.24</v>
      </c>
      <c r="AN56" s="156">
        <f t="shared" si="7"/>
        <v>10.24</v>
      </c>
      <c r="AO56" s="156">
        <f>IF(ISBLANK($A56),,ROUNDDOWN(I56*AQ6*1.024,))</f>
        <v>92</v>
      </c>
      <c r="AP56" s="156">
        <f>IF(ISBLANK($A56),,ROUNDDOWN(L56*AQ6*1.024,))</f>
        <v>0</v>
      </c>
      <c r="AQ56" s="156">
        <f>IF(ISBLANK($A56),,ROUNDDOWN(N56*AQ6*1.024,))</f>
        <v>184</v>
      </c>
      <c r="AR56" s="156">
        <f>IF(ISBLANK($A56),,ROUNDDOWN(P56*AQ6*1.024,))</f>
        <v>0</v>
      </c>
      <c r="AS56" s="156">
        <f>IF(ISBLANK($A56),,ROUNDDOWN(R56*AQ6*1.024,))</f>
        <v>0</v>
      </c>
      <c r="AT56" s="156">
        <f t="shared" si="8"/>
        <v>0</v>
      </c>
      <c r="AU56" s="156">
        <f>IF(ISBLANK($A56),,ROUNDDOWN(V56*AQ6*1.024,))</f>
        <v>0</v>
      </c>
      <c r="AV56" s="156">
        <f>IF(ISBLANK($A56),,ROUNDDOWN(X56*AQ6*1.024,))</f>
        <v>0</v>
      </c>
    </row>
    <row r="57" spans="1:48">
      <c r="A57" s="156" t="s">
        <v>432</v>
      </c>
      <c r="B57" s="156"/>
      <c r="C57" s="156" t="s">
        <v>426</v>
      </c>
      <c r="D57" s="156" t="s">
        <v>427</v>
      </c>
      <c r="E57" s="156" t="s">
        <v>433</v>
      </c>
      <c r="F57" s="152">
        <v>8</v>
      </c>
      <c r="G57" s="152">
        <v>16</v>
      </c>
      <c r="H57" s="152">
        <v>16</v>
      </c>
      <c r="I57" s="152">
        <v>60</v>
      </c>
      <c r="J57" s="152">
        <f t="shared" si="6"/>
        <v>0</v>
      </c>
      <c r="K57" s="154" t="s">
        <v>434</v>
      </c>
      <c r="L57" s="154"/>
      <c r="M57" s="154"/>
      <c r="N57" s="154"/>
      <c r="O57" s="154"/>
      <c r="P57" s="154"/>
      <c r="Q57" s="154"/>
      <c r="R57" s="154"/>
      <c r="S57" s="154"/>
      <c r="T57" s="154"/>
      <c r="U57" s="154"/>
      <c r="V57" s="152"/>
      <c r="W57" s="152"/>
      <c r="X57" s="152"/>
      <c r="Y57" s="156"/>
      <c r="Z57" s="156"/>
      <c r="AA57" s="156"/>
      <c r="AB57" s="156"/>
      <c r="AC57" s="156"/>
      <c r="AD57" s="156"/>
      <c r="AE57" s="156"/>
      <c r="AF57" s="156"/>
      <c r="AG57" s="156"/>
      <c r="AH57" s="152" t="s">
        <v>346</v>
      </c>
      <c r="AI57" s="152" t="s">
        <v>347</v>
      </c>
      <c r="AJ57" s="152"/>
      <c r="AK57" s="156"/>
      <c r="AL57" s="156"/>
      <c r="AM57" s="156">
        <f t="shared" si="7"/>
        <v>16.384</v>
      </c>
      <c r="AN57" s="156">
        <f t="shared" si="7"/>
        <v>16.384</v>
      </c>
      <c r="AO57" s="156">
        <f>IF(ISBLANK($A57),,ROUNDDOWN(I57*AQ6*1.024,))</f>
        <v>55</v>
      </c>
      <c r="AP57" s="156">
        <f>IF(ISBLANK($A57),,ROUNDDOWN(L57*AQ6*1.024,))</f>
        <v>0</v>
      </c>
      <c r="AQ57" s="156">
        <f>IF(ISBLANK($A57),,ROUNDDOWN(N57*AQ6*1.024,))</f>
        <v>0</v>
      </c>
      <c r="AR57" s="156">
        <f>IF(ISBLANK($A57),,ROUNDDOWN(P57*AQ6*1.024,))</f>
        <v>0</v>
      </c>
      <c r="AS57" s="156">
        <f>IF(ISBLANK($A57),,ROUNDDOWN(R57*AQ6*1.024,))</f>
        <v>0</v>
      </c>
      <c r="AT57" s="156">
        <f t="shared" si="8"/>
        <v>0</v>
      </c>
      <c r="AU57" s="156">
        <f>IF(ISBLANK($A57),,ROUNDDOWN(V57*AQ6*1.024,))</f>
        <v>0</v>
      </c>
      <c r="AV57" s="156">
        <f>IF(ISBLANK($A57),,ROUNDDOWN(X57*AQ6*1.024,))</f>
        <v>0</v>
      </c>
    </row>
    <row r="58" spans="1:48">
      <c r="A58" s="156" t="s">
        <v>435</v>
      </c>
      <c r="B58" s="156"/>
      <c r="C58" s="156" t="s">
        <v>426</v>
      </c>
      <c r="D58" s="156" t="s">
        <v>427</v>
      </c>
      <c r="E58" s="156" t="s">
        <v>436</v>
      </c>
      <c r="F58" s="152">
        <v>10</v>
      </c>
      <c r="G58" s="152">
        <v>10</v>
      </c>
      <c r="H58" s="152">
        <v>10</v>
      </c>
      <c r="I58" s="152">
        <v>40</v>
      </c>
      <c r="J58" s="152">
        <f t="shared" si="6"/>
        <v>0</v>
      </c>
      <c r="K58" s="154" t="s">
        <v>434</v>
      </c>
      <c r="L58" s="154"/>
      <c r="M58" s="154"/>
      <c r="N58" s="154"/>
      <c r="O58" s="154"/>
      <c r="P58" s="154"/>
      <c r="Q58" s="154"/>
      <c r="R58" s="154"/>
      <c r="S58" s="154"/>
      <c r="T58" s="154"/>
      <c r="U58" s="154"/>
      <c r="V58" s="152"/>
      <c r="W58" s="152"/>
      <c r="X58" s="152"/>
      <c r="Y58" s="156"/>
      <c r="Z58" s="156"/>
      <c r="AA58" s="156"/>
      <c r="AB58" s="156"/>
      <c r="AC58" s="156"/>
      <c r="AD58" s="156"/>
      <c r="AE58" s="156"/>
      <c r="AF58" s="156"/>
      <c r="AG58" s="156"/>
      <c r="AH58" s="152" t="s">
        <v>346</v>
      </c>
      <c r="AI58" s="152" t="s">
        <v>347</v>
      </c>
      <c r="AJ58" s="152"/>
      <c r="AK58" s="156"/>
      <c r="AL58" s="156"/>
      <c r="AM58" s="156">
        <f t="shared" si="7"/>
        <v>10.24</v>
      </c>
      <c r="AN58" s="156">
        <f t="shared" si="7"/>
        <v>10.24</v>
      </c>
      <c r="AO58" s="156">
        <f>IF(ISBLANK($A58),,ROUNDDOWN(I58*AQ6*1.024,))</f>
        <v>36</v>
      </c>
      <c r="AP58" s="156">
        <f>IF(ISBLANK($A58),,ROUNDDOWN(L58*AQ6*1.024,))</f>
        <v>0</v>
      </c>
      <c r="AQ58" s="156">
        <f>IF(ISBLANK($A58),,ROUNDDOWN(N58*AQ6*1.024,))</f>
        <v>0</v>
      </c>
      <c r="AR58" s="156">
        <f>IF(ISBLANK($A58),,ROUNDDOWN(P58*AQ6*1.024,))</f>
        <v>0</v>
      </c>
      <c r="AS58" s="156">
        <f>IF(ISBLANK($A58),,ROUNDDOWN(R58*AQ6*1.024,))</f>
        <v>0</v>
      </c>
      <c r="AT58" s="156">
        <f t="shared" si="8"/>
        <v>0</v>
      </c>
      <c r="AU58" s="156">
        <f>IF(ISBLANK($A58),,ROUNDDOWN(V58*AQ6*1.024,))</f>
        <v>0</v>
      </c>
      <c r="AV58" s="156">
        <f>IF(ISBLANK($A58),,ROUNDDOWN(X58*AQ6*1.024,))</f>
        <v>0</v>
      </c>
    </row>
    <row r="59" spans="1:48">
      <c r="A59" s="156" t="s">
        <v>437</v>
      </c>
      <c r="B59" s="156"/>
      <c r="C59" s="156" t="s">
        <v>426</v>
      </c>
      <c r="D59" s="156" t="s">
        <v>427</v>
      </c>
      <c r="E59" s="156" t="s">
        <v>438</v>
      </c>
      <c r="F59" s="152">
        <v>4</v>
      </c>
      <c r="G59" s="152">
        <v>16</v>
      </c>
      <c r="H59" s="152">
        <v>0</v>
      </c>
      <c r="I59" s="152">
        <v>550</v>
      </c>
      <c r="J59" s="152">
        <f t="shared" si="6"/>
        <v>16</v>
      </c>
      <c r="K59" s="154" t="s">
        <v>439</v>
      </c>
      <c r="L59" s="154"/>
      <c r="M59" s="154"/>
      <c r="N59" s="154"/>
      <c r="O59" s="154"/>
      <c r="P59" s="154"/>
      <c r="Q59" s="154"/>
      <c r="R59" s="154"/>
      <c r="S59" s="154"/>
      <c r="T59" s="154"/>
      <c r="U59" s="154"/>
      <c r="V59" s="152"/>
      <c r="W59" s="152"/>
      <c r="X59" s="152"/>
      <c r="Y59" s="156"/>
      <c r="Z59" s="156"/>
      <c r="AA59" s="156"/>
      <c r="AB59" s="156"/>
      <c r="AC59" s="156"/>
      <c r="AD59" s="156"/>
      <c r="AE59" s="156"/>
      <c r="AF59" s="156"/>
      <c r="AG59" s="156"/>
      <c r="AH59" s="152" t="s">
        <v>346</v>
      </c>
      <c r="AI59" s="152" t="s">
        <v>347</v>
      </c>
      <c r="AJ59" s="152"/>
      <c r="AK59" s="156"/>
      <c r="AL59" s="156"/>
      <c r="AM59" s="156">
        <f t="shared" si="7"/>
        <v>16.384</v>
      </c>
      <c r="AN59" s="156">
        <f t="shared" si="7"/>
        <v>0</v>
      </c>
      <c r="AO59" s="156">
        <f>IF(ISBLANK($A59),,ROUNDDOWN(I59*AQ6*1.024,))</f>
        <v>506</v>
      </c>
      <c r="AP59" s="156">
        <f>IF(ISBLANK($A59),,ROUNDDOWN(L59*AQ6*1.024,))</f>
        <v>0</v>
      </c>
      <c r="AQ59" s="156">
        <f>IF(ISBLANK($A59),,ROUNDDOWN(N59*AQ6*1.024,))</f>
        <v>0</v>
      </c>
      <c r="AR59" s="156">
        <f>IF(ISBLANK($A59),,ROUNDDOWN(P59*AQ6*1.024,))</f>
        <v>0</v>
      </c>
      <c r="AS59" s="156">
        <f>IF(ISBLANK($A59),,ROUNDDOWN(R59*AQ6*1.024,))</f>
        <v>0</v>
      </c>
      <c r="AT59" s="156">
        <f t="shared" si="8"/>
        <v>0</v>
      </c>
      <c r="AU59" s="156">
        <f>IF(ISBLANK($A59),,ROUNDDOWN(V59*AQ6*1.024,))</f>
        <v>0</v>
      </c>
      <c r="AV59" s="156">
        <f>IF(ISBLANK($A59),,ROUNDDOWN(X59*AQ6*1.024,))</f>
        <v>0</v>
      </c>
    </row>
    <row r="60" spans="1:48">
      <c r="A60" s="156" t="s">
        <v>440</v>
      </c>
      <c r="B60" s="156"/>
      <c r="C60" s="156" t="s">
        <v>426</v>
      </c>
      <c r="D60" s="156" t="s">
        <v>427</v>
      </c>
      <c r="E60" s="156" t="s">
        <v>441</v>
      </c>
      <c r="F60" s="152">
        <v>2</v>
      </c>
      <c r="G60" s="152">
        <v>4</v>
      </c>
      <c r="H60" s="152">
        <v>4</v>
      </c>
      <c r="I60" s="152">
        <v>40</v>
      </c>
      <c r="J60" s="152">
        <f t="shared" si="6"/>
        <v>0</v>
      </c>
      <c r="K60" s="154" t="s">
        <v>434</v>
      </c>
      <c r="L60" s="154"/>
      <c r="M60" s="154"/>
      <c r="N60" s="154"/>
      <c r="O60" s="154"/>
      <c r="P60" s="154"/>
      <c r="Q60" s="154"/>
      <c r="R60" s="154">
        <v>50</v>
      </c>
      <c r="S60" s="154" t="s">
        <v>442</v>
      </c>
      <c r="T60" s="154"/>
      <c r="U60" s="154"/>
      <c r="V60" s="152"/>
      <c r="W60" s="152"/>
      <c r="X60" s="152"/>
      <c r="Y60" s="156"/>
      <c r="Z60" s="156"/>
      <c r="AA60" s="156"/>
      <c r="AB60" s="156"/>
      <c r="AC60" s="156"/>
      <c r="AD60" s="156"/>
      <c r="AE60" s="156"/>
      <c r="AF60" s="156"/>
      <c r="AG60" s="156"/>
      <c r="AH60" s="152" t="s">
        <v>328</v>
      </c>
      <c r="AI60" s="152" t="s">
        <v>329</v>
      </c>
      <c r="AJ60" s="152"/>
      <c r="AK60" s="156"/>
      <c r="AL60" s="156"/>
      <c r="AM60" s="156">
        <f>IF(ISBLANK($A60),,G60*1.024)</f>
        <v>4.0960000000000001</v>
      </c>
      <c r="AN60" s="156">
        <f>IF(ISBLANK($A60),,H60*1.024)</f>
        <v>4.0960000000000001</v>
      </c>
      <c r="AO60" s="156">
        <f>IF(ISBLANK($A60),,ROUNDDOWN(I60*AQ6*1.024,))</f>
        <v>36</v>
      </c>
      <c r="AP60" s="156">
        <f>IF(ISBLANK($A60),,ROUNDDOWN(L60*AQ6*1.024,))</f>
        <v>0</v>
      </c>
      <c r="AQ60" s="156">
        <f>IF(ISBLANK($A60),,ROUNDDOWN(N60*AQ6*1.024,))</f>
        <v>0</v>
      </c>
      <c r="AR60" s="156">
        <f>IF(ISBLANK($A60),,ROUNDDOWN(P60*AQ6*1.024,))</f>
        <v>0</v>
      </c>
      <c r="AS60" s="156">
        <f>IF(ISBLANK($A60),,ROUNDDOWN(R60*AQ6*1.024,))</f>
        <v>46</v>
      </c>
      <c r="AT60" s="156">
        <f t="shared" si="8"/>
        <v>0</v>
      </c>
      <c r="AU60" s="156">
        <f>IF(ISBLANK($A60),,ROUNDDOWN(V60*AQ6*1.024,))</f>
        <v>0</v>
      </c>
      <c r="AV60" s="156">
        <f>IF(ISBLANK($A60),,ROUNDDOWN(X60*AQ6*1.024,))</f>
        <v>0</v>
      </c>
    </row>
    <row r="61" spans="1:48">
      <c r="A61" s="156" t="s">
        <v>443</v>
      </c>
      <c r="B61" s="156"/>
      <c r="C61" s="156" t="s">
        <v>444</v>
      </c>
      <c r="D61" s="156" t="s">
        <v>427</v>
      </c>
      <c r="E61" s="156" t="s">
        <v>45</v>
      </c>
      <c r="F61" s="152">
        <v>4</v>
      </c>
      <c r="G61" s="152">
        <v>16</v>
      </c>
      <c r="H61" s="152">
        <v>0</v>
      </c>
      <c r="I61" s="152">
        <v>80</v>
      </c>
      <c r="J61" s="154">
        <f>G61-H61</f>
        <v>16</v>
      </c>
      <c r="K61" s="154" t="s">
        <v>445</v>
      </c>
      <c r="L61" s="154"/>
      <c r="M61" s="154"/>
      <c r="N61" s="154"/>
      <c r="O61" s="154"/>
      <c r="P61" s="154"/>
      <c r="Q61" s="154"/>
      <c r="R61" s="154"/>
      <c r="S61" s="154"/>
      <c r="T61" s="154"/>
      <c r="U61" s="154"/>
      <c r="V61" s="152"/>
      <c r="W61" s="152"/>
      <c r="X61" s="152"/>
      <c r="Y61" s="156"/>
      <c r="Z61" s="156"/>
      <c r="AA61" s="156"/>
      <c r="AB61" s="156"/>
      <c r="AC61" s="156"/>
      <c r="AD61" s="156"/>
      <c r="AE61" s="156"/>
      <c r="AF61" s="156"/>
      <c r="AG61" s="156"/>
      <c r="AH61" s="152" t="s">
        <v>328</v>
      </c>
      <c r="AI61" s="152" t="s">
        <v>329</v>
      </c>
      <c r="AJ61" s="152"/>
      <c r="AK61" s="156"/>
      <c r="AL61" s="156"/>
      <c r="AM61" s="156">
        <f t="shared" si="7"/>
        <v>16.384</v>
      </c>
      <c r="AN61" s="156">
        <f t="shared" si="7"/>
        <v>0</v>
      </c>
      <c r="AO61" s="156">
        <f>IF(ISBLANK($A61),,ROUNDDOWN(I61*AQ6*1.024,))</f>
        <v>73</v>
      </c>
      <c r="AP61" s="156">
        <f>IF(ISBLANK($A61),,ROUNDDOWN(L61*AQ6*1.024,))</f>
        <v>0</v>
      </c>
      <c r="AQ61" s="156">
        <f>IF(ISBLANK($A61),,ROUNDDOWN(N61*AQ6*1.024,))</f>
        <v>0</v>
      </c>
      <c r="AR61" s="156">
        <f>IF(ISBLANK($A61),,ROUNDDOWN(P61*AQ6*1.024,))</f>
        <v>0</v>
      </c>
      <c r="AS61" s="156">
        <f>IF(ISBLANK($A61),,ROUNDDOWN(R61*AQ6*1.024,))</f>
        <v>0</v>
      </c>
      <c r="AT61" s="156">
        <f t="shared" si="8"/>
        <v>0</v>
      </c>
      <c r="AU61" s="156">
        <f>IF(ISBLANK($A61),,ROUNDDOWN(V61*AQ6*1.024,))</f>
        <v>0</v>
      </c>
      <c r="AV61" s="156">
        <f>IF(ISBLANK($A61),,ROUNDDOWN(X61*AQ6*1.024,))</f>
        <v>0</v>
      </c>
    </row>
    <row r="62" spans="1:48" s="101" customFormat="1">
      <c r="A62" s="101" t="s">
        <v>446</v>
      </c>
      <c r="C62" s="101" t="s">
        <v>444</v>
      </c>
      <c r="D62" s="101" t="s">
        <v>427</v>
      </c>
      <c r="E62" s="101" t="s">
        <v>45</v>
      </c>
      <c r="F62" s="102">
        <v>4</v>
      </c>
      <c r="G62" s="102">
        <v>16</v>
      </c>
      <c r="H62" s="102">
        <v>0</v>
      </c>
      <c r="I62" s="102">
        <v>80</v>
      </c>
      <c r="J62" s="114">
        <f>G62-H62</f>
        <v>16</v>
      </c>
      <c r="K62" s="114" t="s">
        <v>445</v>
      </c>
      <c r="L62" s="114"/>
      <c r="M62" s="114"/>
      <c r="N62" s="114"/>
      <c r="O62" s="114"/>
      <c r="P62" s="114"/>
      <c r="Q62" s="114"/>
      <c r="R62" s="114"/>
      <c r="S62" s="114"/>
      <c r="T62" s="114"/>
      <c r="U62" s="114"/>
      <c r="V62" s="102"/>
      <c r="W62" s="102"/>
      <c r="X62" s="102"/>
      <c r="AH62" s="102" t="s">
        <v>328</v>
      </c>
      <c r="AI62" s="102" t="s">
        <v>329</v>
      </c>
      <c r="AJ62" s="102"/>
      <c r="AM62" s="101">
        <f t="shared" si="7"/>
        <v>16.384</v>
      </c>
      <c r="AN62" s="101">
        <f t="shared" si="7"/>
        <v>0</v>
      </c>
      <c r="AO62" s="101">
        <f>IF(ISBLANK($A62),,ROUNDDOWN(I62*AQ6*1.024,))</f>
        <v>73</v>
      </c>
      <c r="AP62" s="101">
        <f>IF(ISBLANK($A62),,ROUNDDOWN(L62*AQ6*1.024,))</f>
        <v>0</v>
      </c>
      <c r="AQ62" s="101">
        <f>IF(ISBLANK($A62),,ROUNDDOWN(N62*AQ6*1.024,))</f>
        <v>0</v>
      </c>
      <c r="AR62" s="101">
        <f>IF(ISBLANK($A62),,ROUNDDOWN(P62*AQ6*1.024,))</f>
        <v>0</v>
      </c>
      <c r="AS62" s="101">
        <f>IF(ISBLANK($A62),,ROUNDDOWN(R62*AQ6*1.024,))</f>
        <v>0</v>
      </c>
      <c r="AT62" s="156">
        <f t="shared" si="8"/>
        <v>0</v>
      </c>
      <c r="AU62" s="101">
        <f>IF(ISBLANK($A62),,ROUNDDOWN(V62*AQ6*1.024,))</f>
        <v>0</v>
      </c>
      <c r="AV62" s="101">
        <f>IF(ISBLANK($A62),,ROUNDDOWN(X62*AQ6*1.024,))</f>
        <v>0</v>
      </c>
    </row>
    <row r="63" spans="1:48" s="13" customFormat="1">
      <c r="F63" s="8"/>
      <c r="G63" s="8"/>
      <c r="H63" s="8"/>
      <c r="I63" s="8"/>
      <c r="J63" s="8"/>
      <c r="K63" s="36"/>
      <c r="L63" s="36"/>
      <c r="M63" s="36"/>
      <c r="N63" s="36"/>
      <c r="O63" s="36"/>
      <c r="P63" s="36"/>
      <c r="Q63" s="36"/>
      <c r="R63" s="36"/>
      <c r="S63" s="36"/>
      <c r="T63" s="36"/>
      <c r="U63" s="36"/>
      <c r="V63" s="8"/>
      <c r="W63" s="8"/>
      <c r="X63" s="8"/>
      <c r="AH63" s="8"/>
      <c r="AI63" s="8"/>
      <c r="AJ63" s="8"/>
      <c r="AT63" s="156">
        <f t="shared" si="8"/>
        <v>0</v>
      </c>
    </row>
    <row r="64" spans="1:48">
      <c r="A64" s="156"/>
      <c r="B64" s="156"/>
      <c r="C64" s="156"/>
      <c r="D64" s="156"/>
      <c r="E64" s="156"/>
      <c r="F64" s="152">
        <f>F51+SUM(F55:F63)</f>
        <v>195</v>
      </c>
      <c r="G64" s="161">
        <f>G51+SUM(G55:G63)</f>
        <v>443</v>
      </c>
      <c r="H64" s="161">
        <f>H51+SUM(H55:H63)</f>
        <v>150</v>
      </c>
      <c r="I64" s="161">
        <f>I51+SUM(I55:I63)</f>
        <v>6213</v>
      </c>
      <c r="J64" s="152"/>
      <c r="K64" s="152"/>
      <c r="L64" s="161">
        <f>L51+SUM(L55:L63)</f>
        <v>66</v>
      </c>
      <c r="M64" s="152"/>
      <c r="N64" s="161">
        <f>N51+SUM(N55:N63)</f>
        <v>950</v>
      </c>
      <c r="O64" s="152"/>
      <c r="P64" s="161">
        <f>P51+SUM(P55:P63)</f>
        <v>1125</v>
      </c>
      <c r="Q64" s="152"/>
      <c r="R64" s="161">
        <f>R51+SUM(R55:R63)</f>
        <v>320</v>
      </c>
      <c r="S64" s="152"/>
      <c r="T64" s="161">
        <f>T51+SUM(T55:T63)</f>
        <v>300</v>
      </c>
      <c r="U64" s="152"/>
      <c r="V64" s="161">
        <f>V51+SUM(V55:V63)</f>
        <v>0</v>
      </c>
      <c r="W64" s="152"/>
      <c r="X64" s="161">
        <f>X51+SUM(X55:X63)</f>
        <v>3050</v>
      </c>
      <c r="Y64" s="152"/>
      <c r="Z64" s="161">
        <f>Z51+SUM(Z55:Z63)</f>
        <v>100</v>
      </c>
      <c r="AA64" s="152"/>
      <c r="AB64" s="161">
        <f>AB51+SUM(AB55:AB63)</f>
        <v>50</v>
      </c>
      <c r="AC64" s="152"/>
      <c r="AD64" s="161">
        <f>AD51+SUM(AD55:AD63)</f>
        <v>65</v>
      </c>
      <c r="AE64" s="152"/>
      <c r="AF64" s="161">
        <f>AF51+SUM(AF55:AF63)</f>
        <v>2500</v>
      </c>
      <c r="AG64" s="152"/>
      <c r="AH64" s="152"/>
      <c r="AI64" s="152" t="s">
        <v>658</v>
      </c>
      <c r="AJ64" s="152">
        <v>3</v>
      </c>
      <c r="AK64" s="156"/>
      <c r="AL64" s="156"/>
      <c r="AM64" s="156"/>
      <c r="AN64" s="156"/>
      <c r="AO64" s="156"/>
      <c r="AP64" s="156"/>
      <c r="AQ64" s="156"/>
      <c r="AR64" s="156"/>
      <c r="AS64" s="156"/>
      <c r="AT64" s="156"/>
      <c r="AU64" s="156"/>
      <c r="AV64" s="156"/>
    </row>
    <row r="87" spans="1:8">
      <c r="A87" s="201"/>
      <c r="B87" s="202"/>
    </row>
    <row r="88" spans="1:8">
      <c r="A88" s="201"/>
      <c r="B88" s="201"/>
    </row>
    <row r="89" spans="1:8">
      <c r="A89" s="201"/>
      <c r="B89" s="201"/>
    </row>
    <row r="92" spans="1:8">
      <c r="A92" s="203"/>
      <c r="B92" s="204" t="s">
        <v>472</v>
      </c>
      <c r="C92" s="204" t="s">
        <v>473</v>
      </c>
      <c r="D92" s="205" t="s">
        <v>474</v>
      </c>
      <c r="E92" s="205" t="s">
        <v>475</v>
      </c>
      <c r="F92" s="205" t="s">
        <v>122</v>
      </c>
      <c r="G92" s="204" t="s">
        <v>476</v>
      </c>
      <c r="H92" s="205" t="s">
        <v>477</v>
      </c>
    </row>
    <row r="93" spans="1:8">
      <c r="A93" s="206" t="s">
        <v>479</v>
      </c>
      <c r="B93" s="203">
        <v>750</v>
      </c>
      <c r="C93" s="203">
        <v>691.2</v>
      </c>
      <c r="D93" s="203">
        <v>6</v>
      </c>
      <c r="E93" s="203">
        <v>40</v>
      </c>
      <c r="F93" s="203">
        <v>1125</v>
      </c>
      <c r="G93" s="203">
        <v>1036.8</v>
      </c>
      <c r="H93" s="203">
        <v>2800</v>
      </c>
    </row>
    <row r="94" spans="1:8">
      <c r="A94" s="206" t="s">
        <v>480</v>
      </c>
      <c r="B94" s="203">
        <v>2350</v>
      </c>
      <c r="C94" s="203">
        <v>2165.7600000000002</v>
      </c>
      <c r="D94" s="203">
        <v>11</v>
      </c>
      <c r="E94" s="203">
        <v>70</v>
      </c>
      <c r="F94" s="203">
        <v>2550</v>
      </c>
      <c r="G94" s="203">
        <v>2350.08</v>
      </c>
      <c r="H94" s="203">
        <v>7050</v>
      </c>
    </row>
  </sheetData>
  <mergeCells count="4">
    <mergeCell ref="A3:B3"/>
    <mergeCell ref="F3:G3"/>
    <mergeCell ref="A4:B4"/>
    <mergeCell ref="A5:B5"/>
  </mergeCells>
  <dataValidations count="1">
    <dataValidation type="list" allowBlank="1" showInputMessage="1" showErrorMessage="1" sqref="N10" xr:uid="{D218C4CD-C6C1-4B9F-B0A9-E9A7C6A674B4}">
      <formula1>$B$93:$B$94</formula1>
    </dataValidation>
  </dataValidations>
  <hyperlinks>
    <hyperlink ref="F3:G3" location="Shortcuts!A1" display="Back to shortcuts" xr:uid="{C97441D4-0A9F-4D75-89B0-EBBD3EF97BAD}"/>
  </hyperlink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32039-A481-4F4B-955F-6A407D54B024}">
  <dimension ref="A1:BM88"/>
  <sheetViews>
    <sheetView zoomScale="85" zoomScaleNormal="85" zoomScalePageLayoutView="70" workbookViewId="0">
      <selection activeCell="G11" sqref="G11"/>
    </sheetView>
  </sheetViews>
  <sheetFormatPr defaultColWidth="8.5703125" defaultRowHeight="12.75"/>
  <cols>
    <col min="1" max="1" width="8.5703125" style="3"/>
    <col min="2" max="2" width="15.85546875" style="3" customWidth="1"/>
    <col min="3" max="3" width="23.42578125" style="3" customWidth="1"/>
    <col min="4" max="4" width="49.85546875" style="3" customWidth="1"/>
    <col min="5" max="5" width="19.7109375" style="100" customWidth="1"/>
    <col min="6" max="6" width="13.5703125" style="3" customWidth="1"/>
    <col min="7" max="7" width="8.5703125" style="3"/>
    <col min="8" max="8" width="8.42578125" style="3" customWidth="1"/>
    <col min="9" max="9" width="6.5703125" style="3" bestFit="1" customWidth="1"/>
    <col min="10" max="10" width="6.140625" style="3" customWidth="1"/>
    <col min="11" max="11" width="15.42578125" style="3" customWidth="1"/>
    <col min="12" max="12" width="7.140625" style="3" customWidth="1"/>
    <col min="13" max="13" width="8.5703125" style="3"/>
    <col min="14" max="14" width="6.140625" style="3" customWidth="1"/>
    <col min="15" max="15" width="15.5703125" style="3" customWidth="1"/>
    <col min="16" max="16" width="6.5703125" style="3" customWidth="1"/>
    <col min="17" max="17" width="8.5703125" style="3"/>
    <col min="18" max="18" width="6.140625" style="3" customWidth="1"/>
    <col min="19" max="19" width="15.42578125" style="3" customWidth="1"/>
    <col min="20" max="20" width="6.5703125" style="3" customWidth="1"/>
    <col min="21" max="21" width="8.5703125" style="3"/>
    <col min="22" max="22" width="6.140625" style="3" customWidth="1"/>
    <col min="23" max="23" width="11.42578125" style="3" customWidth="1"/>
    <col min="24" max="24" width="6.5703125" style="3" customWidth="1"/>
    <col min="25" max="25" width="8.5703125" style="3"/>
    <col min="26" max="26" width="6.140625" style="3" customWidth="1"/>
    <col min="27" max="27" width="15.42578125" style="3" customWidth="1"/>
    <col min="28" max="28" width="6.5703125" style="3" customWidth="1"/>
    <col min="29" max="29" width="10" style="3" customWidth="1"/>
    <col min="30" max="30" width="6.140625" style="3" customWidth="1"/>
    <col min="31" max="31" width="15.42578125" style="3" customWidth="1"/>
    <col min="32" max="32" width="6.5703125" style="3" customWidth="1"/>
    <col min="33" max="33" width="8.5703125" style="3"/>
    <col min="34" max="34" width="6.140625" style="3" customWidth="1"/>
    <col min="35" max="35" width="11.42578125" style="3" customWidth="1"/>
    <col min="36" max="36" width="6.5703125" style="3" customWidth="1"/>
    <col min="37" max="37" width="7.42578125" style="3" customWidth="1"/>
    <col min="38" max="38" width="6.140625" style="3" customWidth="1"/>
    <col min="39" max="39" width="15.42578125" style="3" customWidth="1"/>
    <col min="40" max="40" width="6.5703125" style="3" customWidth="1"/>
    <col min="41" max="41" width="8.42578125" style="3" customWidth="1"/>
    <col min="42" max="42" width="6.140625" style="3" customWidth="1"/>
    <col min="43" max="43" width="15.42578125" style="3" customWidth="1"/>
    <col min="44" max="48" width="6.5703125" style="3" customWidth="1"/>
    <col min="49" max="49" width="9.85546875" style="3" customWidth="1"/>
    <col min="50" max="52" width="6.5703125" style="3" customWidth="1"/>
    <col min="53" max="53" width="9.5703125" style="3" customWidth="1"/>
    <col min="54" max="54" width="12.42578125" style="3" customWidth="1"/>
    <col min="55" max="57" width="13.42578125" style="3" customWidth="1"/>
    <col min="58" max="58" width="18.42578125" style="3" customWidth="1"/>
    <col min="59" max="59" width="17.42578125" style="3" customWidth="1"/>
    <col min="60" max="60" width="18.5703125" style="3" customWidth="1"/>
    <col min="61" max="62" width="13.42578125" style="3" customWidth="1"/>
    <col min="63" max="63" width="22.5703125" style="3" customWidth="1"/>
    <col min="64" max="65" width="17.5703125" style="3" customWidth="1"/>
    <col min="66" max="73" width="8.5703125" style="3"/>
    <col min="74" max="74" width="11.140625" style="3" customWidth="1"/>
    <col min="75" max="16384" width="8.5703125" style="3"/>
  </cols>
  <sheetData>
    <row r="1" spans="1:65">
      <c r="A1" s="215" t="s">
        <v>4</v>
      </c>
      <c r="B1" s="215"/>
      <c r="C1" s="215"/>
      <c r="D1" s="216"/>
      <c r="E1" s="152"/>
      <c r="F1" s="155" t="s">
        <v>709</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c r="BI1" s="156"/>
      <c r="BJ1" s="156"/>
      <c r="BK1" s="156"/>
      <c r="BL1" s="156"/>
      <c r="BM1" s="156"/>
    </row>
    <row r="3" spans="1:65" ht="15">
      <c r="A3" s="225" t="s">
        <v>632</v>
      </c>
      <c r="B3" s="225"/>
      <c r="C3" s="156"/>
      <c r="D3" s="156"/>
      <c r="E3" s="152"/>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c r="AW3" s="156"/>
      <c r="AX3" s="156"/>
      <c r="AY3" s="156"/>
      <c r="AZ3" s="156"/>
      <c r="BA3" s="156"/>
      <c r="BB3" s="156"/>
      <c r="BC3" s="156"/>
      <c r="BD3" s="156"/>
      <c r="BE3" s="156"/>
      <c r="BF3" s="156"/>
      <c r="BG3" s="156"/>
      <c r="BH3" s="156"/>
      <c r="BI3" s="156"/>
      <c r="BJ3" s="156"/>
      <c r="BK3" s="156"/>
      <c r="BL3" s="156"/>
      <c r="BM3" s="156"/>
    </row>
    <row r="4" spans="1:65">
      <c r="A4" s="225" t="s">
        <v>303</v>
      </c>
      <c r="B4" s="225"/>
      <c r="C4" s="160"/>
      <c r="D4" s="156" t="s">
        <v>304</v>
      </c>
      <c r="E4" s="152"/>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c r="BI4" s="156"/>
      <c r="BJ4" s="156"/>
      <c r="BK4" s="156"/>
      <c r="BL4" s="156"/>
      <c r="BM4" s="156"/>
    </row>
    <row r="5" spans="1:65">
      <c r="A5" s="225" t="s">
        <v>305</v>
      </c>
      <c r="B5" s="225"/>
      <c r="C5" s="156"/>
      <c r="D5" s="35" t="s">
        <v>307</v>
      </c>
      <c r="E5" s="152"/>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c r="AW5" s="156"/>
      <c r="AX5" s="156"/>
      <c r="AY5" s="156"/>
      <c r="AZ5" s="156"/>
      <c r="BA5" s="156"/>
      <c r="BB5" s="156"/>
      <c r="BC5" s="156"/>
      <c r="BD5" s="156"/>
      <c r="BE5" s="156"/>
      <c r="BF5" s="156"/>
      <c r="BG5" s="156"/>
      <c r="BH5" s="156"/>
      <c r="BI5" s="156"/>
      <c r="BJ5" s="156"/>
      <c r="BK5" s="156"/>
      <c r="BL5" s="156"/>
      <c r="BM5" s="156"/>
    </row>
    <row r="6" spans="1:65">
      <c r="A6" s="156"/>
      <c r="B6" s="156"/>
      <c r="C6" s="156"/>
      <c r="D6" s="156" t="s">
        <v>558</v>
      </c>
      <c r="E6" s="152"/>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156"/>
      <c r="AN6" s="156"/>
      <c r="AO6" s="156"/>
      <c r="AP6" s="156"/>
      <c r="AQ6" s="156"/>
      <c r="AR6" s="156"/>
      <c r="AS6" s="156"/>
      <c r="AT6" s="156"/>
      <c r="AU6" s="156"/>
      <c r="AV6" s="156"/>
      <c r="AW6" s="156"/>
      <c r="AX6" s="156"/>
      <c r="AY6" s="156"/>
      <c r="AZ6" s="156"/>
      <c r="BA6" s="156"/>
      <c r="BB6" s="156"/>
      <c r="BC6" s="156"/>
      <c r="BD6" s="156"/>
      <c r="BE6" s="156"/>
      <c r="BF6" s="156"/>
      <c r="BG6" s="156"/>
      <c r="BH6" s="156"/>
      <c r="BI6" s="156"/>
      <c r="BJ6" s="156"/>
      <c r="BK6" s="156"/>
      <c r="BL6" s="156"/>
      <c r="BM6" s="156"/>
    </row>
    <row r="7" spans="1:65" ht="63.75">
      <c r="A7" s="5" t="s">
        <v>160</v>
      </c>
      <c r="B7" s="5" t="s">
        <v>310</v>
      </c>
      <c r="C7" s="5" t="s">
        <v>312</v>
      </c>
      <c r="D7" s="5" t="s">
        <v>313</v>
      </c>
      <c r="E7" s="4" t="s">
        <v>559</v>
      </c>
      <c r="F7" s="4" t="s">
        <v>103</v>
      </c>
      <c r="G7" s="4" t="s">
        <v>109</v>
      </c>
      <c r="H7" s="4" t="s">
        <v>560</v>
      </c>
      <c r="I7" s="4" t="s">
        <v>315</v>
      </c>
      <c r="J7" s="4" t="s">
        <v>561</v>
      </c>
      <c r="K7" s="4" t="s">
        <v>562</v>
      </c>
      <c r="L7" s="4" t="s">
        <v>563</v>
      </c>
      <c r="M7" s="4" t="s">
        <v>118</v>
      </c>
      <c r="N7" s="4" t="s">
        <v>561</v>
      </c>
      <c r="O7" s="4" t="s">
        <v>562</v>
      </c>
      <c r="P7" s="4" t="s">
        <v>563</v>
      </c>
      <c r="Q7" s="4" t="s">
        <v>20</v>
      </c>
      <c r="R7" s="4" t="s">
        <v>561</v>
      </c>
      <c r="S7" s="4" t="s">
        <v>562</v>
      </c>
      <c r="T7" s="4" t="s">
        <v>563</v>
      </c>
      <c r="U7" s="4" t="s">
        <v>122</v>
      </c>
      <c r="V7" s="4" t="s">
        <v>561</v>
      </c>
      <c r="W7" s="4" t="s">
        <v>562</v>
      </c>
      <c r="X7" s="4" t="s">
        <v>563</v>
      </c>
      <c r="Y7" s="4" t="s">
        <v>130</v>
      </c>
      <c r="Z7" s="4" t="s">
        <v>561</v>
      </c>
      <c r="AA7" s="4" t="s">
        <v>562</v>
      </c>
      <c r="AB7" s="4" t="s">
        <v>563</v>
      </c>
      <c r="AC7" s="4" t="s">
        <v>137</v>
      </c>
      <c r="AD7" s="4" t="s">
        <v>561</v>
      </c>
      <c r="AE7" s="4" t="s">
        <v>562</v>
      </c>
      <c r="AF7" s="4" t="s">
        <v>563</v>
      </c>
      <c r="AG7" s="4" t="s">
        <v>126</v>
      </c>
      <c r="AH7" s="4" t="s">
        <v>561</v>
      </c>
      <c r="AI7" s="4" t="s">
        <v>562</v>
      </c>
      <c r="AJ7" s="4" t="s">
        <v>563</v>
      </c>
      <c r="AK7" s="4" t="s">
        <v>554</v>
      </c>
      <c r="AL7" s="4" t="s">
        <v>561</v>
      </c>
      <c r="AM7" s="4" t="s">
        <v>562</v>
      </c>
      <c r="AN7" s="4" t="s">
        <v>563</v>
      </c>
      <c r="AO7" s="95" t="s">
        <v>564</v>
      </c>
      <c r="AP7" s="4" t="s">
        <v>561</v>
      </c>
      <c r="AQ7" s="4" t="s">
        <v>562</v>
      </c>
      <c r="AR7" s="4" t="s">
        <v>563</v>
      </c>
      <c r="AS7" s="95" t="s">
        <v>140</v>
      </c>
      <c r="AT7" s="4" t="s">
        <v>561</v>
      </c>
      <c r="AU7" s="4" t="s">
        <v>562</v>
      </c>
      <c r="AV7" s="4" t="s">
        <v>563</v>
      </c>
      <c r="AW7" s="95" t="s">
        <v>565</v>
      </c>
      <c r="AX7" s="4" t="s">
        <v>561</v>
      </c>
      <c r="AY7" s="4" t="s">
        <v>562</v>
      </c>
      <c r="AZ7" s="4" t="s">
        <v>563</v>
      </c>
      <c r="BA7" s="4" t="s">
        <v>136</v>
      </c>
      <c r="BB7" s="4" t="s">
        <v>323</v>
      </c>
      <c r="BC7" s="4" t="s">
        <v>324</v>
      </c>
      <c r="BD7" s="4" t="s">
        <v>566</v>
      </c>
      <c r="BE7" s="4" t="s">
        <v>567</v>
      </c>
      <c r="BF7" s="4" t="s">
        <v>568</v>
      </c>
      <c r="BG7" s="4" t="s">
        <v>569</v>
      </c>
      <c r="BH7" s="95" t="s">
        <v>570</v>
      </c>
      <c r="BI7" s="4" t="s">
        <v>571</v>
      </c>
      <c r="BJ7" s="4" t="s">
        <v>572</v>
      </c>
      <c r="BK7" s="4" t="s">
        <v>573</v>
      </c>
      <c r="BL7" s="4" t="s">
        <v>574</v>
      </c>
      <c r="BM7" s="96"/>
    </row>
    <row r="8" spans="1:65">
      <c r="A8" s="11" t="s">
        <v>575</v>
      </c>
      <c r="B8" s="156"/>
      <c r="C8" s="156" t="s">
        <v>326</v>
      </c>
      <c r="D8" s="156" t="s">
        <v>576</v>
      </c>
      <c r="E8" s="152" t="s">
        <v>577</v>
      </c>
      <c r="F8" s="152">
        <v>4</v>
      </c>
      <c r="G8" s="152">
        <v>8</v>
      </c>
      <c r="H8" s="78">
        <v>20</v>
      </c>
      <c r="I8" s="31">
        <v>0</v>
      </c>
      <c r="J8" s="152" t="s">
        <v>578</v>
      </c>
      <c r="K8" s="156" t="s">
        <v>579</v>
      </c>
      <c r="L8" s="152">
        <v>4.7</v>
      </c>
      <c r="M8" s="152"/>
      <c r="N8" s="152"/>
      <c r="O8" s="156"/>
      <c r="P8" s="152"/>
      <c r="Q8" s="152"/>
      <c r="R8" s="152"/>
      <c r="S8" s="152"/>
      <c r="T8" s="152"/>
      <c r="U8" s="152"/>
      <c r="V8" s="152"/>
      <c r="W8" s="152"/>
      <c r="X8" s="152"/>
      <c r="Y8" s="152"/>
      <c r="Z8" s="152"/>
      <c r="AA8" s="152"/>
      <c r="AB8" s="152"/>
      <c r="AC8" s="152"/>
      <c r="AD8" s="152"/>
      <c r="AE8" s="152"/>
      <c r="AF8" s="152"/>
      <c r="AG8" s="78">
        <v>0</v>
      </c>
      <c r="AH8" s="152" t="s">
        <v>575</v>
      </c>
      <c r="AI8" s="152"/>
      <c r="AJ8" s="152" t="s">
        <v>575</v>
      </c>
      <c r="AK8" s="152"/>
      <c r="AL8" s="152"/>
      <c r="AM8" s="152"/>
      <c r="AN8" s="152"/>
      <c r="AO8" s="152"/>
      <c r="AP8" s="152"/>
      <c r="AQ8" s="152"/>
      <c r="AR8" s="152"/>
      <c r="AS8" s="152"/>
      <c r="AT8" s="152"/>
      <c r="AU8" s="152"/>
      <c r="AV8" s="152"/>
      <c r="AW8" s="152"/>
      <c r="AX8" s="152"/>
      <c r="AY8" s="152"/>
      <c r="AZ8" s="152"/>
      <c r="BA8" s="152">
        <v>1</v>
      </c>
      <c r="BB8" s="152"/>
      <c r="BC8" s="152"/>
      <c r="BD8" s="152" t="s">
        <v>329</v>
      </c>
      <c r="BE8" s="152">
        <v>2</v>
      </c>
      <c r="BF8" s="152" t="s">
        <v>329</v>
      </c>
      <c r="BG8" s="152"/>
      <c r="BH8" s="152"/>
      <c r="BI8" s="152"/>
      <c r="BJ8" s="152"/>
      <c r="BK8" s="152"/>
      <c r="BL8" s="152"/>
      <c r="BM8" s="96"/>
    </row>
    <row r="9" spans="1:65">
      <c r="A9" s="156" t="s">
        <v>325</v>
      </c>
      <c r="B9" s="156"/>
      <c r="C9" s="156" t="s">
        <v>326</v>
      </c>
      <c r="D9" s="156" t="s">
        <v>8</v>
      </c>
      <c r="E9" s="152" t="s">
        <v>580</v>
      </c>
      <c r="F9" s="152">
        <v>4</v>
      </c>
      <c r="G9" s="152">
        <v>4</v>
      </c>
      <c r="H9" s="78">
        <v>350</v>
      </c>
      <c r="I9" s="31">
        <v>4096</v>
      </c>
      <c r="J9" s="152" t="s">
        <v>581</v>
      </c>
      <c r="K9" s="156" t="s">
        <v>579</v>
      </c>
      <c r="L9" s="152">
        <v>5.9</v>
      </c>
      <c r="M9" s="152"/>
      <c r="N9" s="152"/>
      <c r="O9" s="152"/>
      <c r="P9" s="152"/>
      <c r="Q9" s="152"/>
      <c r="R9" s="152"/>
      <c r="S9" s="152"/>
      <c r="T9" s="152"/>
      <c r="U9" s="152"/>
      <c r="V9" s="152"/>
      <c r="W9" s="152"/>
      <c r="X9" s="152"/>
      <c r="Y9" s="152"/>
      <c r="Z9" s="152"/>
      <c r="AA9" s="152"/>
      <c r="AB9" s="152"/>
      <c r="AC9" s="152"/>
      <c r="AD9" s="152"/>
      <c r="AE9" s="152"/>
      <c r="AF9" s="152"/>
      <c r="AG9" s="78">
        <f>2*H9</f>
        <v>700</v>
      </c>
      <c r="AH9" s="152" t="s">
        <v>581</v>
      </c>
      <c r="AI9" s="156" t="s">
        <v>579</v>
      </c>
      <c r="AJ9" s="152" t="s">
        <v>575</v>
      </c>
      <c r="AK9" s="152"/>
      <c r="AL9" s="152"/>
      <c r="AM9" s="152"/>
      <c r="AN9" s="152"/>
      <c r="AO9" s="152"/>
      <c r="AP9" s="152"/>
      <c r="AQ9" s="152"/>
      <c r="AR9" s="152"/>
      <c r="AS9" s="152"/>
      <c r="AT9" s="152"/>
      <c r="AU9" s="152"/>
      <c r="AV9" s="152"/>
      <c r="AW9" s="152"/>
      <c r="AX9" s="152"/>
      <c r="AY9" s="152"/>
      <c r="AZ9" s="152"/>
      <c r="BA9" s="152">
        <v>2</v>
      </c>
      <c r="BB9" s="152" t="s">
        <v>329</v>
      </c>
      <c r="BC9" s="152"/>
      <c r="BD9" s="152"/>
      <c r="BE9" s="152">
        <v>2</v>
      </c>
      <c r="BF9" s="152"/>
      <c r="BG9" s="152"/>
      <c r="BH9" s="152" t="s">
        <v>329</v>
      </c>
      <c r="BI9" s="152"/>
      <c r="BJ9" s="152"/>
      <c r="BK9" s="152"/>
      <c r="BL9" s="152"/>
      <c r="BM9" s="96"/>
    </row>
    <row r="10" spans="1:65">
      <c r="A10" s="156" t="s">
        <v>331</v>
      </c>
      <c r="B10" s="152" t="s">
        <v>332</v>
      </c>
      <c r="C10" s="156" t="s">
        <v>326</v>
      </c>
      <c r="D10" s="156" t="s">
        <v>334</v>
      </c>
      <c r="E10" s="152" t="s">
        <v>582</v>
      </c>
      <c r="F10" s="152">
        <v>4</v>
      </c>
      <c r="G10" s="152">
        <v>4</v>
      </c>
      <c r="H10" s="78">
        <v>40.96</v>
      </c>
      <c r="I10" s="31">
        <v>4096</v>
      </c>
      <c r="J10" s="152" t="s">
        <v>581</v>
      </c>
      <c r="K10" s="156" t="s">
        <v>579</v>
      </c>
      <c r="L10" s="152">
        <v>2.6</v>
      </c>
      <c r="M10" s="152"/>
      <c r="N10" s="152"/>
      <c r="O10" s="152"/>
      <c r="P10" s="152"/>
      <c r="Q10" s="152"/>
      <c r="R10" s="152"/>
      <c r="S10" s="152"/>
      <c r="T10" s="152"/>
      <c r="U10" s="152"/>
      <c r="V10" s="152"/>
      <c r="W10" s="152"/>
      <c r="X10" s="152"/>
      <c r="Y10" s="152"/>
      <c r="Z10" s="152"/>
      <c r="AA10" s="152"/>
      <c r="AB10" s="152"/>
      <c r="AC10" s="152"/>
      <c r="AD10" s="152"/>
      <c r="AE10" s="152"/>
      <c r="AF10" s="152"/>
      <c r="AG10" s="78">
        <f>2*H10</f>
        <v>81.92</v>
      </c>
      <c r="AH10" s="152" t="s">
        <v>581</v>
      </c>
      <c r="AI10" s="156" t="s">
        <v>579</v>
      </c>
      <c r="AJ10" s="152" t="s">
        <v>575</v>
      </c>
      <c r="AK10" s="152"/>
      <c r="AL10" s="152"/>
      <c r="AM10" s="152"/>
      <c r="AN10" s="152"/>
      <c r="AO10" s="152"/>
      <c r="AP10" s="152"/>
      <c r="AQ10" s="152"/>
      <c r="AR10" s="152"/>
      <c r="AS10" s="152"/>
      <c r="AT10" s="152"/>
      <c r="AU10" s="152"/>
      <c r="AV10" s="152"/>
      <c r="AW10" s="152"/>
      <c r="AX10" s="152"/>
      <c r="AY10" s="152"/>
      <c r="AZ10" s="152"/>
      <c r="BA10" s="152">
        <v>2</v>
      </c>
      <c r="BB10" s="152" t="s">
        <v>329</v>
      </c>
      <c r="BC10" s="152"/>
      <c r="BD10" s="152"/>
      <c r="BE10" s="152">
        <v>2</v>
      </c>
      <c r="BF10" s="152"/>
      <c r="BG10" s="152"/>
      <c r="BH10" s="152" t="s">
        <v>329</v>
      </c>
      <c r="BI10" s="152"/>
      <c r="BJ10" s="152"/>
      <c r="BK10" s="152"/>
      <c r="BL10" s="156"/>
      <c r="BM10" s="156"/>
    </row>
    <row r="11" spans="1:65">
      <c r="A11" s="156" t="s">
        <v>336</v>
      </c>
      <c r="B11" s="152"/>
      <c r="C11" s="156" t="s">
        <v>326</v>
      </c>
      <c r="D11" s="156" t="s">
        <v>20</v>
      </c>
      <c r="E11" s="152" t="s">
        <v>583</v>
      </c>
      <c r="F11" s="143">
        <f>VLOOKUP(Q11,B84:F85,2,FALSE)</f>
        <v>6</v>
      </c>
      <c r="G11" s="143">
        <f>VLOOKUP(Q11,B84:F85,3,FALSE)</f>
        <v>40</v>
      </c>
      <c r="H11" s="78">
        <v>87.04</v>
      </c>
      <c r="I11" s="31">
        <v>16384</v>
      </c>
      <c r="J11" s="152" t="s">
        <v>581</v>
      </c>
      <c r="K11" s="156" t="s">
        <v>579</v>
      </c>
      <c r="L11" s="152">
        <v>2.6</v>
      </c>
      <c r="M11" s="78">
        <v>60.83</v>
      </c>
      <c r="N11" s="152" t="s">
        <v>581</v>
      </c>
      <c r="O11" s="156" t="s">
        <v>584</v>
      </c>
      <c r="P11" s="152">
        <f>50/1000</f>
        <v>0.05</v>
      </c>
      <c r="Q11" s="211">
        <v>691.2</v>
      </c>
      <c r="R11" s="152" t="s">
        <v>581</v>
      </c>
      <c r="S11" s="156" t="s">
        <v>584</v>
      </c>
      <c r="T11" s="152">
        <f>50/1000</f>
        <v>0.05</v>
      </c>
      <c r="U11" s="210">
        <f>VLOOKUP(Q11,B84:F85,4,FALSE)</f>
        <v>1036.8</v>
      </c>
      <c r="V11" s="152" t="s">
        <v>581</v>
      </c>
      <c r="W11" s="156" t="s">
        <v>579</v>
      </c>
      <c r="X11" s="152">
        <f>50/1000</f>
        <v>0.05</v>
      </c>
      <c r="Y11" s="152"/>
      <c r="Z11" s="152"/>
      <c r="AA11" s="152"/>
      <c r="AB11" s="152"/>
      <c r="AC11" s="152"/>
      <c r="AD11" s="152"/>
      <c r="AE11" s="152"/>
      <c r="AF11" s="152"/>
      <c r="AG11" s="210">
        <f>2*H11+VLOOKUP(Q11,B84:F85,5,FALSE)</f>
        <v>2754.56</v>
      </c>
      <c r="AH11" s="152" t="s">
        <v>581</v>
      </c>
      <c r="AI11" s="156" t="s">
        <v>579</v>
      </c>
      <c r="AJ11" s="152" t="s">
        <v>575</v>
      </c>
      <c r="AK11" s="152"/>
      <c r="AL11" s="152"/>
      <c r="AM11" s="152"/>
      <c r="AN11" s="152"/>
      <c r="AO11" s="152"/>
      <c r="AP11" s="152"/>
      <c r="AQ11" s="152"/>
      <c r="AR11" s="152"/>
      <c r="AS11" s="152"/>
      <c r="AT11" s="152"/>
      <c r="AU11" s="152"/>
      <c r="AV11" s="152"/>
      <c r="AW11" s="152">
        <v>2097.152</v>
      </c>
      <c r="AX11" s="152" t="s">
        <v>581</v>
      </c>
      <c r="AY11" s="156" t="s">
        <v>579</v>
      </c>
      <c r="AZ11" s="152">
        <f>50/1000</f>
        <v>0.05</v>
      </c>
      <c r="BA11" s="152">
        <v>6</v>
      </c>
      <c r="BB11" s="152" t="s">
        <v>329</v>
      </c>
      <c r="BC11" s="152"/>
      <c r="BD11" s="152"/>
      <c r="BE11" s="152">
        <v>2</v>
      </c>
      <c r="BF11" s="152"/>
      <c r="BG11" s="152"/>
      <c r="BH11" s="152" t="s">
        <v>329</v>
      </c>
      <c r="BI11" s="152"/>
      <c r="BJ11" s="152"/>
      <c r="BK11" s="152"/>
      <c r="BL11" s="156"/>
      <c r="BM11" s="156"/>
    </row>
    <row r="12" spans="1:65">
      <c r="A12" s="156" t="s">
        <v>342</v>
      </c>
      <c r="B12" s="152" t="s">
        <v>332</v>
      </c>
      <c r="C12" s="156" t="s">
        <v>326</v>
      </c>
      <c r="D12" s="156" t="s">
        <v>24</v>
      </c>
      <c r="E12" s="152" t="s">
        <v>585</v>
      </c>
      <c r="F12" s="152">
        <v>3</v>
      </c>
      <c r="G12" s="152">
        <v>5</v>
      </c>
      <c r="H12" s="78">
        <v>46.08</v>
      </c>
      <c r="I12" s="31">
        <v>4096</v>
      </c>
      <c r="J12" s="152" t="s">
        <v>581</v>
      </c>
      <c r="K12" s="156" t="s">
        <v>579</v>
      </c>
      <c r="L12" s="152">
        <v>2.6</v>
      </c>
      <c r="M12" s="152"/>
      <c r="N12" s="152"/>
      <c r="O12" s="152"/>
      <c r="P12" s="152"/>
      <c r="Q12" s="152"/>
      <c r="R12" s="152"/>
      <c r="S12" s="152"/>
      <c r="T12" s="152"/>
      <c r="U12" s="152"/>
      <c r="V12" s="152"/>
      <c r="W12" s="152"/>
      <c r="X12" s="152"/>
      <c r="Y12" s="78">
        <v>247.80799999999999</v>
      </c>
      <c r="Z12" s="152" t="s">
        <v>581</v>
      </c>
      <c r="AA12" s="156" t="s">
        <v>579</v>
      </c>
      <c r="AB12" s="152">
        <v>0.1</v>
      </c>
      <c r="AC12" s="152">
        <v>276.48</v>
      </c>
      <c r="AD12" s="152" t="s">
        <v>581</v>
      </c>
      <c r="AE12" s="156" t="s">
        <v>579</v>
      </c>
      <c r="AF12" s="152" t="s">
        <v>575</v>
      </c>
      <c r="AG12" s="78">
        <v>414.72</v>
      </c>
      <c r="AH12" s="152" t="s">
        <v>581</v>
      </c>
      <c r="AI12" s="156" t="s">
        <v>579</v>
      </c>
      <c r="AJ12" s="152" t="s">
        <v>575</v>
      </c>
      <c r="AK12" s="152"/>
      <c r="AL12" s="152"/>
      <c r="AM12" s="152"/>
      <c r="AN12" s="152"/>
      <c r="AO12" s="152"/>
      <c r="AP12" s="152"/>
      <c r="AQ12" s="152"/>
      <c r="AR12" s="152"/>
      <c r="AS12" s="152"/>
      <c r="AT12" s="152"/>
      <c r="AU12" s="152"/>
      <c r="AV12" s="152"/>
      <c r="AW12" s="152"/>
      <c r="AX12" s="152"/>
      <c r="AY12" s="152"/>
      <c r="AZ12" s="152"/>
      <c r="BA12" s="152">
        <v>4</v>
      </c>
      <c r="BB12" s="152" t="s">
        <v>329</v>
      </c>
      <c r="BC12" s="152"/>
      <c r="BD12" s="152"/>
      <c r="BE12" s="152">
        <v>2</v>
      </c>
      <c r="BF12" s="152"/>
      <c r="BG12" s="152"/>
      <c r="BH12" s="152" t="s">
        <v>329</v>
      </c>
      <c r="BI12" s="152"/>
      <c r="BJ12" s="152"/>
      <c r="BK12" s="152"/>
      <c r="BL12" s="156"/>
      <c r="BM12" s="156"/>
    </row>
    <row r="13" spans="1:65">
      <c r="A13" s="156" t="s">
        <v>345</v>
      </c>
      <c r="B13" s="152"/>
      <c r="C13" s="156" t="s">
        <v>326</v>
      </c>
      <c r="D13" s="156" t="s">
        <v>28</v>
      </c>
      <c r="E13" s="152" t="s">
        <v>586</v>
      </c>
      <c r="F13" s="152">
        <v>4</v>
      </c>
      <c r="G13" s="152">
        <v>4</v>
      </c>
      <c r="H13" s="78">
        <v>30.72</v>
      </c>
      <c r="I13" s="31">
        <v>4096</v>
      </c>
      <c r="J13" s="152" t="s">
        <v>581</v>
      </c>
      <c r="K13" s="156" t="s">
        <v>579</v>
      </c>
      <c r="L13" s="152">
        <v>2.6</v>
      </c>
      <c r="M13" s="78"/>
      <c r="N13" s="152"/>
      <c r="O13" s="152"/>
      <c r="P13" s="152"/>
      <c r="Q13" s="152"/>
      <c r="R13" s="152"/>
      <c r="S13" s="152"/>
      <c r="T13" s="152"/>
      <c r="U13" s="152"/>
      <c r="V13" s="152"/>
      <c r="W13" s="152"/>
      <c r="X13" s="152"/>
      <c r="Y13" s="152"/>
      <c r="Z13" s="152"/>
      <c r="AA13" s="152"/>
      <c r="AB13" s="152"/>
      <c r="AC13" s="152"/>
      <c r="AD13" s="152"/>
      <c r="AE13" s="152"/>
      <c r="AF13" s="152"/>
      <c r="AG13" s="78">
        <f t="shared" ref="AG13:AG18" si="0">2*H13</f>
        <v>61.44</v>
      </c>
      <c r="AH13" s="152" t="s">
        <v>581</v>
      </c>
      <c r="AI13" s="156" t="s">
        <v>579</v>
      </c>
      <c r="AJ13" s="152" t="s">
        <v>575</v>
      </c>
      <c r="AK13" s="152"/>
      <c r="AL13" s="152"/>
      <c r="AM13" s="152"/>
      <c r="AN13" s="152"/>
      <c r="AO13" s="152"/>
      <c r="AP13" s="152"/>
      <c r="AQ13" s="152"/>
      <c r="AR13" s="152"/>
      <c r="AS13" s="152"/>
      <c r="AT13" s="152"/>
      <c r="AU13" s="152"/>
      <c r="AV13" s="152"/>
      <c r="AW13" s="152"/>
      <c r="AX13" s="152"/>
      <c r="AY13" s="152"/>
      <c r="AZ13" s="152"/>
      <c r="BA13" s="152">
        <v>2</v>
      </c>
      <c r="BB13" s="152" t="s">
        <v>329</v>
      </c>
      <c r="BC13" s="152" t="s">
        <v>329</v>
      </c>
      <c r="BD13" s="152"/>
      <c r="BE13" s="152">
        <v>2</v>
      </c>
      <c r="BF13" s="152"/>
      <c r="BG13" s="152"/>
      <c r="BH13" s="152" t="s">
        <v>329</v>
      </c>
      <c r="BI13" s="152"/>
      <c r="BJ13" s="152"/>
      <c r="BK13" s="152"/>
      <c r="BL13" s="156"/>
      <c r="BM13" s="156"/>
    </row>
    <row r="14" spans="1:65">
      <c r="A14" s="156" t="s">
        <v>348</v>
      </c>
      <c r="B14" s="152"/>
      <c r="C14" s="156" t="s">
        <v>326</v>
      </c>
      <c r="D14" s="156" t="s">
        <v>555</v>
      </c>
      <c r="E14" s="152" t="s">
        <v>587</v>
      </c>
      <c r="F14" s="152">
        <v>2</v>
      </c>
      <c r="G14" s="152">
        <v>3</v>
      </c>
      <c r="H14" s="78">
        <v>30.72</v>
      </c>
      <c r="I14" s="31">
        <v>4096</v>
      </c>
      <c r="J14" s="152" t="s">
        <v>581</v>
      </c>
      <c r="K14" s="156" t="s">
        <v>579</v>
      </c>
      <c r="L14" s="152">
        <v>2.6</v>
      </c>
      <c r="M14" s="152"/>
      <c r="N14" s="152"/>
      <c r="O14" s="152"/>
      <c r="P14" s="152"/>
      <c r="Q14" s="152"/>
      <c r="R14" s="152"/>
      <c r="S14" s="152"/>
      <c r="T14" s="152"/>
      <c r="U14" s="152"/>
      <c r="V14" s="152"/>
      <c r="W14" s="152"/>
      <c r="X14" s="152"/>
      <c r="Y14" s="152"/>
      <c r="Z14" s="152"/>
      <c r="AA14" s="152"/>
      <c r="AB14" s="152"/>
      <c r="AC14" s="152"/>
      <c r="AD14" s="152"/>
      <c r="AE14" s="152"/>
      <c r="AF14" s="152"/>
      <c r="AG14" s="78">
        <f t="shared" si="0"/>
        <v>61.44</v>
      </c>
      <c r="AH14" s="152" t="s">
        <v>581</v>
      </c>
      <c r="AI14" s="156" t="s">
        <v>579</v>
      </c>
      <c r="AJ14" s="152" t="s">
        <v>575</v>
      </c>
      <c r="AK14" s="152"/>
      <c r="AL14" s="152"/>
      <c r="AM14" s="152"/>
      <c r="AN14" s="152"/>
      <c r="AO14" s="152"/>
      <c r="AP14" s="152"/>
      <c r="AQ14" s="152"/>
      <c r="AR14" s="152"/>
      <c r="AS14" s="152"/>
      <c r="AT14" s="152"/>
      <c r="AU14" s="152"/>
      <c r="AV14" s="152"/>
      <c r="AW14" s="152"/>
      <c r="AX14" s="152"/>
      <c r="AY14" s="152"/>
      <c r="AZ14" s="152"/>
      <c r="BA14" s="152">
        <v>2</v>
      </c>
      <c r="BB14" s="152" t="s">
        <v>329</v>
      </c>
      <c r="BC14" s="152"/>
      <c r="BD14" s="152"/>
      <c r="BE14" s="152">
        <v>2</v>
      </c>
      <c r="BF14" s="152"/>
      <c r="BG14" s="152"/>
      <c r="BH14" s="152" t="s">
        <v>329</v>
      </c>
      <c r="BI14" s="152"/>
      <c r="BJ14" s="152"/>
      <c r="BK14" s="152"/>
      <c r="BL14" s="156"/>
      <c r="BM14" s="156"/>
    </row>
    <row r="15" spans="1:65">
      <c r="A15" s="156" t="s">
        <v>349</v>
      </c>
      <c r="B15" s="152"/>
      <c r="C15" s="156" t="s">
        <v>326</v>
      </c>
      <c r="D15" s="156" t="s">
        <v>350</v>
      </c>
      <c r="E15" s="152" t="s">
        <v>588</v>
      </c>
      <c r="F15" s="152">
        <v>3</v>
      </c>
      <c r="G15" s="152">
        <v>6</v>
      </c>
      <c r="H15" s="78">
        <v>61.44</v>
      </c>
      <c r="I15" s="31">
        <v>4096</v>
      </c>
      <c r="J15" s="152" t="s">
        <v>581</v>
      </c>
      <c r="K15" s="156" t="s">
        <v>579</v>
      </c>
      <c r="L15" s="152">
        <v>2.6</v>
      </c>
      <c r="M15" s="152"/>
      <c r="N15" s="152"/>
      <c r="O15" s="152"/>
      <c r="P15" s="152"/>
      <c r="Q15" s="152"/>
      <c r="R15" s="152"/>
      <c r="S15" s="152"/>
      <c r="T15" s="152"/>
      <c r="U15" s="152"/>
      <c r="V15" s="152"/>
      <c r="W15" s="152"/>
      <c r="X15" s="152"/>
      <c r="Y15" s="152"/>
      <c r="Z15" s="152"/>
      <c r="AA15" s="152"/>
      <c r="AB15" s="152"/>
      <c r="AC15" s="152"/>
      <c r="AD15" s="152"/>
      <c r="AE15" s="152"/>
      <c r="AF15" s="152"/>
      <c r="AG15" s="78">
        <f t="shared" si="0"/>
        <v>122.88</v>
      </c>
      <c r="AH15" s="152" t="s">
        <v>581</v>
      </c>
      <c r="AI15" s="156" t="s">
        <v>579</v>
      </c>
      <c r="AJ15" s="152" t="s">
        <v>575</v>
      </c>
      <c r="AK15" s="152"/>
      <c r="AL15" s="152"/>
      <c r="AM15" s="152"/>
      <c r="AN15" s="152"/>
      <c r="AO15" s="152"/>
      <c r="AP15" s="152"/>
      <c r="AQ15" s="152"/>
      <c r="AR15" s="152"/>
      <c r="AS15" s="152"/>
      <c r="AT15" s="152"/>
      <c r="AU15" s="152"/>
      <c r="AV15" s="152"/>
      <c r="AW15" s="152"/>
      <c r="AX15" s="152"/>
      <c r="AY15" s="152"/>
      <c r="AZ15" s="152"/>
      <c r="BA15" s="152">
        <v>2</v>
      </c>
      <c r="BB15" s="152" t="s">
        <v>329</v>
      </c>
      <c r="BC15" s="152"/>
      <c r="BD15" s="152"/>
      <c r="BE15" s="152">
        <v>2</v>
      </c>
      <c r="BF15" s="152"/>
      <c r="BG15" s="152"/>
      <c r="BH15" s="152" t="s">
        <v>329</v>
      </c>
      <c r="BI15" s="152"/>
      <c r="BJ15" s="152"/>
      <c r="BK15" s="152"/>
      <c r="BL15" s="156"/>
      <c r="BM15" s="156"/>
    </row>
    <row r="16" spans="1:65">
      <c r="A16" s="156" t="s">
        <v>351</v>
      </c>
      <c r="B16" s="152"/>
      <c r="C16" s="156" t="s">
        <v>326</v>
      </c>
      <c r="D16" s="156" t="s">
        <v>40</v>
      </c>
      <c r="E16" s="152" t="s">
        <v>589</v>
      </c>
      <c r="F16" s="152">
        <v>3</v>
      </c>
      <c r="G16" s="152">
        <v>4</v>
      </c>
      <c r="H16" s="78">
        <v>56.32</v>
      </c>
      <c r="I16" s="31">
        <v>4096</v>
      </c>
      <c r="J16" s="152" t="s">
        <v>581</v>
      </c>
      <c r="K16" s="156" t="s">
        <v>579</v>
      </c>
      <c r="L16" s="152">
        <v>2.6</v>
      </c>
      <c r="M16" s="152"/>
      <c r="N16" s="152"/>
      <c r="O16" s="152"/>
      <c r="P16" s="152"/>
      <c r="Q16" s="152"/>
      <c r="R16" s="152"/>
      <c r="S16" s="152"/>
      <c r="T16" s="152"/>
      <c r="U16" s="152"/>
      <c r="V16" s="152"/>
      <c r="W16" s="152"/>
      <c r="X16" s="152"/>
      <c r="Y16" s="152"/>
      <c r="Z16" s="152"/>
      <c r="AA16" s="152"/>
      <c r="AB16" s="152"/>
      <c r="AC16" s="152"/>
      <c r="AD16" s="152"/>
      <c r="AE16" s="152"/>
      <c r="AF16" s="152"/>
      <c r="AG16" s="78">
        <f t="shared" si="0"/>
        <v>112.64</v>
      </c>
      <c r="AH16" s="152" t="s">
        <v>581</v>
      </c>
      <c r="AI16" s="156" t="s">
        <v>579</v>
      </c>
      <c r="AJ16" s="152" t="s">
        <v>575</v>
      </c>
      <c r="AK16" s="152"/>
      <c r="AL16" s="152"/>
      <c r="AM16" s="152"/>
      <c r="AN16" s="152"/>
      <c r="AO16" s="152"/>
      <c r="AP16" s="152"/>
      <c r="AQ16" s="152"/>
      <c r="AR16" s="152"/>
      <c r="AS16" s="152"/>
      <c r="AT16" s="152"/>
      <c r="AU16" s="152"/>
      <c r="AV16" s="152"/>
      <c r="AW16" s="152"/>
      <c r="AX16" s="152"/>
      <c r="AY16" s="152"/>
      <c r="AZ16" s="152"/>
      <c r="BA16" s="152">
        <v>2</v>
      </c>
      <c r="BB16" s="152" t="s">
        <v>329</v>
      </c>
      <c r="BC16" s="152"/>
      <c r="BD16" s="152"/>
      <c r="BE16" s="152">
        <v>2</v>
      </c>
      <c r="BF16" s="152"/>
      <c r="BG16" s="152"/>
      <c r="BH16" s="152" t="s">
        <v>329</v>
      </c>
      <c r="BI16" s="152"/>
      <c r="BJ16" s="152"/>
      <c r="BK16" s="152"/>
      <c r="BL16" s="156"/>
      <c r="BM16" s="156"/>
    </row>
    <row r="17" spans="1:64">
      <c r="A17" s="156" t="s">
        <v>352</v>
      </c>
      <c r="B17" s="152"/>
      <c r="C17" s="156" t="s">
        <v>326</v>
      </c>
      <c r="D17" s="156" t="s">
        <v>43</v>
      </c>
      <c r="E17" s="152" t="s">
        <v>590</v>
      </c>
      <c r="F17" s="152">
        <v>2</v>
      </c>
      <c r="G17" s="152">
        <v>2</v>
      </c>
      <c r="H17" s="78">
        <v>30.72</v>
      </c>
      <c r="I17" s="31">
        <v>4096</v>
      </c>
      <c r="J17" s="152" t="s">
        <v>581</v>
      </c>
      <c r="K17" s="156" t="s">
        <v>579</v>
      </c>
      <c r="L17" s="152">
        <v>2.6</v>
      </c>
      <c r="M17" s="152"/>
      <c r="N17" s="152"/>
      <c r="O17" s="152"/>
      <c r="P17" s="152"/>
      <c r="Q17" s="152"/>
      <c r="R17" s="152"/>
      <c r="S17" s="152"/>
      <c r="T17" s="152"/>
      <c r="U17" s="152"/>
      <c r="V17" s="152"/>
      <c r="W17" s="152"/>
      <c r="X17" s="152"/>
      <c r="Y17" s="152"/>
      <c r="Z17" s="152"/>
      <c r="AA17" s="152"/>
      <c r="AB17" s="152"/>
      <c r="AC17" s="152"/>
      <c r="AD17" s="152"/>
      <c r="AE17" s="152"/>
      <c r="AF17" s="152"/>
      <c r="AG17" s="78">
        <f t="shared" si="0"/>
        <v>61.44</v>
      </c>
      <c r="AH17" s="152" t="s">
        <v>581</v>
      </c>
      <c r="AI17" s="156" t="s">
        <v>579</v>
      </c>
      <c r="AJ17" s="152" t="s">
        <v>575</v>
      </c>
      <c r="AK17" s="152"/>
      <c r="AL17" s="152"/>
      <c r="AM17" s="152"/>
      <c r="AN17" s="152"/>
      <c r="AO17" s="152"/>
      <c r="AP17" s="152"/>
      <c r="AQ17" s="152"/>
      <c r="AR17" s="152"/>
      <c r="AS17" s="152"/>
      <c r="AT17" s="152"/>
      <c r="AU17" s="152"/>
      <c r="AV17" s="152"/>
      <c r="AW17" s="152"/>
      <c r="AX17" s="152"/>
      <c r="AY17" s="152"/>
      <c r="AZ17" s="152"/>
      <c r="BA17" s="152">
        <v>2</v>
      </c>
      <c r="BB17" s="152" t="s">
        <v>329</v>
      </c>
      <c r="BC17" s="152"/>
      <c r="BD17" s="152"/>
      <c r="BE17" s="152">
        <v>2</v>
      </c>
      <c r="BF17" s="152"/>
      <c r="BG17" s="152"/>
      <c r="BH17" s="152" t="s">
        <v>329</v>
      </c>
      <c r="BI17" s="152"/>
      <c r="BJ17" s="152"/>
      <c r="BK17" s="152"/>
      <c r="BL17" s="156"/>
    </row>
    <row r="18" spans="1:64">
      <c r="A18" s="156" t="s">
        <v>353</v>
      </c>
      <c r="B18" s="152"/>
      <c r="C18" s="156" t="s">
        <v>326</v>
      </c>
      <c r="D18" s="156" t="s">
        <v>47</v>
      </c>
      <c r="E18" s="152" t="s">
        <v>586</v>
      </c>
      <c r="F18" s="152">
        <v>4</v>
      </c>
      <c r="G18" s="152">
        <v>4</v>
      </c>
      <c r="H18" s="78">
        <v>30.72</v>
      </c>
      <c r="I18" s="31">
        <v>4096</v>
      </c>
      <c r="J18" s="152" t="s">
        <v>581</v>
      </c>
      <c r="K18" s="156" t="s">
        <v>579</v>
      </c>
      <c r="L18" s="152">
        <v>2.6</v>
      </c>
      <c r="M18" s="152"/>
      <c r="N18" s="152"/>
      <c r="O18" s="152"/>
      <c r="P18" s="152"/>
      <c r="Q18" s="152"/>
      <c r="R18" s="152"/>
      <c r="S18" s="152"/>
      <c r="T18" s="152"/>
      <c r="U18" s="152"/>
      <c r="V18" s="152"/>
      <c r="W18" s="152"/>
      <c r="X18" s="152"/>
      <c r="Y18" s="152"/>
      <c r="Z18" s="152"/>
      <c r="AA18" s="152"/>
      <c r="AB18" s="152"/>
      <c r="AC18" s="152"/>
      <c r="AD18" s="152"/>
      <c r="AE18" s="152"/>
      <c r="AF18" s="152"/>
      <c r="AG18" s="78">
        <f t="shared" si="0"/>
        <v>61.44</v>
      </c>
      <c r="AH18" s="152" t="s">
        <v>581</v>
      </c>
      <c r="AI18" s="156" t="s">
        <v>579</v>
      </c>
      <c r="AJ18" s="152" t="s">
        <v>575</v>
      </c>
      <c r="AK18" s="152"/>
      <c r="AL18" s="152"/>
      <c r="AM18" s="152"/>
      <c r="AN18" s="152"/>
      <c r="AO18" s="152"/>
      <c r="AP18" s="152"/>
      <c r="AQ18" s="152"/>
      <c r="AR18" s="152"/>
      <c r="AS18" s="152"/>
      <c r="AT18" s="152"/>
      <c r="AU18" s="152"/>
      <c r="AV18" s="152"/>
      <c r="AW18" s="152"/>
      <c r="AX18" s="152"/>
      <c r="AY18" s="152"/>
      <c r="AZ18" s="152"/>
      <c r="BA18" s="152">
        <v>2</v>
      </c>
      <c r="BB18" s="152" t="s">
        <v>329</v>
      </c>
      <c r="BC18" s="152" t="s">
        <v>329</v>
      </c>
      <c r="BD18" s="152"/>
      <c r="BE18" s="152">
        <v>2</v>
      </c>
      <c r="BF18" s="152"/>
      <c r="BG18" s="152"/>
      <c r="BH18" s="152" t="s">
        <v>329</v>
      </c>
      <c r="BI18" s="152"/>
      <c r="BJ18" s="152"/>
      <c r="BK18" s="152"/>
      <c r="BL18" s="156"/>
    </row>
    <row r="19" spans="1:64">
      <c r="A19" s="156" t="s">
        <v>354</v>
      </c>
      <c r="B19" s="152"/>
      <c r="C19" s="156" t="s">
        <v>326</v>
      </c>
      <c r="D19" s="156" t="s">
        <v>355</v>
      </c>
      <c r="E19" s="152" t="s">
        <v>591</v>
      </c>
      <c r="F19" s="152">
        <v>6</v>
      </c>
      <c r="G19" s="152">
        <v>6</v>
      </c>
      <c r="H19" s="78">
        <v>102.4</v>
      </c>
      <c r="I19" s="31">
        <v>4096</v>
      </c>
      <c r="J19" s="152" t="s">
        <v>581</v>
      </c>
      <c r="K19" s="156" t="s">
        <v>579</v>
      </c>
      <c r="L19" s="152">
        <v>2.6</v>
      </c>
      <c r="M19" s="152"/>
      <c r="N19" s="152"/>
      <c r="O19" s="152"/>
      <c r="P19" s="152"/>
      <c r="Q19" s="152"/>
      <c r="R19" s="152"/>
      <c r="S19" s="152"/>
      <c r="T19" s="152"/>
      <c r="U19" s="152"/>
      <c r="V19" s="152"/>
      <c r="W19" s="152"/>
      <c r="X19" s="152"/>
      <c r="Y19" s="152"/>
      <c r="Z19" s="152"/>
      <c r="AA19" s="152"/>
      <c r="AB19" s="152"/>
      <c r="AC19" s="152"/>
      <c r="AD19" s="152"/>
      <c r="AE19" s="152"/>
      <c r="AF19" s="152"/>
      <c r="AG19" s="78">
        <f>2*(H19+AO19)</f>
        <v>307.20000000000005</v>
      </c>
      <c r="AH19" s="152" t="s">
        <v>581</v>
      </c>
      <c r="AI19" s="156" t="s">
        <v>579</v>
      </c>
      <c r="AJ19" s="152" t="s">
        <v>575</v>
      </c>
      <c r="AK19" s="152"/>
      <c r="AL19" s="152"/>
      <c r="AM19" s="152"/>
      <c r="AN19" s="152"/>
      <c r="AO19" s="152">
        <v>51.2</v>
      </c>
      <c r="AP19" s="152" t="s">
        <v>581</v>
      </c>
      <c r="AQ19" s="156" t="s">
        <v>579</v>
      </c>
      <c r="AR19" s="152">
        <f>50/1000</f>
        <v>0.05</v>
      </c>
      <c r="AS19" s="152"/>
      <c r="AT19" s="152"/>
      <c r="AU19" s="152"/>
      <c r="AV19" s="152"/>
      <c r="AW19" s="152"/>
      <c r="AX19" s="152"/>
      <c r="AY19" s="152"/>
      <c r="AZ19" s="152"/>
      <c r="BA19" s="152">
        <v>3</v>
      </c>
      <c r="BB19" s="152" t="s">
        <v>329</v>
      </c>
      <c r="BC19" s="152"/>
      <c r="BD19" s="152"/>
      <c r="BE19" s="152">
        <v>2</v>
      </c>
      <c r="BF19" s="152"/>
      <c r="BG19" s="152"/>
      <c r="BH19" s="152" t="s">
        <v>329</v>
      </c>
      <c r="BI19" s="152"/>
      <c r="BJ19" s="152"/>
      <c r="BK19" s="152"/>
      <c r="BL19" s="156"/>
    </row>
    <row r="20" spans="1:64">
      <c r="A20" s="156" t="s">
        <v>356</v>
      </c>
      <c r="B20" s="152"/>
      <c r="C20" s="156" t="s">
        <v>326</v>
      </c>
      <c r="D20" s="156" t="s">
        <v>55</v>
      </c>
      <c r="E20" s="152" t="s">
        <v>592</v>
      </c>
      <c r="F20" s="152">
        <v>2</v>
      </c>
      <c r="G20" s="152">
        <v>4</v>
      </c>
      <c r="H20" s="78">
        <v>51.2</v>
      </c>
      <c r="I20" s="31">
        <v>4096</v>
      </c>
      <c r="J20" s="152" t="s">
        <v>581</v>
      </c>
      <c r="K20" s="156" t="s">
        <v>579</v>
      </c>
      <c r="L20" s="152">
        <v>2.6</v>
      </c>
      <c r="M20" s="152"/>
      <c r="N20" s="152"/>
      <c r="O20" s="152"/>
      <c r="P20" s="152"/>
      <c r="Q20" s="152"/>
      <c r="R20" s="152"/>
      <c r="S20" s="152"/>
      <c r="T20" s="152"/>
      <c r="U20" s="152"/>
      <c r="V20" s="152"/>
      <c r="W20" s="152"/>
      <c r="X20" s="152"/>
      <c r="Y20" s="152"/>
      <c r="Z20" s="152"/>
      <c r="AA20" s="152"/>
      <c r="AB20" s="152"/>
      <c r="AC20" s="152"/>
      <c r="AD20" s="152"/>
      <c r="AE20" s="152"/>
      <c r="AF20" s="152"/>
      <c r="AG20" s="78">
        <f t="shared" ref="AG20:AG27" si="1">2*H20</f>
        <v>102.4</v>
      </c>
      <c r="AH20" s="152" t="s">
        <v>581</v>
      </c>
      <c r="AI20" s="156" t="s">
        <v>579</v>
      </c>
      <c r="AJ20" s="152" t="s">
        <v>575</v>
      </c>
      <c r="AK20" s="152"/>
      <c r="AL20" s="152"/>
      <c r="AM20" s="152"/>
      <c r="AN20" s="152"/>
      <c r="AO20" s="152"/>
      <c r="AP20" s="152"/>
      <c r="AQ20" s="152"/>
      <c r="AR20" s="152"/>
      <c r="AS20" s="152"/>
      <c r="AT20" s="152"/>
      <c r="AU20" s="152"/>
      <c r="AV20" s="152"/>
      <c r="AW20" s="152"/>
      <c r="AX20" s="152"/>
      <c r="AY20" s="152"/>
      <c r="AZ20" s="152"/>
      <c r="BA20" s="152">
        <v>2</v>
      </c>
      <c r="BB20" s="152" t="s">
        <v>329</v>
      </c>
      <c r="BC20" s="152"/>
      <c r="BD20" s="152"/>
      <c r="BE20" s="152">
        <v>2</v>
      </c>
      <c r="BF20" s="152"/>
      <c r="BG20" s="152"/>
      <c r="BH20" s="152" t="s">
        <v>329</v>
      </c>
      <c r="BI20" s="152"/>
      <c r="BJ20" s="152"/>
      <c r="BK20" s="152"/>
      <c r="BL20" s="156"/>
    </row>
    <row r="21" spans="1:64">
      <c r="A21" s="156" t="s">
        <v>357</v>
      </c>
      <c r="B21" s="152"/>
      <c r="C21" s="156" t="s">
        <v>326</v>
      </c>
      <c r="D21" s="156" t="s">
        <v>63</v>
      </c>
      <c r="E21" s="152" t="s">
        <v>593</v>
      </c>
      <c r="F21" s="152">
        <v>5</v>
      </c>
      <c r="G21" s="152">
        <v>12</v>
      </c>
      <c r="H21" s="78">
        <v>56.32</v>
      </c>
      <c r="I21" s="31">
        <v>16384</v>
      </c>
      <c r="J21" s="152" t="s">
        <v>581</v>
      </c>
      <c r="K21" s="156" t="s">
        <v>579</v>
      </c>
      <c r="L21" s="152">
        <v>2.6</v>
      </c>
      <c r="M21" s="152"/>
      <c r="N21" s="152"/>
      <c r="O21" s="152"/>
      <c r="P21" s="152"/>
      <c r="Q21" s="152"/>
      <c r="R21" s="152"/>
      <c r="S21" s="152"/>
      <c r="T21" s="152"/>
      <c r="U21" s="152"/>
      <c r="V21" s="152"/>
      <c r="W21" s="152"/>
      <c r="X21" s="152"/>
      <c r="Y21" s="152"/>
      <c r="Z21" s="152"/>
      <c r="AA21" s="152"/>
      <c r="AB21" s="152"/>
      <c r="AC21" s="152"/>
      <c r="AD21" s="152"/>
      <c r="AE21" s="152"/>
      <c r="AF21" s="152"/>
      <c r="AG21" s="78">
        <f t="shared" si="1"/>
        <v>112.64</v>
      </c>
      <c r="AH21" s="152" t="s">
        <v>581</v>
      </c>
      <c r="AI21" s="156" t="s">
        <v>579</v>
      </c>
      <c r="AJ21" s="152" t="s">
        <v>575</v>
      </c>
      <c r="AK21" s="152"/>
      <c r="AL21" s="152"/>
      <c r="AM21" s="152"/>
      <c r="AN21" s="152"/>
      <c r="AO21" s="152"/>
      <c r="AP21" s="152"/>
      <c r="AQ21" s="152"/>
      <c r="AR21" s="152"/>
      <c r="AS21" s="152">
        <v>66.56</v>
      </c>
      <c r="AT21" s="152" t="s">
        <v>581</v>
      </c>
      <c r="AU21" s="156" t="s">
        <v>579</v>
      </c>
      <c r="AV21" s="152">
        <f>50/1000</f>
        <v>0.05</v>
      </c>
      <c r="AW21" s="152"/>
      <c r="AX21" s="152"/>
      <c r="AY21" s="152"/>
      <c r="AZ21" s="152"/>
      <c r="BA21" s="152">
        <v>3</v>
      </c>
      <c r="BB21" s="152" t="s">
        <v>329</v>
      </c>
      <c r="BC21" s="152"/>
      <c r="BD21" s="152"/>
      <c r="BE21" s="152">
        <v>2</v>
      </c>
      <c r="BF21" s="152"/>
      <c r="BG21" s="152"/>
      <c r="BH21" s="152" t="s">
        <v>329</v>
      </c>
      <c r="BI21" s="152"/>
      <c r="BJ21" s="152"/>
      <c r="BK21" s="152"/>
      <c r="BL21" s="156"/>
    </row>
    <row r="22" spans="1:64">
      <c r="A22" s="156" t="s">
        <v>358</v>
      </c>
      <c r="B22" s="152"/>
      <c r="C22" s="156" t="s">
        <v>326</v>
      </c>
      <c r="D22" s="156" t="s">
        <v>71</v>
      </c>
      <c r="E22" s="152" t="s">
        <v>594</v>
      </c>
      <c r="F22" s="152">
        <v>3</v>
      </c>
      <c r="G22" s="152">
        <v>5</v>
      </c>
      <c r="H22" s="78">
        <v>40.96</v>
      </c>
      <c r="I22" s="31">
        <v>4096</v>
      </c>
      <c r="J22" s="152" t="s">
        <v>581</v>
      </c>
      <c r="K22" s="156" t="s">
        <v>579</v>
      </c>
      <c r="L22" s="152">
        <v>2.6</v>
      </c>
      <c r="M22" s="152"/>
      <c r="N22" s="152"/>
      <c r="O22" s="152"/>
      <c r="P22" s="152"/>
      <c r="Q22" s="152"/>
      <c r="R22" s="152"/>
      <c r="S22" s="152"/>
      <c r="T22" s="152"/>
      <c r="U22" s="152"/>
      <c r="V22" s="152"/>
      <c r="W22" s="152"/>
      <c r="X22" s="152"/>
      <c r="Y22" s="152"/>
      <c r="Z22" s="152"/>
      <c r="AA22" s="152"/>
      <c r="AB22" s="152"/>
      <c r="AC22" s="152"/>
      <c r="AD22" s="152"/>
      <c r="AE22" s="152"/>
      <c r="AF22" s="152"/>
      <c r="AG22" s="78">
        <f t="shared" si="1"/>
        <v>81.92</v>
      </c>
      <c r="AH22" s="152" t="s">
        <v>581</v>
      </c>
      <c r="AI22" s="156" t="s">
        <v>579</v>
      </c>
      <c r="AJ22" s="152" t="s">
        <v>575</v>
      </c>
      <c r="AK22" s="152"/>
      <c r="AL22" s="152"/>
      <c r="AM22" s="152"/>
      <c r="AN22" s="152"/>
      <c r="AO22" s="152"/>
      <c r="AP22" s="152"/>
      <c r="AQ22" s="152"/>
      <c r="AR22" s="152"/>
      <c r="AS22" s="152"/>
      <c r="AT22" s="152"/>
      <c r="AU22" s="152"/>
      <c r="AV22" s="152"/>
      <c r="AW22" s="152"/>
      <c r="AX22" s="152"/>
      <c r="AY22" s="152"/>
      <c r="AZ22" s="152"/>
      <c r="BA22" s="152">
        <v>2</v>
      </c>
      <c r="BB22" s="152" t="s">
        <v>329</v>
      </c>
      <c r="BC22" s="152"/>
      <c r="BD22" s="152"/>
      <c r="BE22" s="152">
        <v>2</v>
      </c>
      <c r="BF22" s="152"/>
      <c r="BG22" s="152"/>
      <c r="BH22" s="152" t="s">
        <v>329</v>
      </c>
      <c r="BI22" s="152"/>
      <c r="BJ22" s="152"/>
      <c r="BK22" s="152"/>
      <c r="BL22" s="156"/>
    </row>
    <row r="23" spans="1:64">
      <c r="A23" s="156" t="s">
        <v>359</v>
      </c>
      <c r="B23" s="152"/>
      <c r="C23" s="156" t="s">
        <v>326</v>
      </c>
      <c r="D23" s="156" t="s">
        <v>73</v>
      </c>
      <c r="E23" s="152" t="s">
        <v>595</v>
      </c>
      <c r="F23" s="152">
        <v>8</v>
      </c>
      <c r="G23" s="152">
        <v>32</v>
      </c>
      <c r="H23" s="78">
        <v>138.24</v>
      </c>
      <c r="I23" s="31">
        <v>16384</v>
      </c>
      <c r="J23" s="152" t="s">
        <v>581</v>
      </c>
      <c r="K23" s="156" t="s">
        <v>579</v>
      </c>
      <c r="L23" s="152">
        <v>2.6</v>
      </c>
      <c r="M23" s="152"/>
      <c r="N23" s="152"/>
      <c r="O23" s="152"/>
      <c r="P23" s="152"/>
      <c r="Q23" s="152"/>
      <c r="R23" s="152"/>
      <c r="S23" s="152"/>
      <c r="T23" s="152"/>
      <c r="U23" s="152"/>
      <c r="V23" s="152"/>
      <c r="W23" s="152"/>
      <c r="X23" s="152"/>
      <c r="Y23" s="152"/>
      <c r="Z23" s="152"/>
      <c r="AA23" s="152"/>
      <c r="AB23" s="152"/>
      <c r="AC23" s="152"/>
      <c r="AD23" s="152"/>
      <c r="AE23" s="152"/>
      <c r="AF23" s="152"/>
      <c r="AG23" s="78">
        <f t="shared" si="1"/>
        <v>276.48</v>
      </c>
      <c r="AH23" s="152" t="s">
        <v>581</v>
      </c>
      <c r="AI23" s="156" t="s">
        <v>579</v>
      </c>
      <c r="AJ23" s="152" t="s">
        <v>575</v>
      </c>
      <c r="AK23" s="152"/>
      <c r="AL23" s="152"/>
      <c r="AM23" s="152"/>
      <c r="AN23" s="152"/>
      <c r="AO23" s="152"/>
      <c r="AP23" s="152"/>
      <c r="AQ23" s="152"/>
      <c r="AR23" s="152"/>
      <c r="AS23" s="152"/>
      <c r="AT23" s="152"/>
      <c r="AU23" s="152"/>
      <c r="AV23" s="152"/>
      <c r="AW23" s="152"/>
      <c r="AX23" s="152"/>
      <c r="AY23" s="152"/>
      <c r="AZ23" s="152"/>
      <c r="BA23" s="152">
        <v>2</v>
      </c>
      <c r="BB23" s="152" t="s">
        <v>329</v>
      </c>
      <c r="BC23" s="152"/>
      <c r="BD23" s="152"/>
      <c r="BE23" s="152">
        <v>2</v>
      </c>
      <c r="BF23" s="152"/>
      <c r="BG23" s="152"/>
      <c r="BH23" s="152" t="s">
        <v>329</v>
      </c>
      <c r="BI23" s="152"/>
      <c r="BJ23" s="152"/>
      <c r="BK23" s="152"/>
      <c r="BL23" s="156"/>
    </row>
    <row r="24" spans="1:64">
      <c r="A24" s="156" t="s">
        <v>360</v>
      </c>
      <c r="B24" s="152"/>
      <c r="C24" s="156" t="s">
        <v>326</v>
      </c>
      <c r="D24" s="156" t="s">
        <v>73</v>
      </c>
      <c r="E24" s="152" t="s">
        <v>595</v>
      </c>
      <c r="F24" s="152">
        <v>8</v>
      </c>
      <c r="G24" s="152">
        <v>32</v>
      </c>
      <c r="H24" s="78">
        <v>138.24</v>
      </c>
      <c r="I24" s="31">
        <v>16384</v>
      </c>
      <c r="J24" s="152" t="s">
        <v>581</v>
      </c>
      <c r="K24" s="156" t="s">
        <v>579</v>
      </c>
      <c r="L24" s="152">
        <v>2.6</v>
      </c>
      <c r="M24" s="152"/>
      <c r="N24" s="152"/>
      <c r="O24" s="152"/>
      <c r="P24" s="152"/>
      <c r="Q24" s="152"/>
      <c r="R24" s="152"/>
      <c r="S24" s="152"/>
      <c r="T24" s="152"/>
      <c r="U24" s="152"/>
      <c r="V24" s="152"/>
      <c r="W24" s="152"/>
      <c r="X24" s="152"/>
      <c r="Y24" s="152"/>
      <c r="Z24" s="152"/>
      <c r="AA24" s="152"/>
      <c r="AB24" s="152"/>
      <c r="AC24" s="152"/>
      <c r="AD24" s="152"/>
      <c r="AE24" s="152"/>
      <c r="AF24" s="152"/>
      <c r="AG24" s="78">
        <f t="shared" si="1"/>
        <v>276.48</v>
      </c>
      <c r="AH24" s="152" t="s">
        <v>581</v>
      </c>
      <c r="AI24" s="156" t="s">
        <v>579</v>
      </c>
      <c r="AJ24" s="152" t="s">
        <v>575</v>
      </c>
      <c r="AK24" s="152"/>
      <c r="AL24" s="152"/>
      <c r="AM24" s="152"/>
      <c r="AN24" s="152"/>
      <c r="AO24" s="152"/>
      <c r="AP24" s="152"/>
      <c r="AQ24" s="152"/>
      <c r="AR24" s="152"/>
      <c r="AS24" s="152"/>
      <c r="AT24" s="152"/>
      <c r="AU24" s="152"/>
      <c r="AV24" s="152"/>
      <c r="AW24" s="152"/>
      <c r="AX24" s="152"/>
      <c r="AY24" s="152"/>
      <c r="AZ24" s="152"/>
      <c r="BA24" s="152">
        <v>2</v>
      </c>
      <c r="BB24" s="152" t="s">
        <v>329</v>
      </c>
      <c r="BC24" s="152"/>
      <c r="BD24" s="152"/>
      <c r="BE24" s="152">
        <v>2</v>
      </c>
      <c r="BF24" s="152"/>
      <c r="BG24" s="152"/>
      <c r="BH24" s="152" t="s">
        <v>329</v>
      </c>
      <c r="BI24" s="152"/>
      <c r="BJ24" s="152"/>
      <c r="BK24" s="152"/>
      <c r="BL24" s="156"/>
    </row>
    <row r="25" spans="1:64">
      <c r="A25" s="156" t="s">
        <v>361</v>
      </c>
      <c r="B25" s="152"/>
      <c r="C25" s="11" t="s">
        <v>362</v>
      </c>
      <c r="D25" s="156" t="s">
        <v>75</v>
      </c>
      <c r="E25" s="152" t="s">
        <v>596</v>
      </c>
      <c r="F25" s="152">
        <v>4</v>
      </c>
      <c r="G25" s="152">
        <v>4</v>
      </c>
      <c r="H25" s="78">
        <v>102.4</v>
      </c>
      <c r="I25" s="31">
        <v>0</v>
      </c>
      <c r="J25" s="152" t="s">
        <v>578</v>
      </c>
      <c r="K25" s="156" t="s">
        <v>579</v>
      </c>
      <c r="L25" s="152">
        <v>100</v>
      </c>
      <c r="M25" s="152"/>
      <c r="N25" s="152"/>
      <c r="O25" s="152"/>
      <c r="P25" s="152"/>
      <c r="Q25" s="152"/>
      <c r="R25" s="152"/>
      <c r="S25" s="152"/>
      <c r="T25" s="152"/>
      <c r="U25" s="152"/>
      <c r="V25" s="152"/>
      <c r="W25" s="152"/>
      <c r="X25" s="152"/>
      <c r="Y25" s="152"/>
      <c r="Z25" s="152"/>
      <c r="AA25" s="152"/>
      <c r="AB25" s="152"/>
      <c r="AC25" s="152"/>
      <c r="AD25" s="152"/>
      <c r="AE25" s="152"/>
      <c r="AF25" s="152"/>
      <c r="AG25" s="78">
        <f t="shared" si="1"/>
        <v>204.8</v>
      </c>
      <c r="AH25" s="152" t="s">
        <v>581</v>
      </c>
      <c r="AI25" s="156" t="s">
        <v>579</v>
      </c>
      <c r="AJ25" s="152" t="s">
        <v>575</v>
      </c>
      <c r="AK25" s="152"/>
      <c r="AL25" s="152"/>
      <c r="AM25" s="152"/>
      <c r="AN25" s="152"/>
      <c r="AO25" s="152"/>
      <c r="AP25" s="152"/>
      <c r="AQ25" s="152"/>
      <c r="AR25" s="152"/>
      <c r="AS25" s="152"/>
      <c r="AT25" s="152"/>
      <c r="AU25" s="152"/>
      <c r="AV25" s="152"/>
      <c r="AW25" s="152"/>
      <c r="AX25" s="152"/>
      <c r="AY25" s="152"/>
      <c r="AZ25" s="152"/>
      <c r="BA25" s="152">
        <v>4</v>
      </c>
      <c r="BB25" s="152" t="s">
        <v>329</v>
      </c>
      <c r="BC25" s="152"/>
      <c r="BD25" s="152"/>
      <c r="BE25" s="152">
        <v>2</v>
      </c>
      <c r="BF25" s="152"/>
      <c r="BG25" s="152"/>
      <c r="BH25" s="152" t="s">
        <v>329</v>
      </c>
      <c r="BI25" s="152"/>
      <c r="BJ25" s="152"/>
      <c r="BK25" s="152"/>
      <c r="BL25" s="156"/>
    </row>
    <row r="26" spans="1:64">
      <c r="A26" s="156" t="s">
        <v>363</v>
      </c>
      <c r="B26" s="152"/>
      <c r="C26" s="11" t="s">
        <v>362</v>
      </c>
      <c r="D26" s="156" t="s">
        <v>79</v>
      </c>
      <c r="E26" s="152" t="s">
        <v>597</v>
      </c>
      <c r="F26" s="152">
        <v>4</v>
      </c>
      <c r="G26" s="152">
        <v>16</v>
      </c>
      <c r="H26" s="78">
        <v>102.4</v>
      </c>
      <c r="I26" s="31">
        <v>0</v>
      </c>
      <c r="J26" s="152" t="s">
        <v>578</v>
      </c>
      <c r="K26" s="156" t="s">
        <v>579</v>
      </c>
      <c r="L26" s="152">
        <v>110</v>
      </c>
      <c r="M26" s="152"/>
      <c r="N26" s="152"/>
      <c r="O26" s="152"/>
      <c r="P26" s="152"/>
      <c r="Q26" s="152"/>
      <c r="R26" s="152"/>
      <c r="S26" s="152"/>
      <c r="T26" s="152"/>
      <c r="U26" s="152"/>
      <c r="V26" s="152"/>
      <c r="W26" s="152"/>
      <c r="X26" s="152"/>
      <c r="Y26" s="152"/>
      <c r="Z26" s="152"/>
      <c r="AA26" s="152"/>
      <c r="AB26" s="152"/>
      <c r="AC26" s="152"/>
      <c r="AD26" s="152"/>
      <c r="AE26" s="152"/>
      <c r="AF26" s="152"/>
      <c r="AG26" s="78">
        <f t="shared" si="1"/>
        <v>204.8</v>
      </c>
      <c r="AH26" s="152" t="s">
        <v>581</v>
      </c>
      <c r="AI26" s="156" t="s">
        <v>579</v>
      </c>
      <c r="AJ26" s="152" t="s">
        <v>575</v>
      </c>
      <c r="AK26" s="152"/>
      <c r="AL26" s="152"/>
      <c r="AM26" s="152"/>
      <c r="AN26" s="152"/>
      <c r="AO26" s="152"/>
      <c r="AP26" s="152"/>
      <c r="AQ26" s="152"/>
      <c r="AR26" s="152"/>
      <c r="AS26" s="152"/>
      <c r="AT26" s="152"/>
      <c r="AU26" s="152"/>
      <c r="AV26" s="152"/>
      <c r="AW26" s="152"/>
      <c r="AX26" s="152"/>
      <c r="AY26" s="152"/>
      <c r="AZ26" s="152"/>
      <c r="BA26" s="152">
        <v>4</v>
      </c>
      <c r="BB26" s="152" t="s">
        <v>329</v>
      </c>
      <c r="BC26" s="152"/>
      <c r="BD26" s="152"/>
      <c r="BE26" s="152">
        <v>2</v>
      </c>
      <c r="BF26" s="152"/>
      <c r="BG26" s="152"/>
      <c r="BH26" s="152" t="s">
        <v>329</v>
      </c>
      <c r="BI26" s="152"/>
      <c r="BJ26" s="152"/>
      <c r="BK26" s="152"/>
      <c r="BL26" s="156"/>
    </row>
    <row r="27" spans="1:64">
      <c r="A27" s="156" t="s">
        <v>364</v>
      </c>
      <c r="B27" s="152"/>
      <c r="C27" s="11" t="s">
        <v>362</v>
      </c>
      <c r="D27" s="156" t="s">
        <v>77</v>
      </c>
      <c r="E27" s="152" t="s">
        <v>598</v>
      </c>
      <c r="F27" s="152">
        <v>4</v>
      </c>
      <c r="G27" s="152">
        <v>14</v>
      </c>
      <c r="H27" s="78">
        <v>102.4</v>
      </c>
      <c r="I27" s="31">
        <v>0</v>
      </c>
      <c r="J27" s="152" t="s">
        <v>578</v>
      </c>
      <c r="K27" s="156" t="s">
        <v>579</v>
      </c>
      <c r="L27" s="152">
        <v>100</v>
      </c>
      <c r="M27" s="152"/>
      <c r="N27" s="152"/>
      <c r="O27" s="152"/>
      <c r="P27" s="152"/>
      <c r="Q27" s="152"/>
      <c r="R27" s="152"/>
      <c r="S27" s="152"/>
      <c r="T27" s="152"/>
      <c r="U27" s="152"/>
      <c r="V27" s="152"/>
      <c r="W27" s="152"/>
      <c r="X27" s="152"/>
      <c r="Y27" s="152"/>
      <c r="Z27" s="152"/>
      <c r="AA27" s="152"/>
      <c r="AB27" s="152"/>
      <c r="AC27" s="152"/>
      <c r="AD27" s="152"/>
      <c r="AE27" s="152"/>
      <c r="AF27" s="152"/>
      <c r="AG27" s="78">
        <f t="shared" si="1"/>
        <v>204.8</v>
      </c>
      <c r="AH27" s="152" t="s">
        <v>581</v>
      </c>
      <c r="AI27" s="156" t="s">
        <v>579</v>
      </c>
      <c r="AJ27" s="152" t="s">
        <v>575</v>
      </c>
      <c r="AK27" s="152"/>
      <c r="AL27" s="152"/>
      <c r="AM27" s="152"/>
      <c r="AN27" s="152"/>
      <c r="AO27" s="152"/>
      <c r="AP27" s="152"/>
      <c r="AQ27" s="152"/>
      <c r="AR27" s="152"/>
      <c r="AS27" s="152"/>
      <c r="AT27" s="152"/>
      <c r="AU27" s="152"/>
      <c r="AV27" s="152"/>
      <c r="AW27" s="152"/>
      <c r="AX27" s="152"/>
      <c r="AY27" s="152"/>
      <c r="AZ27" s="152"/>
      <c r="BA27" s="152">
        <v>4</v>
      </c>
      <c r="BB27" s="152" t="s">
        <v>329</v>
      </c>
      <c r="BC27" s="152"/>
      <c r="BD27" s="152"/>
      <c r="BE27" s="152">
        <v>2</v>
      </c>
      <c r="BF27" s="152"/>
      <c r="BG27" s="152"/>
      <c r="BH27" s="152" t="s">
        <v>329</v>
      </c>
      <c r="BI27" s="152"/>
      <c r="BJ27" s="152"/>
      <c r="BK27" s="152"/>
      <c r="BL27" s="156"/>
    </row>
    <row r="28" spans="1:64">
      <c r="A28" s="156" t="s">
        <v>365</v>
      </c>
      <c r="B28" s="152"/>
      <c r="C28" s="156" t="s">
        <v>326</v>
      </c>
      <c r="D28" s="156" t="s">
        <v>81</v>
      </c>
      <c r="E28" s="152" t="s">
        <v>599</v>
      </c>
      <c r="F28" s="152">
        <v>6</v>
      </c>
      <c r="G28" s="152">
        <v>6</v>
      </c>
      <c r="H28" s="78">
        <v>46.08</v>
      </c>
      <c r="I28" s="31">
        <v>4096</v>
      </c>
      <c r="J28" s="152" t="s">
        <v>581</v>
      </c>
      <c r="K28" s="156" t="s">
        <v>579</v>
      </c>
      <c r="L28" s="152">
        <v>2.6</v>
      </c>
      <c r="M28" s="152"/>
      <c r="N28" s="152"/>
      <c r="O28" s="152"/>
      <c r="P28" s="152"/>
      <c r="Q28" s="152"/>
      <c r="R28" s="152"/>
      <c r="S28" s="152"/>
      <c r="T28" s="152"/>
      <c r="U28" s="152"/>
      <c r="V28" s="152"/>
      <c r="W28" s="152"/>
      <c r="X28" s="152"/>
      <c r="Y28" s="152"/>
      <c r="Z28" s="152"/>
      <c r="AA28" s="152"/>
      <c r="AB28" s="152"/>
      <c r="AC28" s="152"/>
      <c r="AD28" s="152"/>
      <c r="AE28" s="152"/>
      <c r="AF28" s="152"/>
      <c r="AG28" s="78">
        <f>2*(H28+AK28)</f>
        <v>184.32</v>
      </c>
      <c r="AH28" s="152" t="s">
        <v>581</v>
      </c>
      <c r="AI28" s="156" t="s">
        <v>579</v>
      </c>
      <c r="AJ28" s="152" t="s">
        <v>575</v>
      </c>
      <c r="AK28" s="78">
        <v>46.08</v>
      </c>
      <c r="AL28" s="152" t="s">
        <v>581</v>
      </c>
      <c r="AM28" s="156" t="s">
        <v>579</v>
      </c>
      <c r="AN28" s="152">
        <f>50/1000</f>
        <v>0.05</v>
      </c>
      <c r="AO28" s="78"/>
      <c r="AP28" s="152"/>
      <c r="AQ28" s="156"/>
      <c r="AR28" s="152"/>
      <c r="AS28" s="152"/>
      <c r="AT28" s="152"/>
      <c r="AU28" s="152"/>
      <c r="AV28" s="152"/>
      <c r="AW28" s="152"/>
      <c r="AX28" s="152"/>
      <c r="AY28" s="152"/>
      <c r="AZ28" s="152"/>
      <c r="BA28" s="152">
        <v>3</v>
      </c>
      <c r="BB28" s="152" t="s">
        <v>329</v>
      </c>
      <c r="BC28" s="152"/>
      <c r="BD28" s="152"/>
      <c r="BE28" s="152">
        <v>2</v>
      </c>
      <c r="BF28" s="152"/>
      <c r="BG28" s="152"/>
      <c r="BH28" s="152" t="s">
        <v>329</v>
      </c>
      <c r="BI28" s="152"/>
      <c r="BJ28" s="152"/>
      <c r="BK28" s="152"/>
      <c r="BL28" s="156"/>
    </row>
    <row r="29" spans="1:64">
      <c r="A29" s="156" t="s">
        <v>367</v>
      </c>
      <c r="B29" s="152"/>
      <c r="C29" s="156" t="s">
        <v>326</v>
      </c>
      <c r="D29" s="156" t="s">
        <v>81</v>
      </c>
      <c r="E29" s="152" t="s">
        <v>599</v>
      </c>
      <c r="F29" s="152">
        <v>6</v>
      </c>
      <c r="G29" s="152">
        <v>6</v>
      </c>
      <c r="H29" s="78">
        <v>46.08</v>
      </c>
      <c r="I29" s="31">
        <v>4096</v>
      </c>
      <c r="J29" s="152" t="s">
        <v>581</v>
      </c>
      <c r="K29" s="156" t="s">
        <v>579</v>
      </c>
      <c r="L29" s="152">
        <v>2.6</v>
      </c>
      <c r="M29" s="152"/>
      <c r="N29" s="152"/>
      <c r="O29" s="152"/>
      <c r="P29" s="152"/>
      <c r="Q29" s="152"/>
      <c r="R29" s="152"/>
      <c r="S29" s="152"/>
      <c r="T29" s="152"/>
      <c r="U29" s="152"/>
      <c r="V29" s="152"/>
      <c r="W29" s="152"/>
      <c r="X29" s="152"/>
      <c r="Y29" s="152"/>
      <c r="Z29" s="152"/>
      <c r="AA29" s="152"/>
      <c r="AB29" s="152"/>
      <c r="AC29" s="152"/>
      <c r="AD29" s="152"/>
      <c r="AE29" s="152"/>
      <c r="AF29" s="152"/>
      <c r="AG29" s="78">
        <f>2*(H29+AK29)</f>
        <v>184.32</v>
      </c>
      <c r="AH29" s="152" t="s">
        <v>581</v>
      </c>
      <c r="AI29" s="156" t="s">
        <v>579</v>
      </c>
      <c r="AJ29" s="152" t="s">
        <v>575</v>
      </c>
      <c r="AK29" s="78">
        <v>46.08</v>
      </c>
      <c r="AL29" s="152" t="s">
        <v>581</v>
      </c>
      <c r="AM29" s="156" t="s">
        <v>579</v>
      </c>
      <c r="AN29" s="152">
        <f>50/1000</f>
        <v>0.05</v>
      </c>
      <c r="AO29" s="78"/>
      <c r="AP29" s="152"/>
      <c r="AQ29" s="156"/>
      <c r="AR29" s="152"/>
      <c r="AS29" s="152"/>
      <c r="AT29" s="152"/>
      <c r="AU29" s="152"/>
      <c r="AV29" s="152"/>
      <c r="AW29" s="152"/>
      <c r="AX29" s="152"/>
      <c r="AY29" s="152"/>
      <c r="AZ29" s="152"/>
      <c r="BA29" s="152">
        <v>3</v>
      </c>
      <c r="BB29" s="152" t="s">
        <v>329</v>
      </c>
      <c r="BC29" s="152"/>
      <c r="BD29" s="152"/>
      <c r="BE29" s="152">
        <v>2</v>
      </c>
      <c r="BF29" s="152"/>
      <c r="BG29" s="152"/>
      <c r="BH29" s="152" t="s">
        <v>329</v>
      </c>
      <c r="BI29" s="152"/>
      <c r="BJ29" s="152"/>
      <c r="BK29" s="152"/>
      <c r="BL29" s="156"/>
    </row>
    <row r="30" spans="1:64">
      <c r="A30" s="156" t="s">
        <v>368</v>
      </c>
      <c r="B30" s="152"/>
      <c r="C30" s="156" t="s">
        <v>326</v>
      </c>
      <c r="D30" s="156" t="s">
        <v>369</v>
      </c>
      <c r="E30" s="152" t="s">
        <v>600</v>
      </c>
      <c r="F30" s="152">
        <v>3</v>
      </c>
      <c r="G30" s="152">
        <v>3</v>
      </c>
      <c r="H30" s="78">
        <v>40.96</v>
      </c>
      <c r="I30" s="31">
        <v>4096</v>
      </c>
      <c r="J30" s="152" t="s">
        <v>581</v>
      </c>
      <c r="K30" s="156" t="s">
        <v>579</v>
      </c>
      <c r="L30" s="152">
        <v>2.6</v>
      </c>
      <c r="M30" s="152"/>
      <c r="N30" s="152"/>
      <c r="O30" s="152"/>
      <c r="P30" s="152"/>
      <c r="Q30" s="152"/>
      <c r="R30" s="152"/>
      <c r="S30" s="152"/>
      <c r="T30" s="152"/>
      <c r="U30" s="152"/>
      <c r="V30" s="152"/>
      <c r="W30" s="152"/>
      <c r="X30" s="152"/>
      <c r="Y30" s="152"/>
      <c r="Z30" s="152"/>
      <c r="AA30" s="152"/>
      <c r="AB30" s="152"/>
      <c r="AC30" s="152"/>
      <c r="AD30" s="152"/>
      <c r="AE30" s="152"/>
      <c r="AF30" s="152"/>
      <c r="AG30" s="78">
        <f>2*H30</f>
        <v>81.92</v>
      </c>
      <c r="AH30" s="152" t="s">
        <v>581</v>
      </c>
      <c r="AI30" s="156" t="s">
        <v>579</v>
      </c>
      <c r="AJ30" s="97" t="s">
        <v>575</v>
      </c>
      <c r="AK30" s="152"/>
      <c r="AL30" s="152"/>
      <c r="AM30" s="152"/>
      <c r="AN30" s="152"/>
      <c r="AO30" s="152"/>
      <c r="AP30" s="152"/>
      <c r="AQ30" s="152"/>
      <c r="AR30" s="152"/>
      <c r="AS30" s="152"/>
      <c r="AT30" s="152"/>
      <c r="AU30" s="152"/>
      <c r="AV30" s="152"/>
      <c r="AW30" s="152"/>
      <c r="AX30" s="152"/>
      <c r="AY30" s="152"/>
      <c r="AZ30" s="152"/>
      <c r="BA30" s="152">
        <v>2</v>
      </c>
      <c r="BB30" s="152" t="s">
        <v>329</v>
      </c>
      <c r="BC30" s="152"/>
      <c r="BD30" s="152"/>
      <c r="BE30" s="152">
        <v>2</v>
      </c>
      <c r="BF30" s="152"/>
      <c r="BG30" s="152"/>
      <c r="BH30" s="152" t="s">
        <v>329</v>
      </c>
      <c r="BI30" s="152"/>
      <c r="BJ30" s="152"/>
      <c r="BK30" s="152"/>
      <c r="BL30" s="156"/>
    </row>
    <row r="31" spans="1:64">
      <c r="A31" s="156" t="s">
        <v>370</v>
      </c>
      <c r="B31" s="152"/>
      <c r="C31" s="156" t="s">
        <v>326</v>
      </c>
      <c r="D31" s="156" t="s">
        <v>371</v>
      </c>
      <c r="E31" s="152" t="s">
        <v>600</v>
      </c>
      <c r="F31" s="152">
        <v>3</v>
      </c>
      <c r="G31" s="152">
        <v>3</v>
      </c>
      <c r="H31" s="78">
        <v>40.96</v>
      </c>
      <c r="I31" s="90">
        <v>4096</v>
      </c>
      <c r="J31" s="8" t="s">
        <v>581</v>
      </c>
      <c r="K31" s="156" t="s">
        <v>579</v>
      </c>
      <c r="L31" s="8">
        <v>2.6</v>
      </c>
      <c r="M31" s="8"/>
      <c r="N31" s="8"/>
      <c r="O31" s="8"/>
      <c r="P31" s="8"/>
      <c r="Q31" s="8"/>
      <c r="R31" s="8"/>
      <c r="S31" s="8"/>
      <c r="T31" s="8"/>
      <c r="U31" s="8"/>
      <c r="V31" s="8"/>
      <c r="W31" s="8"/>
      <c r="X31" s="8"/>
      <c r="Y31" s="8"/>
      <c r="Z31" s="8"/>
      <c r="AA31" s="8"/>
      <c r="AB31" s="8"/>
      <c r="AC31" s="8"/>
      <c r="AD31" s="8"/>
      <c r="AE31" s="8"/>
      <c r="AF31" s="8"/>
      <c r="AG31" s="79">
        <f>2*H31</f>
        <v>81.92</v>
      </c>
      <c r="AH31" s="8" t="s">
        <v>581</v>
      </c>
      <c r="AI31" s="13" t="s">
        <v>579</v>
      </c>
      <c r="AJ31" s="8" t="s">
        <v>575</v>
      </c>
      <c r="AK31" s="8"/>
      <c r="AL31" s="8"/>
      <c r="AM31" s="8"/>
      <c r="AN31" s="8"/>
      <c r="AO31" s="8"/>
      <c r="AP31" s="8"/>
      <c r="AQ31" s="8"/>
      <c r="AR31" s="8"/>
      <c r="AS31" s="8"/>
      <c r="AT31" s="8"/>
      <c r="AU31" s="8"/>
      <c r="AV31" s="8"/>
      <c r="AW31" s="8"/>
      <c r="AX31" s="8"/>
      <c r="AY31" s="8"/>
      <c r="AZ31" s="8"/>
      <c r="BA31" s="8">
        <v>2</v>
      </c>
      <c r="BB31" s="8" t="s">
        <v>329</v>
      </c>
      <c r="BC31" s="8"/>
      <c r="BD31" s="8"/>
      <c r="BE31" s="8">
        <v>2</v>
      </c>
      <c r="BF31" s="8"/>
      <c r="BG31" s="8"/>
      <c r="BH31" s="8" t="s">
        <v>329</v>
      </c>
      <c r="BI31" s="8"/>
      <c r="BJ31" s="8"/>
      <c r="BK31" s="8"/>
      <c r="BL31" s="13"/>
    </row>
    <row r="32" spans="1:64">
      <c r="A32" s="10"/>
      <c r="B32" s="10"/>
      <c r="C32" s="10"/>
      <c r="D32" s="10"/>
      <c r="E32" s="9"/>
      <c r="F32" s="9">
        <f>SUM(F8:F31)</f>
        <v>101</v>
      </c>
      <c r="G32" s="9">
        <f>SUM(G8:G31)</f>
        <v>227</v>
      </c>
      <c r="H32" s="80">
        <f>SUM(H8:H31)</f>
        <v>1793.3600000000004</v>
      </c>
      <c r="I32" s="31"/>
      <c r="J32" s="152"/>
      <c r="K32" s="152"/>
      <c r="L32" s="152">
        <f>SUM(L8:L31)</f>
        <v>370.00000000000011</v>
      </c>
      <c r="M32" s="78">
        <f>SUM(M8:M31)</f>
        <v>60.83</v>
      </c>
      <c r="N32" s="78"/>
      <c r="O32" s="78"/>
      <c r="P32" s="78">
        <f>SUM(P8:P31)</f>
        <v>0.05</v>
      </c>
      <c r="Q32" s="78">
        <f>SUM(Q8:Q31)</f>
        <v>691.2</v>
      </c>
      <c r="R32" s="78"/>
      <c r="S32" s="78"/>
      <c r="T32" s="78">
        <f>SUM(T8:T31)</f>
        <v>0.05</v>
      </c>
      <c r="U32" s="78">
        <f>SUM(U8:U31)</f>
        <v>1036.8</v>
      </c>
      <c r="V32" s="78"/>
      <c r="W32" s="78"/>
      <c r="X32" s="78">
        <f>SUM(X8:X31)</f>
        <v>0.05</v>
      </c>
      <c r="Y32" s="78">
        <f>SUM(Y8:Y31)</f>
        <v>247.80799999999999</v>
      </c>
      <c r="Z32" s="78"/>
      <c r="AA32" s="78"/>
      <c r="AB32" s="78">
        <f>SUM(AB8:AB31)</f>
        <v>0.1</v>
      </c>
      <c r="AC32" s="78">
        <f>SUM(AC8:AC31)</f>
        <v>276.48</v>
      </c>
      <c r="AD32" s="78"/>
      <c r="AE32" s="78"/>
      <c r="AF32" s="78">
        <f>SUM(AF8:AF31)</f>
        <v>0</v>
      </c>
      <c r="AG32" s="78">
        <v>6736</v>
      </c>
      <c r="AH32" s="78"/>
      <c r="AI32" s="78"/>
      <c r="AJ32" s="78"/>
      <c r="AK32" s="78">
        <f>SUM(AK8:AK31)</f>
        <v>92.16</v>
      </c>
      <c r="AL32" s="152"/>
      <c r="AM32" s="152"/>
      <c r="AN32" s="152">
        <f>SUM(AN8:AN31)</f>
        <v>0.1</v>
      </c>
      <c r="AO32" s="78">
        <f>SUM(AO8:AO31)</f>
        <v>51.2</v>
      </c>
      <c r="AP32" s="152"/>
      <c r="AQ32" s="152"/>
      <c r="AR32" s="152">
        <f>SUM(AR8:AR31)</f>
        <v>0.05</v>
      </c>
      <c r="AS32" s="152"/>
      <c r="AT32" s="152"/>
      <c r="AU32" s="152"/>
      <c r="AV32" s="152"/>
      <c r="AW32" s="152">
        <f>AW11</f>
        <v>2097.152</v>
      </c>
      <c r="AX32" s="152"/>
      <c r="AY32" s="152"/>
      <c r="AZ32" s="152">
        <v>0.05</v>
      </c>
      <c r="BA32" s="152">
        <f>SUM(BA8:BA31)</f>
        <v>63</v>
      </c>
      <c r="BB32" s="152">
        <f>COUNTIF(BB8:BB31,"x")</f>
        <v>23</v>
      </c>
      <c r="BC32" s="152">
        <v>2</v>
      </c>
      <c r="BD32" s="152">
        <v>1</v>
      </c>
      <c r="BE32" s="152">
        <f>SUM(BE9:BE31)</f>
        <v>46</v>
      </c>
      <c r="BF32" s="152">
        <v>1</v>
      </c>
      <c r="BG32" s="152">
        <f>COUNTIF(BG8:BG31,"x")</f>
        <v>0</v>
      </c>
      <c r="BH32" s="152">
        <f>COUNTIF(BH8:BH31,"x")</f>
        <v>23</v>
      </c>
      <c r="BI32" s="152" t="s">
        <v>601</v>
      </c>
      <c r="BJ32" s="152">
        <v>2</v>
      </c>
      <c r="BK32" s="152">
        <v>4</v>
      </c>
      <c r="BL32" s="152">
        <v>2</v>
      </c>
    </row>
    <row r="33" spans="1:63">
      <c r="A33" s="156"/>
      <c r="B33" s="156"/>
      <c r="C33" s="156"/>
      <c r="D33" s="156"/>
      <c r="E33" s="152"/>
      <c r="F33" s="156"/>
      <c r="G33" s="156"/>
      <c r="H33" s="156"/>
      <c r="I33" s="45"/>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row>
    <row r="34" spans="1:63">
      <c r="A34" s="7" t="s">
        <v>602</v>
      </c>
      <c r="B34" s="156"/>
      <c r="C34" s="156"/>
      <c r="D34" s="156"/>
      <c r="E34" s="152"/>
      <c r="F34" s="156"/>
      <c r="G34" s="156"/>
      <c r="H34" s="156"/>
      <c r="I34" s="45"/>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c r="AW34" s="156"/>
      <c r="AX34" s="156"/>
      <c r="AY34" s="156"/>
      <c r="AZ34" s="156"/>
      <c r="BA34" s="156"/>
      <c r="BB34" s="156"/>
      <c r="BC34" s="156"/>
      <c r="BD34" s="156"/>
      <c r="BE34" s="156"/>
      <c r="BF34" s="156"/>
      <c r="BG34" s="156"/>
      <c r="BH34" s="156"/>
      <c r="BI34" s="156"/>
      <c r="BJ34" s="156"/>
      <c r="BK34" s="156"/>
    </row>
    <row r="35" spans="1:63">
      <c r="A35" s="156"/>
      <c r="B35" s="156"/>
      <c r="C35" s="156"/>
      <c r="D35" s="156"/>
      <c r="E35" s="152"/>
      <c r="F35" s="156"/>
      <c r="G35" s="156"/>
      <c r="H35" s="156"/>
      <c r="I35" s="45"/>
      <c r="J35" s="156"/>
      <c r="K35" s="156"/>
      <c r="L35" s="156"/>
      <c r="M35" s="45"/>
      <c r="N35" s="45"/>
      <c r="O35" s="45"/>
      <c r="P35" s="45"/>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row>
    <row r="36" spans="1:63">
      <c r="A36" s="156" t="s">
        <v>381</v>
      </c>
      <c r="B36" s="156"/>
      <c r="C36" s="156" t="s">
        <v>326</v>
      </c>
      <c r="D36" s="156" t="s">
        <v>10</v>
      </c>
      <c r="E36" s="152" t="s">
        <v>603</v>
      </c>
      <c r="F36" s="152">
        <v>4</v>
      </c>
      <c r="G36" s="152">
        <v>16</v>
      </c>
      <c r="H36" s="78">
        <v>71.680000000000007</v>
      </c>
      <c r="I36" s="31">
        <v>16384</v>
      </c>
      <c r="J36" s="152" t="s">
        <v>581</v>
      </c>
      <c r="K36" s="156" t="s">
        <v>579</v>
      </c>
      <c r="L36" s="152">
        <v>2.6</v>
      </c>
      <c r="M36" s="152"/>
      <c r="N36" s="152"/>
      <c r="O36" s="152"/>
      <c r="P36" s="152"/>
      <c r="Q36" s="152"/>
      <c r="R36" s="152"/>
      <c r="S36" s="152"/>
      <c r="T36" s="152"/>
      <c r="U36" s="152"/>
      <c r="V36" s="152"/>
      <c r="W36" s="152"/>
      <c r="X36" s="152"/>
      <c r="Y36" s="152"/>
      <c r="Z36" s="152"/>
      <c r="AA36" s="152"/>
      <c r="AB36" s="152"/>
      <c r="AC36" s="152"/>
      <c r="AD36" s="152"/>
      <c r="AE36" s="152"/>
      <c r="AF36" s="152"/>
      <c r="AG36" s="78">
        <f t="shared" ref="AG36:AG50" si="2">2*H36</f>
        <v>143.36000000000001</v>
      </c>
      <c r="AH36" s="152" t="s">
        <v>581</v>
      </c>
      <c r="AI36" s="156" t="s">
        <v>579</v>
      </c>
      <c r="AJ36" s="152" t="s">
        <v>575</v>
      </c>
      <c r="AK36" s="156"/>
      <c r="AL36" s="156"/>
      <c r="AM36" s="156"/>
      <c r="AN36" s="156"/>
      <c r="AO36" s="156"/>
      <c r="AP36" s="156"/>
      <c r="AQ36" s="156"/>
      <c r="AR36" s="156"/>
      <c r="AS36" s="156"/>
      <c r="AT36" s="156"/>
      <c r="AU36" s="156"/>
      <c r="AV36" s="156"/>
      <c r="AW36" s="156"/>
      <c r="AX36" s="156"/>
      <c r="AY36" s="156"/>
      <c r="AZ36" s="156"/>
      <c r="BA36" s="152">
        <v>2</v>
      </c>
      <c r="BB36" s="152" t="s">
        <v>329</v>
      </c>
      <c r="BC36" s="152"/>
      <c r="BD36" s="152"/>
      <c r="BE36" s="152">
        <v>2</v>
      </c>
      <c r="BF36" s="152"/>
      <c r="BG36" s="152" t="s">
        <v>329</v>
      </c>
      <c r="BH36" s="152" t="s">
        <v>329</v>
      </c>
      <c r="BI36" s="152"/>
      <c r="BJ36" s="152"/>
      <c r="BK36" s="152"/>
    </row>
    <row r="37" spans="1:63">
      <c r="A37" s="156" t="s">
        <v>382</v>
      </c>
      <c r="B37" s="156"/>
      <c r="C37" s="11" t="s">
        <v>362</v>
      </c>
      <c r="D37" s="156" t="s">
        <v>75</v>
      </c>
      <c r="E37" s="152" t="s">
        <v>596</v>
      </c>
      <c r="F37" s="152">
        <v>4</v>
      </c>
      <c r="G37" s="152">
        <v>4</v>
      </c>
      <c r="H37" s="78">
        <v>102.4</v>
      </c>
      <c r="I37" s="31">
        <v>0</v>
      </c>
      <c r="J37" s="152" t="s">
        <v>578</v>
      </c>
      <c r="K37" s="156" t="s">
        <v>579</v>
      </c>
      <c r="L37" s="152">
        <v>100</v>
      </c>
      <c r="M37" s="152"/>
      <c r="N37" s="152"/>
      <c r="O37" s="152"/>
      <c r="P37" s="152"/>
      <c r="Q37" s="152"/>
      <c r="R37" s="152"/>
      <c r="S37" s="152"/>
      <c r="T37" s="152"/>
      <c r="U37" s="152"/>
      <c r="V37" s="152"/>
      <c r="W37" s="152"/>
      <c r="X37" s="152"/>
      <c r="Y37" s="152"/>
      <c r="Z37" s="152"/>
      <c r="AA37" s="152"/>
      <c r="AB37" s="152"/>
      <c r="AC37" s="152"/>
      <c r="AD37" s="152"/>
      <c r="AE37" s="152"/>
      <c r="AF37" s="152"/>
      <c r="AG37" s="78">
        <f t="shared" si="2"/>
        <v>204.8</v>
      </c>
      <c r="AH37" s="152" t="s">
        <v>581</v>
      </c>
      <c r="AI37" s="156" t="s">
        <v>579</v>
      </c>
      <c r="AJ37" s="152" t="s">
        <v>575</v>
      </c>
      <c r="AK37" s="156"/>
      <c r="AL37" s="156"/>
      <c r="AM37" s="156"/>
      <c r="AN37" s="156"/>
      <c r="AO37" s="156"/>
      <c r="AP37" s="156"/>
      <c r="AQ37" s="156"/>
      <c r="AR37" s="156"/>
      <c r="AS37" s="156"/>
      <c r="AT37" s="156"/>
      <c r="AU37" s="156"/>
      <c r="AV37" s="156"/>
      <c r="AW37" s="156"/>
      <c r="AX37" s="156"/>
      <c r="AY37" s="156"/>
      <c r="AZ37" s="156"/>
      <c r="BA37" s="152">
        <v>4</v>
      </c>
      <c r="BB37" s="152" t="s">
        <v>329</v>
      </c>
      <c r="BC37" s="152"/>
      <c r="BD37" s="152"/>
      <c r="BE37" s="152">
        <v>2</v>
      </c>
      <c r="BF37" s="152"/>
      <c r="BG37" s="152" t="s">
        <v>329</v>
      </c>
      <c r="BH37" s="152" t="s">
        <v>329</v>
      </c>
      <c r="BI37" s="152"/>
      <c r="BJ37" s="152"/>
      <c r="BK37" s="152"/>
    </row>
    <row r="38" spans="1:63">
      <c r="A38" s="156" t="s">
        <v>383</v>
      </c>
      <c r="B38" s="156"/>
      <c r="C38" s="11" t="s">
        <v>362</v>
      </c>
      <c r="D38" s="156" t="s">
        <v>79</v>
      </c>
      <c r="E38" s="152" t="s">
        <v>597</v>
      </c>
      <c r="F38" s="152">
        <v>4</v>
      </c>
      <c r="G38" s="152">
        <v>16</v>
      </c>
      <c r="H38" s="78">
        <v>102.4</v>
      </c>
      <c r="I38" s="31">
        <v>0</v>
      </c>
      <c r="J38" s="152" t="s">
        <v>578</v>
      </c>
      <c r="K38" s="156" t="s">
        <v>579</v>
      </c>
      <c r="L38" s="152">
        <v>110</v>
      </c>
      <c r="M38" s="152"/>
      <c r="N38" s="152"/>
      <c r="O38" s="152"/>
      <c r="P38" s="152"/>
      <c r="Q38" s="152"/>
      <c r="R38" s="152"/>
      <c r="S38" s="152"/>
      <c r="T38" s="152"/>
      <c r="U38" s="152"/>
      <c r="V38" s="152"/>
      <c r="W38" s="152"/>
      <c r="X38" s="152"/>
      <c r="Y38" s="152"/>
      <c r="Z38" s="152"/>
      <c r="AA38" s="152"/>
      <c r="AB38" s="152"/>
      <c r="AC38" s="152"/>
      <c r="AD38" s="152"/>
      <c r="AE38" s="152"/>
      <c r="AF38" s="152"/>
      <c r="AG38" s="78">
        <f t="shared" si="2"/>
        <v>204.8</v>
      </c>
      <c r="AH38" s="152" t="s">
        <v>581</v>
      </c>
      <c r="AI38" s="156" t="s">
        <v>579</v>
      </c>
      <c r="AJ38" s="152" t="s">
        <v>575</v>
      </c>
      <c r="AK38" s="156"/>
      <c r="AL38" s="156"/>
      <c r="AM38" s="156"/>
      <c r="AN38" s="156"/>
      <c r="AO38" s="156"/>
      <c r="AP38" s="156"/>
      <c r="AQ38" s="156"/>
      <c r="AR38" s="156"/>
      <c r="AS38" s="156"/>
      <c r="AT38" s="156"/>
      <c r="AU38" s="156"/>
      <c r="AV38" s="156"/>
      <c r="AW38" s="156"/>
      <c r="AX38" s="156"/>
      <c r="AY38" s="156"/>
      <c r="AZ38" s="156"/>
      <c r="BA38" s="152">
        <v>4</v>
      </c>
      <c r="BB38" s="152" t="s">
        <v>329</v>
      </c>
      <c r="BC38" s="152"/>
      <c r="BD38" s="152"/>
      <c r="BE38" s="152">
        <v>2</v>
      </c>
      <c r="BF38" s="152"/>
      <c r="BG38" s="152" t="s">
        <v>329</v>
      </c>
      <c r="BH38" s="152" t="s">
        <v>329</v>
      </c>
      <c r="BI38" s="152"/>
      <c r="BJ38" s="152"/>
      <c r="BK38" s="152"/>
    </row>
    <row r="39" spans="1:63">
      <c r="A39" s="156" t="s">
        <v>384</v>
      </c>
      <c r="B39" s="156"/>
      <c r="C39" s="11" t="s">
        <v>362</v>
      </c>
      <c r="D39" s="156" t="s">
        <v>79</v>
      </c>
      <c r="E39" s="152" t="s">
        <v>597</v>
      </c>
      <c r="F39" s="152">
        <v>4</v>
      </c>
      <c r="G39" s="152">
        <v>16</v>
      </c>
      <c r="H39" s="78">
        <v>102.4</v>
      </c>
      <c r="I39" s="31">
        <v>0</v>
      </c>
      <c r="J39" s="152" t="s">
        <v>578</v>
      </c>
      <c r="K39" s="156" t="s">
        <v>579</v>
      </c>
      <c r="L39" s="152">
        <v>110</v>
      </c>
      <c r="M39" s="152"/>
      <c r="N39" s="152"/>
      <c r="O39" s="152"/>
      <c r="P39" s="152"/>
      <c r="Q39" s="152"/>
      <c r="R39" s="152"/>
      <c r="S39" s="152"/>
      <c r="T39" s="152"/>
      <c r="U39" s="152"/>
      <c r="V39" s="152"/>
      <c r="W39" s="152"/>
      <c r="X39" s="152"/>
      <c r="Y39" s="152"/>
      <c r="Z39" s="152"/>
      <c r="AA39" s="152"/>
      <c r="AB39" s="152"/>
      <c r="AC39" s="152"/>
      <c r="AD39" s="152"/>
      <c r="AE39" s="152"/>
      <c r="AF39" s="152"/>
      <c r="AG39" s="78">
        <f t="shared" si="2"/>
        <v>204.8</v>
      </c>
      <c r="AH39" s="152" t="s">
        <v>581</v>
      </c>
      <c r="AI39" s="156" t="s">
        <v>579</v>
      </c>
      <c r="AJ39" s="152" t="s">
        <v>575</v>
      </c>
      <c r="AK39" s="156"/>
      <c r="AL39" s="156"/>
      <c r="AM39" s="156"/>
      <c r="AN39" s="156"/>
      <c r="AO39" s="156"/>
      <c r="AP39" s="156"/>
      <c r="AQ39" s="156"/>
      <c r="AR39" s="156"/>
      <c r="AS39" s="156"/>
      <c r="AT39" s="156"/>
      <c r="AU39" s="156"/>
      <c r="AV39" s="156"/>
      <c r="AW39" s="156"/>
      <c r="AX39" s="156"/>
      <c r="AY39" s="156"/>
      <c r="AZ39" s="156"/>
      <c r="BA39" s="152">
        <v>4</v>
      </c>
      <c r="BB39" s="152" t="s">
        <v>329</v>
      </c>
      <c r="BC39" s="152"/>
      <c r="BD39" s="152"/>
      <c r="BE39" s="152">
        <v>2</v>
      </c>
      <c r="BF39" s="152"/>
      <c r="BG39" s="152" t="s">
        <v>329</v>
      </c>
      <c r="BH39" s="152" t="s">
        <v>329</v>
      </c>
      <c r="BI39" s="152"/>
      <c r="BJ39" s="152"/>
      <c r="BK39" s="152"/>
    </row>
    <row r="40" spans="1:63">
      <c r="A40" s="156" t="s">
        <v>385</v>
      </c>
      <c r="B40" s="156"/>
      <c r="C40" s="11" t="s">
        <v>362</v>
      </c>
      <c r="D40" s="156" t="s">
        <v>77</v>
      </c>
      <c r="E40" s="152" t="s">
        <v>598</v>
      </c>
      <c r="F40" s="152">
        <v>4</v>
      </c>
      <c r="G40" s="152">
        <v>14</v>
      </c>
      <c r="H40" s="78">
        <v>102.4</v>
      </c>
      <c r="I40" s="31">
        <v>0</v>
      </c>
      <c r="J40" s="152" t="s">
        <v>578</v>
      </c>
      <c r="K40" s="156" t="s">
        <v>579</v>
      </c>
      <c r="L40" s="152">
        <v>100</v>
      </c>
      <c r="M40" s="152"/>
      <c r="N40" s="152"/>
      <c r="O40" s="152"/>
      <c r="P40" s="152"/>
      <c r="Q40" s="152"/>
      <c r="R40" s="152"/>
      <c r="S40" s="152"/>
      <c r="T40" s="152"/>
      <c r="U40" s="152"/>
      <c r="V40" s="152"/>
      <c r="W40" s="152"/>
      <c r="X40" s="152"/>
      <c r="Y40" s="152"/>
      <c r="Z40" s="152"/>
      <c r="AA40" s="152"/>
      <c r="AB40" s="152"/>
      <c r="AC40" s="152"/>
      <c r="AD40" s="152"/>
      <c r="AE40" s="152"/>
      <c r="AF40" s="152"/>
      <c r="AG40" s="78">
        <f t="shared" si="2"/>
        <v>204.8</v>
      </c>
      <c r="AH40" s="152" t="s">
        <v>581</v>
      </c>
      <c r="AI40" s="156" t="s">
        <v>579</v>
      </c>
      <c r="AJ40" s="152" t="s">
        <v>575</v>
      </c>
      <c r="AK40" s="156"/>
      <c r="AL40" s="156"/>
      <c r="AM40" s="156"/>
      <c r="AN40" s="156"/>
      <c r="AO40" s="156"/>
      <c r="AP40" s="156"/>
      <c r="AQ40" s="156"/>
      <c r="AR40" s="156"/>
      <c r="AS40" s="156"/>
      <c r="AT40" s="156"/>
      <c r="AU40" s="156"/>
      <c r="AV40" s="156"/>
      <c r="AW40" s="156"/>
      <c r="AX40" s="156"/>
      <c r="AY40" s="156"/>
      <c r="AZ40" s="156"/>
      <c r="BA40" s="152">
        <v>4</v>
      </c>
      <c r="BB40" s="152" t="s">
        <v>329</v>
      </c>
      <c r="BC40" s="152"/>
      <c r="BD40" s="152"/>
      <c r="BE40" s="152">
        <v>2</v>
      </c>
      <c r="BF40" s="152"/>
      <c r="BG40" s="152" t="s">
        <v>329</v>
      </c>
      <c r="BH40" s="152" t="s">
        <v>329</v>
      </c>
      <c r="BI40" s="152"/>
      <c r="BJ40" s="152"/>
      <c r="BK40" s="152"/>
    </row>
    <row r="41" spans="1:63">
      <c r="A41" s="156" t="s">
        <v>386</v>
      </c>
      <c r="B41" s="156"/>
      <c r="C41" s="156" t="s">
        <v>326</v>
      </c>
      <c r="D41" s="156" t="s">
        <v>110</v>
      </c>
      <c r="E41" s="152" t="s">
        <v>604</v>
      </c>
      <c r="F41" s="152">
        <v>3</v>
      </c>
      <c r="G41" s="152">
        <v>8</v>
      </c>
      <c r="H41" s="78">
        <v>122.88</v>
      </c>
      <c r="I41" s="31">
        <v>4096</v>
      </c>
      <c r="J41" s="152" t="s">
        <v>581</v>
      </c>
      <c r="K41" s="156" t="s">
        <v>579</v>
      </c>
      <c r="L41" s="152">
        <v>2.6</v>
      </c>
      <c r="M41" s="152"/>
      <c r="N41" s="152"/>
      <c r="O41" s="152"/>
      <c r="P41" s="152"/>
      <c r="Q41" s="152"/>
      <c r="R41" s="152"/>
      <c r="S41" s="152"/>
      <c r="T41" s="152"/>
      <c r="U41" s="152"/>
      <c r="V41" s="152"/>
      <c r="W41" s="152"/>
      <c r="X41" s="152"/>
      <c r="Y41" s="152"/>
      <c r="Z41" s="152"/>
      <c r="AA41" s="152"/>
      <c r="AB41" s="152"/>
      <c r="AC41" s="152"/>
      <c r="AD41" s="152"/>
      <c r="AE41" s="152"/>
      <c r="AF41" s="152"/>
      <c r="AG41" s="78">
        <f t="shared" si="2"/>
        <v>245.76</v>
      </c>
      <c r="AH41" s="152" t="s">
        <v>581</v>
      </c>
      <c r="AI41" s="156" t="s">
        <v>579</v>
      </c>
      <c r="AJ41" s="152" t="s">
        <v>575</v>
      </c>
      <c r="AK41" s="156"/>
      <c r="AL41" s="156"/>
      <c r="AM41" s="156"/>
      <c r="AN41" s="156"/>
      <c r="AO41" s="156"/>
      <c r="AP41" s="156"/>
      <c r="AQ41" s="156"/>
      <c r="AR41" s="156"/>
      <c r="AS41" s="156"/>
      <c r="AT41" s="156"/>
      <c r="AU41" s="156"/>
      <c r="AV41" s="156"/>
      <c r="AW41" s="156"/>
      <c r="AX41" s="156"/>
      <c r="AY41" s="156"/>
      <c r="AZ41" s="156"/>
      <c r="BA41" s="152">
        <v>2</v>
      </c>
      <c r="BB41" s="152" t="s">
        <v>329</v>
      </c>
      <c r="BC41" s="152"/>
      <c r="BD41" s="152"/>
      <c r="BE41" s="152">
        <v>2</v>
      </c>
      <c r="BF41" s="152"/>
      <c r="BG41" s="152" t="s">
        <v>329</v>
      </c>
      <c r="BH41" s="152" t="s">
        <v>329</v>
      </c>
      <c r="BI41" s="152"/>
      <c r="BJ41" s="152"/>
      <c r="BK41" s="152"/>
    </row>
    <row r="42" spans="1:63">
      <c r="A42" s="156" t="s">
        <v>387</v>
      </c>
      <c r="B42" s="156"/>
      <c r="C42" s="156" t="s">
        <v>326</v>
      </c>
      <c r="D42" s="156" t="s">
        <v>110</v>
      </c>
      <c r="E42" s="152" t="s">
        <v>604</v>
      </c>
      <c r="F42" s="152">
        <v>3</v>
      </c>
      <c r="G42" s="152">
        <v>8</v>
      </c>
      <c r="H42" s="78">
        <v>122.88</v>
      </c>
      <c r="I42" s="31">
        <v>4096</v>
      </c>
      <c r="J42" s="152" t="s">
        <v>581</v>
      </c>
      <c r="K42" s="156" t="s">
        <v>579</v>
      </c>
      <c r="L42" s="152">
        <v>2.6</v>
      </c>
      <c r="M42" s="152"/>
      <c r="N42" s="152"/>
      <c r="O42" s="152"/>
      <c r="P42" s="152"/>
      <c r="Q42" s="152"/>
      <c r="R42" s="152"/>
      <c r="S42" s="152"/>
      <c r="T42" s="152"/>
      <c r="U42" s="152"/>
      <c r="V42" s="152"/>
      <c r="W42" s="152"/>
      <c r="X42" s="152"/>
      <c r="Y42" s="152"/>
      <c r="Z42" s="152"/>
      <c r="AA42" s="152"/>
      <c r="AB42" s="152"/>
      <c r="AC42" s="152"/>
      <c r="AD42" s="152"/>
      <c r="AE42" s="152"/>
      <c r="AF42" s="152"/>
      <c r="AG42" s="78">
        <f t="shared" si="2"/>
        <v>245.76</v>
      </c>
      <c r="AH42" s="152" t="s">
        <v>581</v>
      </c>
      <c r="AI42" s="156" t="s">
        <v>579</v>
      </c>
      <c r="AJ42" s="152" t="s">
        <v>575</v>
      </c>
      <c r="AK42" s="156"/>
      <c r="AL42" s="156"/>
      <c r="AM42" s="156"/>
      <c r="AN42" s="156"/>
      <c r="AO42" s="156"/>
      <c r="AP42" s="156"/>
      <c r="AQ42" s="156"/>
      <c r="AR42" s="156"/>
      <c r="AS42" s="156"/>
      <c r="AT42" s="156"/>
      <c r="AU42" s="156"/>
      <c r="AV42" s="156"/>
      <c r="AW42" s="156"/>
      <c r="AX42" s="156"/>
      <c r="AY42" s="156"/>
      <c r="AZ42" s="156"/>
      <c r="BA42" s="152">
        <v>2</v>
      </c>
      <c r="BB42" s="152" t="s">
        <v>329</v>
      </c>
      <c r="BC42" s="152"/>
      <c r="BD42" s="152"/>
      <c r="BE42" s="152">
        <v>2</v>
      </c>
      <c r="BF42" s="152"/>
      <c r="BG42" s="152" t="s">
        <v>329</v>
      </c>
      <c r="BH42" s="152" t="s">
        <v>329</v>
      </c>
      <c r="BI42" s="152"/>
      <c r="BJ42" s="152"/>
      <c r="BK42" s="152"/>
    </row>
    <row r="43" spans="1:63">
      <c r="A43" s="156" t="s">
        <v>388</v>
      </c>
      <c r="B43" s="156"/>
      <c r="C43" s="156" t="s">
        <v>326</v>
      </c>
      <c r="D43" s="156" t="s">
        <v>30</v>
      </c>
      <c r="E43" s="152" t="s">
        <v>605</v>
      </c>
      <c r="F43" s="152">
        <v>4</v>
      </c>
      <c r="G43" s="152">
        <v>4</v>
      </c>
      <c r="H43" s="78">
        <v>40.96</v>
      </c>
      <c r="I43" s="31">
        <v>4096</v>
      </c>
      <c r="J43" s="152" t="s">
        <v>581</v>
      </c>
      <c r="K43" s="156" t="s">
        <v>579</v>
      </c>
      <c r="L43" s="152">
        <v>2.6</v>
      </c>
      <c r="M43" s="152"/>
      <c r="N43" s="152"/>
      <c r="O43" s="152"/>
      <c r="P43" s="152"/>
      <c r="Q43" s="152"/>
      <c r="R43" s="152"/>
      <c r="S43" s="152"/>
      <c r="T43" s="152"/>
      <c r="U43" s="152"/>
      <c r="V43" s="152"/>
      <c r="W43" s="152"/>
      <c r="X43" s="152"/>
      <c r="Y43" s="152"/>
      <c r="Z43" s="152"/>
      <c r="AA43" s="152"/>
      <c r="AB43" s="152"/>
      <c r="AC43" s="152"/>
      <c r="AD43" s="152"/>
      <c r="AE43" s="152"/>
      <c r="AF43" s="152"/>
      <c r="AG43" s="78">
        <f t="shared" si="2"/>
        <v>81.92</v>
      </c>
      <c r="AH43" s="152" t="s">
        <v>581</v>
      </c>
      <c r="AI43" s="156" t="s">
        <v>579</v>
      </c>
      <c r="AJ43" s="152" t="s">
        <v>575</v>
      </c>
      <c r="AK43" s="156"/>
      <c r="AL43" s="156"/>
      <c r="AM43" s="156"/>
      <c r="AN43" s="156"/>
      <c r="AO43" s="156"/>
      <c r="AP43" s="156"/>
      <c r="AQ43" s="156"/>
      <c r="AR43" s="156"/>
      <c r="AS43" s="156"/>
      <c r="AT43" s="156"/>
      <c r="AU43" s="156"/>
      <c r="AV43" s="156"/>
      <c r="AW43" s="156"/>
      <c r="AX43" s="156"/>
      <c r="AY43" s="156"/>
      <c r="AZ43" s="156"/>
      <c r="BA43" s="152">
        <v>2</v>
      </c>
      <c r="BB43" s="152" t="s">
        <v>329</v>
      </c>
      <c r="BC43" s="152"/>
      <c r="BD43" s="152"/>
      <c r="BE43" s="152">
        <v>2</v>
      </c>
      <c r="BF43" s="152"/>
      <c r="BG43" s="152" t="s">
        <v>329</v>
      </c>
      <c r="BH43" s="152" t="s">
        <v>329</v>
      </c>
      <c r="BI43" s="152"/>
      <c r="BJ43" s="152"/>
      <c r="BK43" s="152"/>
    </row>
    <row r="44" spans="1:63">
      <c r="A44" s="156" t="s">
        <v>389</v>
      </c>
      <c r="B44" s="156"/>
      <c r="C44" s="156" t="s">
        <v>326</v>
      </c>
      <c r="D44" s="156" t="s">
        <v>22</v>
      </c>
      <c r="E44" s="152" t="s">
        <v>605</v>
      </c>
      <c r="F44" s="152">
        <v>4</v>
      </c>
      <c r="G44" s="152">
        <v>4</v>
      </c>
      <c r="H44" s="78">
        <v>30.72</v>
      </c>
      <c r="I44" s="31">
        <v>4096</v>
      </c>
      <c r="J44" s="152" t="s">
        <v>581</v>
      </c>
      <c r="K44" s="156" t="s">
        <v>579</v>
      </c>
      <c r="L44" s="152">
        <v>2.6</v>
      </c>
      <c r="M44" s="152"/>
      <c r="N44" s="152"/>
      <c r="O44" s="152"/>
      <c r="P44" s="152"/>
      <c r="Q44" s="152"/>
      <c r="R44" s="152"/>
      <c r="S44" s="152"/>
      <c r="T44" s="152"/>
      <c r="U44" s="152"/>
      <c r="V44" s="152"/>
      <c r="W44" s="152"/>
      <c r="X44" s="152"/>
      <c r="Y44" s="152"/>
      <c r="Z44" s="152"/>
      <c r="AA44" s="152"/>
      <c r="AB44" s="152"/>
      <c r="AC44" s="152"/>
      <c r="AD44" s="152"/>
      <c r="AE44" s="152"/>
      <c r="AF44" s="152"/>
      <c r="AG44" s="78">
        <f t="shared" si="2"/>
        <v>61.44</v>
      </c>
      <c r="AH44" s="152" t="s">
        <v>581</v>
      </c>
      <c r="AI44" s="156" t="s">
        <v>579</v>
      </c>
      <c r="AJ44" s="152" t="s">
        <v>575</v>
      </c>
      <c r="AK44" s="156"/>
      <c r="AL44" s="156"/>
      <c r="AM44" s="156"/>
      <c r="AN44" s="156"/>
      <c r="AO44" s="156"/>
      <c r="AP44" s="156"/>
      <c r="AQ44" s="156"/>
      <c r="AR44" s="156"/>
      <c r="AS44" s="156"/>
      <c r="AT44" s="156"/>
      <c r="AU44" s="156"/>
      <c r="AV44" s="156"/>
      <c r="AW44" s="156"/>
      <c r="AX44" s="156"/>
      <c r="AY44" s="156"/>
      <c r="AZ44" s="156"/>
      <c r="BA44" s="152">
        <v>2</v>
      </c>
      <c r="BB44" s="152" t="s">
        <v>329</v>
      </c>
      <c r="BC44" s="152"/>
      <c r="BD44" s="152"/>
      <c r="BE44" s="152">
        <v>2</v>
      </c>
      <c r="BF44" s="152"/>
      <c r="BG44" s="152" t="s">
        <v>329</v>
      </c>
      <c r="BH44" s="152" t="s">
        <v>329</v>
      </c>
      <c r="BI44" s="152"/>
      <c r="BJ44" s="152"/>
      <c r="BK44" s="152"/>
    </row>
    <row r="45" spans="1:63">
      <c r="A45" s="156" t="s">
        <v>390</v>
      </c>
      <c r="B45" s="156"/>
      <c r="C45" s="156" t="s">
        <v>326</v>
      </c>
      <c r="D45" s="156" t="s">
        <v>26</v>
      </c>
      <c r="E45" s="152" t="s">
        <v>605</v>
      </c>
      <c r="F45" s="152">
        <v>4</v>
      </c>
      <c r="G45" s="152">
        <v>4</v>
      </c>
      <c r="H45" s="78">
        <v>30.72</v>
      </c>
      <c r="I45" s="31">
        <v>4096</v>
      </c>
      <c r="J45" s="152" t="s">
        <v>581</v>
      </c>
      <c r="K45" s="156" t="s">
        <v>579</v>
      </c>
      <c r="L45" s="152">
        <v>2.6</v>
      </c>
      <c r="M45" s="152"/>
      <c r="N45" s="152"/>
      <c r="O45" s="152"/>
      <c r="P45" s="152"/>
      <c r="Q45" s="152"/>
      <c r="R45" s="152"/>
      <c r="S45" s="152"/>
      <c r="T45" s="152"/>
      <c r="U45" s="152"/>
      <c r="V45" s="152"/>
      <c r="W45" s="152"/>
      <c r="X45" s="152"/>
      <c r="Y45" s="152"/>
      <c r="Z45" s="152"/>
      <c r="AA45" s="152"/>
      <c r="AB45" s="152"/>
      <c r="AC45" s="152"/>
      <c r="AD45" s="152"/>
      <c r="AE45" s="152"/>
      <c r="AF45" s="152"/>
      <c r="AG45" s="78">
        <f t="shared" si="2"/>
        <v>61.44</v>
      </c>
      <c r="AH45" s="152" t="s">
        <v>581</v>
      </c>
      <c r="AI45" s="156" t="s">
        <v>579</v>
      </c>
      <c r="AJ45" s="152" t="s">
        <v>575</v>
      </c>
      <c r="AK45" s="156"/>
      <c r="AL45" s="156"/>
      <c r="AM45" s="156"/>
      <c r="AN45" s="156"/>
      <c r="AO45" s="156"/>
      <c r="AP45" s="156"/>
      <c r="AQ45" s="156"/>
      <c r="AR45" s="156"/>
      <c r="AS45" s="156"/>
      <c r="AT45" s="156"/>
      <c r="AU45" s="156"/>
      <c r="AV45" s="156"/>
      <c r="AW45" s="156"/>
      <c r="AX45" s="156"/>
      <c r="AY45" s="156"/>
      <c r="AZ45" s="156"/>
      <c r="BA45" s="152">
        <v>2</v>
      </c>
      <c r="BB45" s="152" t="s">
        <v>329</v>
      </c>
      <c r="BC45" s="152"/>
      <c r="BD45" s="152"/>
      <c r="BE45" s="152">
        <v>2</v>
      </c>
      <c r="BF45" s="152"/>
      <c r="BG45" s="152" t="s">
        <v>329</v>
      </c>
      <c r="BH45" s="152" t="s">
        <v>329</v>
      </c>
      <c r="BI45" s="152"/>
      <c r="BJ45" s="152"/>
      <c r="BK45" s="152"/>
    </row>
    <row r="46" spans="1:63" ht="15">
      <c r="A46" s="156" t="s">
        <v>391</v>
      </c>
      <c r="B46" s="156"/>
      <c r="C46" s="156" t="s">
        <v>326</v>
      </c>
      <c r="D46" s="156" t="s">
        <v>38</v>
      </c>
      <c r="E46" s="152" t="s">
        <v>606</v>
      </c>
      <c r="F46" s="152">
        <v>4</v>
      </c>
      <c r="G46" s="152">
        <v>5</v>
      </c>
      <c r="H46" s="154">
        <v>112.64</v>
      </c>
      <c r="I46" s="31">
        <v>4096</v>
      </c>
      <c r="J46" s="152" t="s">
        <v>581</v>
      </c>
      <c r="K46" s="156" t="s">
        <v>579</v>
      </c>
      <c r="L46" s="152">
        <v>2.6</v>
      </c>
      <c r="M46" s="152"/>
      <c r="N46" s="152"/>
      <c r="O46" s="152"/>
      <c r="P46" s="152"/>
      <c r="Q46" s="1"/>
      <c r="R46" s="1"/>
      <c r="S46" s="1"/>
      <c r="T46" s="1"/>
      <c r="U46" s="152"/>
      <c r="V46" s="152"/>
      <c r="W46" s="152"/>
      <c r="X46" s="152"/>
      <c r="Y46" s="152"/>
      <c r="Z46" s="152"/>
      <c r="AA46" s="152"/>
      <c r="AB46" s="152"/>
      <c r="AC46" s="152"/>
      <c r="AD46" s="152"/>
      <c r="AE46" s="152"/>
      <c r="AF46" s="152"/>
      <c r="AG46" s="78">
        <f t="shared" si="2"/>
        <v>225.28</v>
      </c>
      <c r="AH46" s="152" t="s">
        <v>581</v>
      </c>
      <c r="AI46" s="156" t="s">
        <v>579</v>
      </c>
      <c r="AJ46" s="152" t="s">
        <v>575</v>
      </c>
      <c r="AK46" s="156"/>
      <c r="AL46" s="156"/>
      <c r="AM46" s="156"/>
      <c r="AN46" s="156"/>
      <c r="AO46" s="156"/>
      <c r="AP46" s="156"/>
      <c r="AQ46" s="156"/>
      <c r="AR46" s="156"/>
      <c r="AS46" s="156"/>
      <c r="AT46" s="156"/>
      <c r="AU46" s="156"/>
      <c r="AV46" s="156"/>
      <c r="AW46" s="156"/>
      <c r="AX46" s="156"/>
      <c r="AY46" s="156"/>
      <c r="AZ46" s="156"/>
      <c r="BA46" s="152">
        <v>2</v>
      </c>
      <c r="BB46" s="152" t="s">
        <v>329</v>
      </c>
      <c r="BC46" s="152" t="s">
        <v>329</v>
      </c>
      <c r="BD46" s="152"/>
      <c r="BE46" s="152">
        <v>2</v>
      </c>
      <c r="BF46" s="152"/>
      <c r="BG46" s="152" t="s">
        <v>329</v>
      </c>
      <c r="BH46" s="152" t="s">
        <v>329</v>
      </c>
      <c r="BI46" s="152"/>
      <c r="BJ46" s="152"/>
      <c r="BK46" s="152"/>
    </row>
    <row r="47" spans="1:63" ht="15">
      <c r="A47" s="156" t="s">
        <v>392</v>
      </c>
      <c r="B47" s="156"/>
      <c r="C47" s="156" t="s">
        <v>326</v>
      </c>
      <c r="D47" s="156" t="s">
        <v>49</v>
      </c>
      <c r="E47" s="152" t="s">
        <v>607</v>
      </c>
      <c r="F47" s="152">
        <v>2</v>
      </c>
      <c r="G47" s="152">
        <v>2</v>
      </c>
      <c r="H47" s="154">
        <v>15.36</v>
      </c>
      <c r="I47" s="31">
        <v>4096</v>
      </c>
      <c r="J47" s="152" t="s">
        <v>581</v>
      </c>
      <c r="K47" s="156" t="s">
        <v>579</v>
      </c>
      <c r="L47" s="152">
        <v>2.6</v>
      </c>
      <c r="M47" s="152"/>
      <c r="N47" s="152"/>
      <c r="O47" s="152"/>
      <c r="P47" s="152"/>
      <c r="Q47" s="1"/>
      <c r="R47" s="1"/>
      <c r="S47" s="1"/>
      <c r="T47" s="1"/>
      <c r="U47" s="152"/>
      <c r="V47" s="152"/>
      <c r="W47" s="152"/>
      <c r="X47" s="152"/>
      <c r="Y47" s="152"/>
      <c r="Z47" s="152"/>
      <c r="AA47" s="152"/>
      <c r="AB47" s="152"/>
      <c r="AC47" s="152"/>
      <c r="AD47" s="152"/>
      <c r="AE47" s="152"/>
      <c r="AF47" s="152"/>
      <c r="AG47" s="78">
        <f t="shared" si="2"/>
        <v>30.72</v>
      </c>
      <c r="AH47" s="152" t="s">
        <v>581</v>
      </c>
      <c r="AI47" s="156" t="s">
        <v>579</v>
      </c>
      <c r="AJ47" s="152" t="s">
        <v>575</v>
      </c>
      <c r="AK47" s="156"/>
      <c r="AL47" s="156"/>
      <c r="AM47" s="156"/>
      <c r="AN47" s="156"/>
      <c r="AO47" s="156"/>
      <c r="AP47" s="156"/>
      <c r="AQ47" s="156"/>
      <c r="AR47" s="156"/>
      <c r="AS47" s="156"/>
      <c r="AT47" s="156"/>
      <c r="AU47" s="156"/>
      <c r="AV47" s="156"/>
      <c r="AW47" s="156"/>
      <c r="AX47" s="156"/>
      <c r="AY47" s="156"/>
      <c r="AZ47" s="156"/>
      <c r="BA47" s="152">
        <v>2</v>
      </c>
      <c r="BB47" s="152" t="s">
        <v>329</v>
      </c>
      <c r="BC47" s="152"/>
      <c r="BD47" s="152"/>
      <c r="BE47" s="152">
        <v>2</v>
      </c>
      <c r="BF47" s="152"/>
      <c r="BG47" s="152" t="s">
        <v>329</v>
      </c>
      <c r="BH47" s="152" t="s">
        <v>329</v>
      </c>
      <c r="BI47" s="152"/>
      <c r="BJ47" s="152"/>
      <c r="BK47" s="152"/>
    </row>
    <row r="48" spans="1:63" ht="15">
      <c r="A48" s="156" t="s">
        <v>393</v>
      </c>
      <c r="B48" s="156"/>
      <c r="C48" s="156" t="s">
        <v>326</v>
      </c>
      <c r="D48" s="156" t="s">
        <v>49</v>
      </c>
      <c r="E48" s="152" t="s">
        <v>607</v>
      </c>
      <c r="F48" s="152">
        <v>2</v>
      </c>
      <c r="G48" s="152">
        <v>2</v>
      </c>
      <c r="H48" s="154">
        <v>15.36</v>
      </c>
      <c r="I48" s="31">
        <v>4096</v>
      </c>
      <c r="J48" s="152" t="s">
        <v>581</v>
      </c>
      <c r="K48" s="156" t="s">
        <v>579</v>
      </c>
      <c r="L48" s="152">
        <v>2.6</v>
      </c>
      <c r="M48" s="152"/>
      <c r="N48" s="152"/>
      <c r="O48" s="152"/>
      <c r="P48" s="152"/>
      <c r="Q48" s="1"/>
      <c r="R48" s="1"/>
      <c r="S48" s="1"/>
      <c r="T48" s="1"/>
      <c r="U48" s="152"/>
      <c r="V48" s="152"/>
      <c r="W48" s="152"/>
      <c r="X48" s="152"/>
      <c r="Y48" s="152"/>
      <c r="Z48" s="152"/>
      <c r="AA48" s="152"/>
      <c r="AB48" s="152"/>
      <c r="AC48" s="152"/>
      <c r="AD48" s="152"/>
      <c r="AE48" s="152"/>
      <c r="AF48" s="152"/>
      <c r="AG48" s="78">
        <f t="shared" si="2"/>
        <v>30.72</v>
      </c>
      <c r="AH48" s="152" t="s">
        <v>581</v>
      </c>
      <c r="AI48" s="156" t="s">
        <v>579</v>
      </c>
      <c r="AJ48" s="152" t="s">
        <v>575</v>
      </c>
      <c r="AK48" s="156"/>
      <c r="AL48" s="156"/>
      <c r="AM48" s="156"/>
      <c r="AN48" s="156"/>
      <c r="AO48" s="156"/>
      <c r="AP48" s="156"/>
      <c r="AQ48" s="156"/>
      <c r="AR48" s="156"/>
      <c r="AS48" s="156"/>
      <c r="AT48" s="156"/>
      <c r="AU48" s="156"/>
      <c r="AV48" s="156"/>
      <c r="AW48" s="156"/>
      <c r="AX48" s="156"/>
      <c r="AY48" s="156"/>
      <c r="AZ48" s="156"/>
      <c r="BA48" s="152">
        <v>2</v>
      </c>
      <c r="BB48" s="152" t="s">
        <v>329</v>
      </c>
      <c r="BC48" s="152"/>
      <c r="BD48" s="152"/>
      <c r="BE48" s="152">
        <v>2</v>
      </c>
      <c r="BF48" s="152"/>
      <c r="BG48" s="152" t="s">
        <v>329</v>
      </c>
      <c r="BH48" s="152" t="s">
        <v>329</v>
      </c>
      <c r="BI48" s="152"/>
      <c r="BJ48" s="152"/>
      <c r="BK48" s="152"/>
    </row>
    <row r="49" spans="1:64" ht="15">
      <c r="A49" s="156" t="s">
        <v>394</v>
      </c>
      <c r="B49" s="156"/>
      <c r="C49" s="156" t="s">
        <v>326</v>
      </c>
      <c r="D49" s="156" t="s">
        <v>53</v>
      </c>
      <c r="E49" s="152" t="s">
        <v>608</v>
      </c>
      <c r="F49" s="152">
        <v>6</v>
      </c>
      <c r="G49" s="152">
        <v>5</v>
      </c>
      <c r="H49" s="154">
        <v>40.96</v>
      </c>
      <c r="I49" s="31">
        <v>4096</v>
      </c>
      <c r="J49" s="152" t="s">
        <v>581</v>
      </c>
      <c r="K49" s="156" t="s">
        <v>579</v>
      </c>
      <c r="L49" s="152">
        <v>2.6</v>
      </c>
      <c r="M49" s="152"/>
      <c r="N49" s="152"/>
      <c r="O49" s="152"/>
      <c r="P49" s="152"/>
      <c r="Q49" s="1"/>
      <c r="R49" s="1"/>
      <c r="S49" s="1"/>
      <c r="T49" s="1"/>
      <c r="U49" s="152"/>
      <c r="V49" s="152"/>
      <c r="W49" s="152"/>
      <c r="X49" s="152"/>
      <c r="Y49" s="152"/>
      <c r="Z49" s="152"/>
      <c r="AA49" s="152"/>
      <c r="AB49" s="152"/>
      <c r="AC49" s="152"/>
      <c r="AD49" s="152"/>
      <c r="AE49" s="152"/>
      <c r="AF49" s="152"/>
      <c r="AG49" s="78">
        <f t="shared" si="2"/>
        <v>81.92</v>
      </c>
      <c r="AH49" s="152" t="s">
        <v>581</v>
      </c>
      <c r="AI49" s="156" t="s">
        <v>579</v>
      </c>
      <c r="AJ49" s="152" t="s">
        <v>575</v>
      </c>
      <c r="AK49" s="156"/>
      <c r="AL49" s="156"/>
      <c r="AM49" s="156"/>
      <c r="AN49" s="156"/>
      <c r="AO49" s="156"/>
      <c r="AP49" s="156"/>
      <c r="AQ49" s="156"/>
      <c r="AR49" s="156"/>
      <c r="AS49" s="156"/>
      <c r="AT49" s="156"/>
      <c r="AU49" s="156"/>
      <c r="AV49" s="156"/>
      <c r="AW49" s="156"/>
      <c r="AX49" s="156"/>
      <c r="AY49" s="156"/>
      <c r="AZ49" s="156"/>
      <c r="BA49" s="152">
        <v>2</v>
      </c>
      <c r="BB49" s="152" t="s">
        <v>329</v>
      </c>
      <c r="BC49" s="152"/>
      <c r="BD49" s="152"/>
      <c r="BE49" s="152">
        <v>2</v>
      </c>
      <c r="BF49" s="152"/>
      <c r="BG49" s="152" t="s">
        <v>329</v>
      </c>
      <c r="BH49" s="152" t="s">
        <v>329</v>
      </c>
      <c r="BI49" s="152"/>
      <c r="BJ49" s="152"/>
      <c r="BK49" s="152"/>
      <c r="BL49" s="156"/>
    </row>
    <row r="50" spans="1:64" ht="15">
      <c r="A50" s="156" t="s">
        <v>395</v>
      </c>
      <c r="B50" s="156"/>
      <c r="C50" s="156" t="s">
        <v>326</v>
      </c>
      <c r="D50" s="156" t="s">
        <v>57</v>
      </c>
      <c r="E50" s="13" t="s">
        <v>609</v>
      </c>
      <c r="F50" s="152">
        <v>2</v>
      </c>
      <c r="G50" s="152">
        <v>2</v>
      </c>
      <c r="H50" s="78">
        <v>30.72</v>
      </c>
      <c r="I50" s="31">
        <v>4096</v>
      </c>
      <c r="J50" s="152" t="s">
        <v>581</v>
      </c>
      <c r="K50" s="156" t="s">
        <v>579</v>
      </c>
      <c r="L50" s="152">
        <v>2.6</v>
      </c>
      <c r="M50" s="152"/>
      <c r="N50" s="152"/>
      <c r="O50" s="152"/>
      <c r="P50" s="152"/>
      <c r="Q50" s="1"/>
      <c r="R50" s="1"/>
      <c r="S50" s="1"/>
      <c r="T50" s="1"/>
      <c r="U50" s="152"/>
      <c r="V50" s="152"/>
      <c r="W50" s="152"/>
      <c r="X50" s="152"/>
      <c r="Y50" s="152"/>
      <c r="Z50" s="152"/>
      <c r="AA50" s="152"/>
      <c r="AB50" s="152"/>
      <c r="AC50" s="152"/>
      <c r="AD50" s="152"/>
      <c r="AE50" s="152"/>
      <c r="AF50" s="152"/>
      <c r="AG50" s="78">
        <f t="shared" si="2"/>
        <v>61.44</v>
      </c>
      <c r="AH50" s="152" t="s">
        <v>581</v>
      </c>
      <c r="AI50" s="13" t="s">
        <v>579</v>
      </c>
      <c r="AJ50" s="8" t="s">
        <v>575</v>
      </c>
      <c r="AK50" s="13"/>
      <c r="AL50" s="13"/>
      <c r="AM50" s="13"/>
      <c r="AN50" s="13"/>
      <c r="AO50" s="13"/>
      <c r="AP50" s="13"/>
      <c r="AQ50" s="13"/>
      <c r="AR50" s="13"/>
      <c r="AS50" s="13"/>
      <c r="AT50" s="13"/>
      <c r="AU50" s="13"/>
      <c r="AV50" s="13"/>
      <c r="AW50" s="13"/>
      <c r="AX50" s="13"/>
      <c r="AY50" s="13"/>
      <c r="AZ50" s="13"/>
      <c r="BA50" s="8">
        <v>2</v>
      </c>
      <c r="BB50" s="8" t="s">
        <v>329</v>
      </c>
      <c r="BC50" s="8"/>
      <c r="BD50" s="8"/>
      <c r="BE50" s="8">
        <v>2</v>
      </c>
      <c r="BF50" s="8"/>
      <c r="BG50" s="8" t="s">
        <v>329</v>
      </c>
      <c r="BH50" s="8" t="s">
        <v>329</v>
      </c>
      <c r="BI50" s="8"/>
      <c r="BJ50" s="8"/>
      <c r="BK50" s="8"/>
      <c r="BL50" s="13"/>
    </row>
    <row r="51" spans="1:64">
      <c r="A51" s="10"/>
      <c r="B51" s="10"/>
      <c r="C51" s="10"/>
      <c r="D51" s="10"/>
      <c r="E51" s="152"/>
      <c r="F51" s="9">
        <f>SUM(F36:F50)+F32</f>
        <v>155</v>
      </c>
      <c r="G51" s="9">
        <f>SUM(G36:G50)+G32</f>
        <v>337</v>
      </c>
      <c r="H51" s="80">
        <f>SUM(H36:H50)+H32</f>
        <v>2837.84</v>
      </c>
      <c r="I51" s="34"/>
      <c r="J51" s="80"/>
      <c r="K51" s="80"/>
      <c r="L51" s="80">
        <f>L32+SUM(L36:L50)</f>
        <v>818.60000000000036</v>
      </c>
      <c r="M51" s="80">
        <f>SUM(M36:M50)+M32</f>
        <v>60.83</v>
      </c>
      <c r="N51" s="80"/>
      <c r="O51" s="80"/>
      <c r="P51" s="80">
        <f>P32+SUM(P36:P50)</f>
        <v>0.05</v>
      </c>
      <c r="Q51" s="80">
        <f>SUM(Q36:Q50)+Q32</f>
        <v>691.2</v>
      </c>
      <c r="R51" s="80"/>
      <c r="S51" s="80"/>
      <c r="T51" s="80">
        <f>T32+SUM(T36:T50)</f>
        <v>0.05</v>
      </c>
      <c r="U51" s="80">
        <f>SUM(U36:U50)+U32</f>
        <v>1036.8</v>
      </c>
      <c r="V51" s="80"/>
      <c r="W51" s="80"/>
      <c r="X51" s="80">
        <f>X32+SUM(X36:X50)</f>
        <v>0.05</v>
      </c>
      <c r="Y51" s="80">
        <f>SUM(Y36:Y50)+Y32</f>
        <v>247.80799999999999</v>
      </c>
      <c r="Z51" s="80"/>
      <c r="AA51" s="80"/>
      <c r="AB51" s="80">
        <f>AB32+SUM(AB36:AB50)</f>
        <v>0.1</v>
      </c>
      <c r="AC51" s="80">
        <f>SUM(AC36:AC50)+AC32</f>
        <v>276.48</v>
      </c>
      <c r="AD51" s="80"/>
      <c r="AE51" s="80"/>
      <c r="AF51" s="80">
        <f>AF32+SUM(AF36:AF50)</f>
        <v>0</v>
      </c>
      <c r="AG51" s="80">
        <f>SUM(AG36:AG50)+AG32</f>
        <v>8824.9599999999991</v>
      </c>
      <c r="AH51" s="80"/>
      <c r="AI51" s="78"/>
      <c r="AJ51" s="78"/>
      <c r="AK51" s="78">
        <f>SUM(AK36:AK50)+AK32</f>
        <v>92.16</v>
      </c>
      <c r="AL51" s="78"/>
      <c r="AM51" s="78"/>
      <c r="AN51" s="78">
        <f>AN32+SUM(AN36:AN50)</f>
        <v>0.1</v>
      </c>
      <c r="AO51" s="78">
        <f>SUM(AO36:AO50)+AO32</f>
        <v>51.2</v>
      </c>
      <c r="AP51" s="78"/>
      <c r="AQ51" s="78"/>
      <c r="AR51" s="78">
        <f>AR32+SUM(AR36:AR50)</f>
        <v>0.05</v>
      </c>
      <c r="AS51" s="78"/>
      <c r="AT51" s="78"/>
      <c r="AU51" s="78"/>
      <c r="AV51" s="78"/>
      <c r="AW51" s="78"/>
      <c r="AX51" s="78"/>
      <c r="AY51" s="78"/>
      <c r="AZ51" s="78"/>
      <c r="BA51" s="152">
        <f>BA32+SUM(BA36:BA50)</f>
        <v>101</v>
      </c>
      <c r="BB51" s="152">
        <f>BB32+COUNTIF(BB36:BB50,"x")</f>
        <v>38</v>
      </c>
      <c r="BC51" s="152">
        <f>3</f>
        <v>3</v>
      </c>
      <c r="BD51" s="152">
        <v>1</v>
      </c>
      <c r="BE51" s="152">
        <f>BE32+SUM(BE36:BE50)</f>
        <v>76</v>
      </c>
      <c r="BF51" s="152">
        <v>1</v>
      </c>
      <c r="BG51" s="152">
        <f>BG32+COUNTIF(BG36:BG50,"x")</f>
        <v>15</v>
      </c>
      <c r="BH51" s="152">
        <f>BH32+COUNTIF(BH36:BH50,"x")</f>
        <v>38</v>
      </c>
      <c r="BI51" s="152" t="s">
        <v>601</v>
      </c>
      <c r="BJ51" s="152">
        <v>2</v>
      </c>
      <c r="BK51" s="152">
        <v>4</v>
      </c>
      <c r="BL51" s="152">
        <v>2</v>
      </c>
    </row>
    <row r="52" spans="1:64" ht="15">
      <c r="A52" s="156"/>
      <c r="B52" s="156"/>
      <c r="C52" s="156"/>
      <c r="D52" s="156"/>
      <c r="E52" s="1"/>
      <c r="F52" s="156"/>
      <c r="G52" s="156"/>
      <c r="H52" s="156"/>
      <c r="I52" s="45"/>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156"/>
      <c r="AX52" s="156"/>
      <c r="AY52" s="156"/>
      <c r="AZ52" s="156"/>
      <c r="BA52" s="152"/>
      <c r="BB52" s="156"/>
      <c r="BC52" s="156"/>
      <c r="BD52" s="156"/>
      <c r="BE52" s="156"/>
      <c r="BF52" s="156"/>
      <c r="BG52" s="156"/>
      <c r="BH52" s="156"/>
      <c r="BI52" s="156"/>
      <c r="BJ52" s="156"/>
      <c r="BK52" s="156"/>
      <c r="BL52" s="156"/>
    </row>
    <row r="53" spans="1:64" ht="15">
      <c r="A53" s="7" t="s">
        <v>610</v>
      </c>
      <c r="B53" s="156"/>
      <c r="C53" s="156"/>
      <c r="D53" s="156"/>
      <c r="E53" s="1"/>
      <c r="F53" s="156"/>
      <c r="G53" s="156"/>
      <c r="H53" s="156"/>
      <c r="I53" s="45"/>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c r="AW53" s="156"/>
      <c r="AX53" s="156"/>
      <c r="AY53" s="156"/>
      <c r="AZ53" s="156"/>
      <c r="BA53" s="152"/>
      <c r="BB53" s="156"/>
      <c r="BC53" s="156"/>
      <c r="BD53" s="156"/>
      <c r="BE53" s="156"/>
      <c r="BF53" s="156"/>
      <c r="BG53" s="156"/>
      <c r="BH53" s="156"/>
      <c r="BI53" s="156"/>
      <c r="BJ53" s="156"/>
      <c r="BK53" s="156"/>
      <c r="BL53" s="156"/>
    </row>
    <row r="54" spans="1:64" ht="15">
      <c r="A54" s="156"/>
      <c r="B54" s="156"/>
      <c r="C54" s="156"/>
      <c r="D54" s="156"/>
      <c r="E54" s="1"/>
      <c r="F54" s="156"/>
      <c r="G54" s="156"/>
      <c r="H54" s="156"/>
      <c r="I54" s="45"/>
      <c r="J54" s="156"/>
      <c r="K54" s="156"/>
      <c r="L54" s="156"/>
      <c r="M54" s="156"/>
      <c r="N54" s="156"/>
      <c r="O54" s="156"/>
      <c r="P54" s="156"/>
      <c r="Q54" s="156"/>
      <c r="R54" s="156"/>
      <c r="S54" s="156"/>
      <c r="T54" s="156"/>
      <c r="U54" s="156"/>
      <c r="V54" s="156"/>
      <c r="W54" s="156"/>
      <c r="X54" s="156"/>
      <c r="Y54" s="156"/>
      <c r="Z54" s="156"/>
      <c r="AA54" s="156"/>
      <c r="AB54" s="156"/>
      <c r="AC54" s="156"/>
      <c r="AD54" s="156"/>
      <c r="AE54" s="156"/>
      <c r="AF54" s="156"/>
      <c r="AG54" s="152"/>
      <c r="AH54" s="156"/>
      <c r="AI54" s="156"/>
      <c r="AJ54" s="156"/>
      <c r="AK54" s="156"/>
      <c r="AL54" s="156"/>
      <c r="AM54" s="156"/>
      <c r="AN54" s="156"/>
      <c r="AO54" s="156"/>
      <c r="AP54" s="156"/>
      <c r="AQ54" s="156"/>
      <c r="AR54" s="156"/>
      <c r="AS54" s="156"/>
      <c r="AT54" s="156"/>
      <c r="AU54" s="156"/>
      <c r="AV54" s="156"/>
      <c r="AW54" s="156"/>
      <c r="AX54" s="156"/>
      <c r="AY54" s="156"/>
      <c r="AZ54" s="156"/>
      <c r="BA54" s="152"/>
      <c r="BB54" s="156"/>
      <c r="BC54" s="156"/>
      <c r="BD54" s="156"/>
      <c r="BE54" s="156"/>
      <c r="BF54" s="156"/>
      <c r="BG54" s="156"/>
      <c r="BH54" s="156"/>
      <c r="BI54" s="156"/>
      <c r="BJ54" s="156"/>
      <c r="BK54" s="156"/>
      <c r="BL54" s="156"/>
    </row>
    <row r="55" spans="1:64">
      <c r="A55" s="156" t="s">
        <v>425</v>
      </c>
      <c r="B55" s="156"/>
      <c r="C55" s="156" t="s">
        <v>326</v>
      </c>
      <c r="D55" s="156" t="s">
        <v>8</v>
      </c>
      <c r="E55" s="152" t="s">
        <v>611</v>
      </c>
      <c r="F55" s="152">
        <v>2</v>
      </c>
      <c r="G55" s="152">
        <v>4</v>
      </c>
      <c r="H55" s="154">
        <v>71.900000000000006</v>
      </c>
      <c r="I55" s="31">
        <v>4096</v>
      </c>
      <c r="J55" s="152" t="s">
        <v>581</v>
      </c>
      <c r="K55" s="156" t="s">
        <v>579</v>
      </c>
      <c r="L55" s="152">
        <v>2.6</v>
      </c>
      <c r="M55" s="152"/>
      <c r="N55" s="152"/>
      <c r="O55" s="152"/>
      <c r="P55" s="152"/>
      <c r="Q55" s="152"/>
      <c r="R55" s="152"/>
      <c r="S55" s="152"/>
      <c r="T55" s="152"/>
      <c r="U55" s="152"/>
      <c r="V55" s="152"/>
      <c r="W55" s="152"/>
      <c r="X55" s="152"/>
      <c r="Y55" s="152"/>
      <c r="Z55" s="152"/>
      <c r="AA55" s="152"/>
      <c r="AB55" s="152"/>
      <c r="AC55" s="152"/>
      <c r="AD55" s="152"/>
      <c r="AE55" s="152"/>
      <c r="AF55" s="152"/>
      <c r="AG55" s="152">
        <f>2*H55</f>
        <v>143.80000000000001</v>
      </c>
      <c r="AH55" s="152" t="s">
        <v>581</v>
      </c>
      <c r="AI55" s="156" t="s">
        <v>579</v>
      </c>
      <c r="AJ55" s="152" t="s">
        <v>575</v>
      </c>
      <c r="AK55" s="156"/>
      <c r="AL55" s="156"/>
      <c r="AM55" s="156"/>
      <c r="AN55" s="156"/>
      <c r="AO55" s="156"/>
      <c r="AP55" s="156"/>
      <c r="AQ55" s="156"/>
      <c r="AR55" s="156"/>
      <c r="AS55" s="156"/>
      <c r="AT55" s="156"/>
      <c r="AU55" s="156"/>
      <c r="AV55" s="156"/>
      <c r="AW55" s="156"/>
      <c r="AX55" s="156"/>
      <c r="AY55" s="156"/>
      <c r="AZ55" s="156"/>
      <c r="BA55" s="152">
        <v>2</v>
      </c>
      <c r="BB55" s="152" t="s">
        <v>329</v>
      </c>
      <c r="BC55" s="152"/>
      <c r="BD55" s="152"/>
      <c r="BE55" s="152">
        <v>2</v>
      </c>
      <c r="BF55" s="152"/>
      <c r="BG55" s="152" t="s">
        <v>329</v>
      </c>
      <c r="BH55" s="152" t="s">
        <v>329</v>
      </c>
      <c r="BI55" s="152"/>
      <c r="BJ55" s="152"/>
      <c r="BK55" s="152"/>
      <c r="BL55" s="156"/>
    </row>
    <row r="56" spans="1:64">
      <c r="A56" s="156" t="s">
        <v>429</v>
      </c>
      <c r="B56" s="156"/>
      <c r="C56" s="156" t="s">
        <v>326</v>
      </c>
      <c r="D56" s="156" t="s">
        <v>430</v>
      </c>
      <c r="E56" s="152" t="s">
        <v>612</v>
      </c>
      <c r="F56" s="152">
        <v>6</v>
      </c>
      <c r="G56" s="152">
        <v>10</v>
      </c>
      <c r="H56" s="78">
        <v>102.4</v>
      </c>
      <c r="I56" s="31">
        <v>16384</v>
      </c>
      <c r="J56" s="152" t="s">
        <v>581</v>
      </c>
      <c r="K56" s="156" t="s">
        <v>579</v>
      </c>
      <c r="L56" s="152">
        <v>2.6</v>
      </c>
      <c r="M56" s="152"/>
      <c r="N56" s="152"/>
      <c r="O56" s="152"/>
      <c r="P56" s="152"/>
      <c r="Q56" s="154">
        <v>204.8</v>
      </c>
      <c r="R56" s="154" t="s">
        <v>581</v>
      </c>
      <c r="S56" s="156" t="s">
        <v>579</v>
      </c>
      <c r="T56" s="154" t="s">
        <v>575</v>
      </c>
      <c r="U56" s="154"/>
      <c r="V56" s="154"/>
      <c r="W56" s="154"/>
      <c r="X56" s="154"/>
      <c r="Y56" s="156"/>
      <c r="Z56" s="156"/>
      <c r="AA56" s="156"/>
      <c r="AB56" s="154" t="s">
        <v>575</v>
      </c>
      <c r="AC56" s="152"/>
      <c r="AD56" s="152"/>
      <c r="AE56" s="152"/>
      <c r="AF56" s="152"/>
      <c r="AG56" s="152">
        <f>2*H56+Q56*2</f>
        <v>614.40000000000009</v>
      </c>
      <c r="AH56" s="152" t="s">
        <v>581</v>
      </c>
      <c r="AI56" s="156" t="s">
        <v>579</v>
      </c>
      <c r="AJ56" s="152" t="s">
        <v>575</v>
      </c>
      <c r="AK56" s="156"/>
      <c r="AL56" s="156"/>
      <c r="AM56" s="156"/>
      <c r="AN56" s="156"/>
      <c r="AO56" s="156"/>
      <c r="AP56" s="156"/>
      <c r="AQ56" s="156"/>
      <c r="AR56" s="156"/>
      <c r="AS56" s="156"/>
      <c r="AT56" s="156"/>
      <c r="AU56" s="156"/>
      <c r="AV56" s="156"/>
      <c r="AW56" s="156"/>
      <c r="AX56" s="156"/>
      <c r="AY56" s="156"/>
      <c r="AZ56" s="156"/>
      <c r="BA56" s="152">
        <v>3</v>
      </c>
      <c r="BB56" s="152" t="s">
        <v>329</v>
      </c>
      <c r="BC56" s="152"/>
      <c r="BD56" s="152"/>
      <c r="BE56" s="152">
        <v>2</v>
      </c>
      <c r="BF56" s="152"/>
      <c r="BG56" s="152" t="s">
        <v>329</v>
      </c>
      <c r="BH56" s="152" t="s">
        <v>329</v>
      </c>
      <c r="BI56" s="152"/>
      <c r="BJ56" s="152"/>
      <c r="BK56" s="152"/>
      <c r="BL56" s="156"/>
    </row>
    <row r="57" spans="1:64">
      <c r="A57" s="156" t="s">
        <v>432</v>
      </c>
      <c r="B57" s="156"/>
      <c r="C57" s="156" t="s">
        <v>326</v>
      </c>
      <c r="D57" s="156" t="s">
        <v>433</v>
      </c>
      <c r="E57" s="152" t="s">
        <v>613</v>
      </c>
      <c r="F57" s="152">
        <v>8</v>
      </c>
      <c r="G57" s="152">
        <v>16</v>
      </c>
      <c r="H57" s="154">
        <v>61.44</v>
      </c>
      <c r="I57" s="31">
        <v>4096</v>
      </c>
      <c r="J57" s="152" t="s">
        <v>581</v>
      </c>
      <c r="K57" s="156" t="s">
        <v>579</v>
      </c>
      <c r="L57" s="152">
        <v>2.6</v>
      </c>
      <c r="M57" s="152"/>
      <c r="N57" s="152"/>
      <c r="O57" s="152"/>
      <c r="P57" s="152"/>
      <c r="Q57" s="154"/>
      <c r="R57" s="154"/>
      <c r="S57" s="154"/>
      <c r="T57" s="154"/>
      <c r="U57" s="154"/>
      <c r="V57" s="154"/>
      <c r="W57" s="154"/>
      <c r="X57" s="154"/>
      <c r="Y57" s="154"/>
      <c r="Z57" s="154"/>
      <c r="AA57" s="154"/>
      <c r="AB57" s="154"/>
      <c r="AC57" s="152"/>
      <c r="AD57" s="152"/>
      <c r="AE57" s="152"/>
      <c r="AF57" s="152"/>
      <c r="AG57" s="152">
        <f>2*H57</f>
        <v>122.88</v>
      </c>
      <c r="AH57" s="152" t="s">
        <v>581</v>
      </c>
      <c r="AI57" s="156" t="s">
        <v>579</v>
      </c>
      <c r="AJ57" s="152" t="s">
        <v>575</v>
      </c>
      <c r="AK57" s="156"/>
      <c r="AL57" s="156"/>
      <c r="AM57" s="156"/>
      <c r="AN57" s="156"/>
      <c r="AO57" s="156"/>
      <c r="AP57" s="156"/>
      <c r="AQ57" s="156"/>
      <c r="AR57" s="156"/>
      <c r="AS57" s="156"/>
      <c r="AT57" s="156"/>
      <c r="AU57" s="156"/>
      <c r="AV57" s="156"/>
      <c r="AW57" s="156"/>
      <c r="AX57" s="156"/>
      <c r="AY57" s="156"/>
      <c r="AZ57" s="156"/>
      <c r="BA57" s="152">
        <v>2</v>
      </c>
      <c r="BB57" s="152" t="s">
        <v>329</v>
      </c>
      <c r="BC57" s="152"/>
      <c r="BD57" s="152"/>
      <c r="BE57" s="152">
        <v>2</v>
      </c>
      <c r="BF57" s="152"/>
      <c r="BG57" s="152" t="s">
        <v>329</v>
      </c>
      <c r="BH57" s="152" t="s">
        <v>329</v>
      </c>
      <c r="BI57" s="152"/>
      <c r="BJ57" s="152"/>
      <c r="BK57" s="152"/>
      <c r="BL57" s="156"/>
    </row>
    <row r="58" spans="1:64">
      <c r="A58" s="156" t="s">
        <v>435</v>
      </c>
      <c r="B58" s="156"/>
      <c r="C58" s="156" t="s">
        <v>326</v>
      </c>
      <c r="D58" s="156" t="s">
        <v>436</v>
      </c>
      <c r="E58" s="152" t="s">
        <v>614</v>
      </c>
      <c r="F58" s="152">
        <v>10</v>
      </c>
      <c r="G58" s="152">
        <v>10</v>
      </c>
      <c r="H58" s="78">
        <v>30.72</v>
      </c>
      <c r="I58" s="31">
        <v>4096</v>
      </c>
      <c r="J58" s="152" t="s">
        <v>581</v>
      </c>
      <c r="K58" s="156" t="s">
        <v>579</v>
      </c>
      <c r="L58" s="152">
        <v>2.6</v>
      </c>
      <c r="M58" s="152"/>
      <c r="N58" s="152"/>
      <c r="O58" s="152"/>
      <c r="P58" s="152"/>
      <c r="Q58" s="154"/>
      <c r="R58" s="154"/>
      <c r="S58" s="154"/>
      <c r="T58" s="154"/>
      <c r="U58" s="154"/>
      <c r="V58" s="154"/>
      <c r="W58" s="154"/>
      <c r="X58" s="154"/>
      <c r="Y58" s="154"/>
      <c r="Z58" s="154"/>
      <c r="AA58" s="154"/>
      <c r="AB58" s="154"/>
      <c r="AC58" s="152"/>
      <c r="AD58" s="152"/>
      <c r="AE58" s="152"/>
      <c r="AF58" s="152"/>
      <c r="AG58" s="152">
        <f>2*H58</f>
        <v>61.44</v>
      </c>
      <c r="AH58" s="152" t="s">
        <v>581</v>
      </c>
      <c r="AI58" s="156" t="s">
        <v>579</v>
      </c>
      <c r="AJ58" s="152" t="s">
        <v>575</v>
      </c>
      <c r="AK58" s="156"/>
      <c r="AL58" s="156"/>
      <c r="AM58" s="156"/>
      <c r="AN58" s="156"/>
      <c r="AO58" s="156"/>
      <c r="AP58" s="156"/>
      <c r="AQ58" s="156"/>
      <c r="AR58" s="156"/>
      <c r="AS58" s="156"/>
      <c r="AT58" s="156"/>
      <c r="AU58" s="156"/>
      <c r="AV58" s="156"/>
      <c r="AW58" s="156"/>
      <c r="AX58" s="156"/>
      <c r="AY58" s="156"/>
      <c r="AZ58" s="156"/>
      <c r="BA58" s="152">
        <v>2</v>
      </c>
      <c r="BB58" s="152" t="s">
        <v>329</v>
      </c>
      <c r="BC58" s="152"/>
      <c r="BD58" s="152"/>
      <c r="BE58" s="152">
        <v>2</v>
      </c>
      <c r="BF58" s="152"/>
      <c r="BG58" s="152" t="s">
        <v>329</v>
      </c>
      <c r="BH58" s="152" t="s">
        <v>329</v>
      </c>
      <c r="BI58" s="152"/>
      <c r="BJ58" s="152"/>
      <c r="BK58" s="152"/>
      <c r="BL58" s="156"/>
    </row>
    <row r="59" spans="1:64">
      <c r="A59" s="156" t="s">
        <v>437</v>
      </c>
      <c r="B59" s="156"/>
      <c r="C59" s="156" t="s">
        <v>326</v>
      </c>
      <c r="D59" s="156" t="s">
        <v>438</v>
      </c>
      <c r="E59" s="152" t="s">
        <v>615</v>
      </c>
      <c r="F59" s="152">
        <v>4</v>
      </c>
      <c r="G59" s="152">
        <v>16</v>
      </c>
      <c r="H59" s="154">
        <v>563.20000000000005</v>
      </c>
      <c r="I59" s="31">
        <v>4096</v>
      </c>
      <c r="J59" s="152" t="s">
        <v>581</v>
      </c>
      <c r="K59" s="156" t="s">
        <v>579</v>
      </c>
      <c r="L59" s="152">
        <v>2.6</v>
      </c>
      <c r="M59" s="152"/>
      <c r="N59" s="152"/>
      <c r="O59" s="152"/>
      <c r="P59" s="152"/>
      <c r="Q59" s="156"/>
      <c r="R59" s="154"/>
      <c r="S59" s="156"/>
      <c r="T59" s="154"/>
      <c r="U59" s="154"/>
      <c r="V59" s="154"/>
      <c r="W59" s="154"/>
      <c r="X59" s="154"/>
      <c r="Y59" s="154"/>
      <c r="Z59" s="154"/>
      <c r="AA59" s="154"/>
      <c r="AB59" s="154"/>
      <c r="AC59" s="152"/>
      <c r="AD59" s="152"/>
      <c r="AE59" s="152"/>
      <c r="AF59" s="152"/>
      <c r="AG59" s="152">
        <f>2*H59</f>
        <v>1126.4000000000001</v>
      </c>
      <c r="AH59" s="152" t="s">
        <v>581</v>
      </c>
      <c r="AI59" s="156" t="s">
        <v>579</v>
      </c>
      <c r="AJ59" s="152" t="s">
        <v>575</v>
      </c>
      <c r="AK59" s="156"/>
      <c r="AL59" s="156"/>
      <c r="AM59" s="156"/>
      <c r="AN59" s="156"/>
      <c r="AO59" s="156"/>
      <c r="AP59" s="156"/>
      <c r="AQ59" s="156"/>
      <c r="AR59" s="156"/>
      <c r="AS59" s="156"/>
      <c r="AT59" s="156"/>
      <c r="AU59" s="156"/>
      <c r="AV59" s="156"/>
      <c r="AW59" s="156"/>
      <c r="AX59" s="156"/>
      <c r="AY59" s="156"/>
      <c r="AZ59" s="156"/>
      <c r="BA59" s="152">
        <v>2</v>
      </c>
      <c r="BB59" s="152" t="s">
        <v>329</v>
      </c>
      <c r="BC59" s="152"/>
      <c r="BD59" s="152"/>
      <c r="BE59" s="152">
        <v>2</v>
      </c>
      <c r="BF59" s="152"/>
      <c r="BG59" s="152" t="s">
        <v>329</v>
      </c>
      <c r="BH59" s="152" t="s">
        <v>329</v>
      </c>
      <c r="BI59" s="152"/>
      <c r="BJ59" s="152"/>
      <c r="BK59" s="152"/>
      <c r="BL59" s="156"/>
    </row>
    <row r="60" spans="1:64">
      <c r="A60" s="13" t="s">
        <v>440</v>
      </c>
      <c r="B60" s="13"/>
      <c r="C60" s="13" t="s">
        <v>326</v>
      </c>
      <c r="D60" s="13" t="s">
        <v>441</v>
      </c>
      <c r="E60" s="8" t="s">
        <v>616</v>
      </c>
      <c r="F60" s="8">
        <v>2</v>
      </c>
      <c r="G60" s="8">
        <v>4</v>
      </c>
      <c r="H60" s="79">
        <v>40.96</v>
      </c>
      <c r="I60" s="90">
        <v>4096</v>
      </c>
      <c r="J60" s="8" t="s">
        <v>581</v>
      </c>
      <c r="K60" s="156" t="s">
        <v>579</v>
      </c>
      <c r="L60" s="8">
        <v>2.6</v>
      </c>
      <c r="M60" s="8"/>
      <c r="N60" s="8"/>
      <c r="O60" s="8"/>
      <c r="P60" s="8"/>
      <c r="Q60" s="36"/>
      <c r="R60" s="36"/>
      <c r="S60" s="13"/>
      <c r="T60" s="36"/>
      <c r="U60" s="36"/>
      <c r="V60" s="36"/>
      <c r="W60" s="36"/>
      <c r="X60" s="36"/>
      <c r="Y60" s="36">
        <v>51.2</v>
      </c>
      <c r="Z60" s="36" t="s">
        <v>581</v>
      </c>
      <c r="AA60" s="13" t="s">
        <v>579</v>
      </c>
      <c r="AB60" s="36"/>
      <c r="AC60" s="8"/>
      <c r="AD60" s="8"/>
      <c r="AE60" s="8"/>
      <c r="AF60" s="8"/>
      <c r="AG60" s="8">
        <f>H60*2+Y60*2</f>
        <v>184.32</v>
      </c>
      <c r="AH60" s="8" t="s">
        <v>581</v>
      </c>
      <c r="AI60" s="13" t="s">
        <v>579</v>
      </c>
      <c r="AJ60" s="8" t="s">
        <v>575</v>
      </c>
      <c r="AK60" s="13"/>
      <c r="AL60" s="13"/>
      <c r="AM60" s="13"/>
      <c r="AN60" s="13"/>
      <c r="AO60" s="13"/>
      <c r="AP60" s="13"/>
      <c r="AQ60" s="13"/>
      <c r="AR60" s="13"/>
      <c r="AS60" s="13"/>
      <c r="AT60" s="13"/>
      <c r="AU60" s="13"/>
      <c r="AV60" s="13"/>
      <c r="AW60" s="13"/>
      <c r="AX60" s="13"/>
      <c r="AY60" s="13"/>
      <c r="AZ60" s="13"/>
      <c r="BA60" s="8">
        <v>3</v>
      </c>
      <c r="BB60" s="8" t="s">
        <v>329</v>
      </c>
      <c r="BC60" s="8"/>
      <c r="BD60" s="8"/>
      <c r="BE60" s="8">
        <v>2</v>
      </c>
      <c r="BF60" s="8"/>
      <c r="BG60" s="8" t="s">
        <v>329</v>
      </c>
      <c r="BH60" s="8" t="s">
        <v>329</v>
      </c>
      <c r="BI60" s="8"/>
      <c r="BJ60" s="8"/>
      <c r="BK60" s="8"/>
      <c r="BL60" s="13"/>
    </row>
    <row r="61" spans="1:64">
      <c r="A61" s="156"/>
      <c r="B61" s="156"/>
      <c r="C61" s="156"/>
      <c r="D61" s="156"/>
      <c r="E61" s="152"/>
      <c r="F61" s="152">
        <f>F51+SUM(F55:F60)</f>
        <v>187</v>
      </c>
      <c r="G61" s="152">
        <f>G51+SUM(G55:G60)</f>
        <v>397</v>
      </c>
      <c r="H61" s="78">
        <f>H51+SUM(H55:H60)</f>
        <v>3708.46</v>
      </c>
      <c r="I61" s="78"/>
      <c r="J61" s="78"/>
      <c r="K61" s="78"/>
      <c r="L61" s="78">
        <f>L51+SUM(L55:L60)</f>
        <v>834.20000000000039</v>
      </c>
      <c r="M61" s="78">
        <f>M51+SUM(M55:M60)</f>
        <v>60.83</v>
      </c>
      <c r="N61" s="78"/>
      <c r="O61" s="78"/>
      <c r="P61" s="78">
        <f>P51+SUM(P55:P60)</f>
        <v>0.05</v>
      </c>
      <c r="Q61" s="78">
        <f>Q51+SUM(Q55:Q60)</f>
        <v>896</v>
      </c>
      <c r="R61" s="78"/>
      <c r="S61" s="78"/>
      <c r="T61" s="78">
        <f>T51+SUM(T55:T60)</f>
        <v>0.05</v>
      </c>
      <c r="U61" s="78">
        <f>U51+SUM(U55:U60)</f>
        <v>1036.8</v>
      </c>
      <c r="V61" s="78"/>
      <c r="W61" s="78"/>
      <c r="X61" s="78">
        <f>X51+SUM(X55:X60)</f>
        <v>0.05</v>
      </c>
      <c r="Y61" s="78">
        <f>Y51+SUM(Y55:Y60)</f>
        <v>299.00799999999998</v>
      </c>
      <c r="Z61" s="78"/>
      <c r="AA61" s="78"/>
      <c r="AB61" s="78">
        <f>AB51+SUM(AB55:AB60)</f>
        <v>0.1</v>
      </c>
      <c r="AC61" s="78">
        <f>SUM(AC55:AC60)+AC51</f>
        <v>276.48</v>
      </c>
      <c r="AD61" s="78"/>
      <c r="AE61" s="78"/>
      <c r="AF61" s="78">
        <f>AF51+SUM(AF55:AF60)</f>
        <v>0</v>
      </c>
      <c r="AG61" s="78">
        <f>AG51+SUM(AG55:AG60)</f>
        <v>11078.199999999999</v>
      </c>
      <c r="AH61" s="78"/>
      <c r="AI61" s="78"/>
      <c r="AJ61" s="78"/>
      <c r="AK61" s="78">
        <f>AK51+SUM(AK55:AK60)</f>
        <v>92.16</v>
      </c>
      <c r="AL61" s="152"/>
      <c r="AM61" s="152"/>
      <c r="AN61" s="78">
        <f>AN51+SUM(AN55:AN60)</f>
        <v>0.1</v>
      </c>
      <c r="AO61" s="78">
        <f>AO51+SUM(AO55:AO60)</f>
        <v>51.2</v>
      </c>
      <c r="AP61" s="152"/>
      <c r="AQ61" s="152"/>
      <c r="AR61" s="78">
        <f>AR51+SUM(AR55:AR60)</f>
        <v>0.05</v>
      </c>
      <c r="AS61" s="78"/>
      <c r="AT61" s="78"/>
      <c r="AU61" s="78"/>
      <c r="AV61" s="78"/>
      <c r="AW61" s="78"/>
      <c r="AX61" s="78"/>
      <c r="AY61" s="78"/>
      <c r="AZ61" s="78"/>
      <c r="BA61" s="152">
        <f>BA51+SUM(BA55:BA60)</f>
        <v>115</v>
      </c>
      <c r="BB61" s="152">
        <f>BB51+COUNTIF(BB55:BB60,"x")</f>
        <v>44</v>
      </c>
      <c r="BC61" s="152">
        <v>3</v>
      </c>
      <c r="BD61" s="152">
        <v>1</v>
      </c>
      <c r="BE61" s="152">
        <f>BE51+SUM(BE55:BE60)</f>
        <v>88</v>
      </c>
      <c r="BF61" s="152">
        <v>1</v>
      </c>
      <c r="BG61" s="152">
        <f>BG51+COUNTIF(BG55:BG60,"x")</f>
        <v>21</v>
      </c>
      <c r="BH61" s="152">
        <f>BH51+COUNTIF(BH55:BH60,"x")</f>
        <v>44</v>
      </c>
      <c r="BI61" s="152" t="s">
        <v>601</v>
      </c>
      <c r="BJ61" s="152">
        <v>2</v>
      </c>
      <c r="BK61" s="152">
        <v>4</v>
      </c>
      <c r="BL61" s="152">
        <v>2</v>
      </c>
    </row>
    <row r="83" spans="1:6">
      <c r="A83" s="139"/>
      <c r="B83" s="140" t="s">
        <v>473</v>
      </c>
      <c r="C83" s="141" t="s">
        <v>474</v>
      </c>
      <c r="D83" s="141" t="s">
        <v>475</v>
      </c>
      <c r="E83" s="140" t="s">
        <v>476</v>
      </c>
      <c r="F83" s="141" t="s">
        <v>477</v>
      </c>
    </row>
    <row r="84" spans="1:6">
      <c r="A84" s="142" t="s">
        <v>479</v>
      </c>
      <c r="B84" s="139">
        <v>691.2</v>
      </c>
      <c r="C84" s="139">
        <v>6</v>
      </c>
      <c r="D84" s="139">
        <v>40</v>
      </c>
      <c r="E84" s="139">
        <v>1036.8</v>
      </c>
      <c r="F84" s="139">
        <v>2580.48</v>
      </c>
    </row>
    <row r="85" spans="1:6">
      <c r="A85" s="142" t="s">
        <v>480</v>
      </c>
      <c r="B85" s="139">
        <v>2165.7600000000002</v>
      </c>
      <c r="C85" s="139">
        <v>11</v>
      </c>
      <c r="D85" s="139">
        <v>70</v>
      </c>
      <c r="E85" s="139">
        <v>2350.08</v>
      </c>
      <c r="F85" s="139">
        <v>6497.28</v>
      </c>
    </row>
    <row r="86" spans="1:6">
      <c r="A86" s="201"/>
      <c r="B86" s="202"/>
      <c r="C86" s="156"/>
      <c r="D86" s="156"/>
      <c r="E86" s="152"/>
    </row>
    <row r="87" spans="1:6">
      <c r="A87" s="201"/>
      <c r="B87" s="209"/>
      <c r="C87" s="156"/>
      <c r="D87" s="156"/>
      <c r="E87" s="152"/>
    </row>
    <row r="88" spans="1:6">
      <c r="A88" s="201"/>
      <c r="B88" s="209"/>
      <c r="C88" s="156"/>
      <c r="D88" s="156"/>
      <c r="E88" s="152"/>
    </row>
  </sheetData>
  <mergeCells count="5">
    <mergeCell ref="A1:D1"/>
    <mergeCell ref="A3:B3"/>
    <mergeCell ref="A4:B4"/>
    <mergeCell ref="A5:B5"/>
    <mergeCell ref="F3:G3"/>
  </mergeCells>
  <dataValidations count="1">
    <dataValidation type="list" allowBlank="1" showInputMessage="1" showErrorMessage="1" sqref="Q11" xr:uid="{F5B3B56E-D501-4B5B-A460-B093159F9D3E}">
      <formula1>$B$84:$B$85</formula1>
    </dataValidation>
  </dataValidations>
  <hyperlinks>
    <hyperlink ref="F3:G3" location="Shortcuts!A1" display="Back to shortcuts" xr:uid="{862D1D98-89AC-445D-AF6E-96A5A708A50C}"/>
  </hyperlink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F0AD1-F2E9-4B3A-92BD-7271131DE5C8}">
  <dimension ref="A1:AV85"/>
  <sheetViews>
    <sheetView topLeftCell="D1" zoomScale="95" zoomScaleNormal="95" zoomScalePageLayoutView="70" workbookViewId="0">
      <selection activeCell="G1" sqref="G1"/>
    </sheetView>
  </sheetViews>
  <sheetFormatPr defaultColWidth="8.5703125" defaultRowHeight="12.75"/>
  <cols>
    <col min="1" max="1" width="12.5703125" style="3" customWidth="1"/>
    <col min="2" max="2" width="16.42578125" style="3" customWidth="1"/>
    <col min="3" max="3" width="15.5703125" style="3" customWidth="1"/>
    <col min="4" max="4" width="23.42578125" style="3" customWidth="1"/>
    <col min="5" max="5" width="55.5703125" style="3" customWidth="1"/>
    <col min="6" max="7" width="8.5703125" style="3"/>
    <col min="8" max="8" width="20.85546875" style="3" bestFit="1" customWidth="1"/>
    <col min="9" max="10" width="8.5703125" style="3"/>
    <col min="11" max="11" width="17.85546875" style="3" customWidth="1"/>
    <col min="12" max="12" width="8.5703125" style="3"/>
    <col min="13" max="13" width="9.5703125" style="3" customWidth="1"/>
    <col min="14" max="14" width="8.5703125" style="3"/>
    <col min="15" max="15" width="11.5703125" style="3" customWidth="1"/>
    <col min="16" max="16" width="8.5703125" style="3"/>
    <col min="17" max="17" width="9.5703125" style="3" customWidth="1"/>
    <col min="18" max="18" width="8.5703125" style="3"/>
    <col min="19" max="19" width="9.5703125" style="3" customWidth="1"/>
    <col min="20" max="20" width="8.5703125" style="3"/>
    <col min="21" max="21" width="9.5703125" style="3" customWidth="1"/>
    <col min="22" max="22" width="8.5703125" style="3"/>
    <col min="23" max="23" width="9" style="3" customWidth="1"/>
    <col min="24" max="24" width="11.140625" style="3" customWidth="1"/>
    <col min="25" max="26" width="9.5703125" style="3" customWidth="1"/>
    <col min="27" max="33" width="13.42578125" style="3" customWidth="1"/>
    <col min="34" max="34" width="22" style="3" customWidth="1"/>
    <col min="35" max="35" width="12.42578125" style="3" customWidth="1"/>
    <col min="36" max="36" width="13.42578125" style="3" customWidth="1"/>
    <col min="37" max="39" width="8.5703125" style="3"/>
    <col min="40" max="40" width="18.5703125" style="3" customWidth="1"/>
    <col min="41" max="47" width="8.5703125" style="3"/>
    <col min="48" max="48" width="10.42578125" style="3" customWidth="1"/>
    <col min="49" max="16384" width="8.5703125" style="3"/>
  </cols>
  <sheetData>
    <row r="1" spans="1:48">
      <c r="A1" s="215" t="s">
        <v>4</v>
      </c>
      <c r="B1" s="215"/>
      <c r="C1" s="215"/>
      <c r="D1" s="215"/>
      <c r="E1" s="215"/>
      <c r="F1" s="155" t="s">
        <v>708</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row>
    <row r="3" spans="1:48" ht="15">
      <c r="A3" s="225" t="s">
        <v>632</v>
      </c>
      <c r="B3" s="225"/>
      <c r="C3" s="16"/>
      <c r="D3" s="156" t="s">
        <v>553</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8">
      <c r="A4" s="225" t="s">
        <v>303</v>
      </c>
      <c r="B4" s="225"/>
      <c r="C4" s="2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8">
      <c r="A5" s="225" t="s">
        <v>305</v>
      </c>
      <c r="B5" s="225"/>
      <c r="C5" s="156" t="s">
        <v>306</v>
      </c>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row>
    <row r="6" spans="1:48">
      <c r="A6" s="156"/>
      <c r="B6" s="156"/>
      <c r="C6" s="35" t="s">
        <v>307</v>
      </c>
      <c r="D6" s="156"/>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7" t="s">
        <v>308</v>
      </c>
      <c r="AN6" s="7"/>
      <c r="AO6" s="156"/>
      <c r="AP6" s="156" t="s">
        <v>309</v>
      </c>
      <c r="AQ6" s="156">
        <v>0.9</v>
      </c>
      <c r="AR6" s="156"/>
      <c r="AS6" s="156"/>
      <c r="AT6" s="156"/>
      <c r="AU6" s="156"/>
      <c r="AV6" s="156"/>
    </row>
    <row r="7" spans="1:48" ht="25.5">
      <c r="A7" s="5" t="s">
        <v>161</v>
      </c>
      <c r="B7" s="5" t="s">
        <v>310</v>
      </c>
      <c r="C7" s="5" t="s">
        <v>311</v>
      </c>
      <c r="D7" s="5" t="s">
        <v>312</v>
      </c>
      <c r="E7" s="5" t="s">
        <v>313</v>
      </c>
      <c r="F7" s="4" t="s">
        <v>103</v>
      </c>
      <c r="G7" s="4" t="s">
        <v>109</v>
      </c>
      <c r="H7" s="4" t="s">
        <v>314</v>
      </c>
      <c r="I7" s="4" t="s">
        <v>113</v>
      </c>
      <c r="J7" s="4" t="s">
        <v>315</v>
      </c>
      <c r="K7" s="4" t="s">
        <v>316</v>
      </c>
      <c r="L7" s="4" t="s">
        <v>118</v>
      </c>
      <c r="M7" s="4" t="s">
        <v>316</v>
      </c>
      <c r="N7" s="4" t="s">
        <v>20</v>
      </c>
      <c r="O7" s="4" t="s">
        <v>316</v>
      </c>
      <c r="P7" s="4" t="s">
        <v>122</v>
      </c>
      <c r="Q7" s="4" t="s">
        <v>316</v>
      </c>
      <c r="R7" s="4" t="s">
        <v>130</v>
      </c>
      <c r="S7" s="4" t="s">
        <v>316</v>
      </c>
      <c r="T7" s="4" t="s">
        <v>137</v>
      </c>
      <c r="U7" s="4" t="s">
        <v>316</v>
      </c>
      <c r="V7" s="4" t="s">
        <v>126</v>
      </c>
      <c r="W7" s="4" t="s">
        <v>316</v>
      </c>
      <c r="X7" s="4" t="s">
        <v>317</v>
      </c>
      <c r="Y7" s="4" t="s">
        <v>316</v>
      </c>
      <c r="Z7" s="4" t="s">
        <v>481</v>
      </c>
      <c r="AA7" s="4" t="s">
        <v>316</v>
      </c>
      <c r="AB7" s="4" t="s">
        <v>319</v>
      </c>
      <c r="AC7" s="4" t="s">
        <v>316</v>
      </c>
      <c r="AD7" s="4" t="s">
        <v>320</v>
      </c>
      <c r="AE7" s="4" t="s">
        <v>316</v>
      </c>
      <c r="AF7" s="95" t="s">
        <v>321</v>
      </c>
      <c r="AG7" s="4" t="s">
        <v>316</v>
      </c>
      <c r="AH7" s="4" t="s">
        <v>322</v>
      </c>
      <c r="AI7" s="4" t="s">
        <v>323</v>
      </c>
      <c r="AJ7" s="4" t="s">
        <v>324</v>
      </c>
      <c r="AK7" s="156"/>
      <c r="AL7" s="156"/>
      <c r="AM7" s="4" t="s">
        <v>109</v>
      </c>
      <c r="AN7" s="4" t="s">
        <v>314</v>
      </c>
      <c r="AO7" s="4" t="s">
        <v>113</v>
      </c>
      <c r="AP7" s="4" t="s">
        <v>118</v>
      </c>
      <c r="AQ7" s="4" t="s">
        <v>20</v>
      </c>
      <c r="AR7" s="4" t="s">
        <v>122</v>
      </c>
      <c r="AS7" s="4" t="s">
        <v>130</v>
      </c>
      <c r="AT7" s="4" t="s">
        <v>137</v>
      </c>
      <c r="AU7" s="4" t="s">
        <v>126</v>
      </c>
      <c r="AV7" s="4" t="s">
        <v>317</v>
      </c>
    </row>
    <row r="8" spans="1:48">
      <c r="A8" s="16" t="s">
        <v>325</v>
      </c>
      <c r="B8" s="17"/>
      <c r="C8" s="18" t="s">
        <v>333</v>
      </c>
      <c r="D8" s="16" t="s">
        <v>453</v>
      </c>
      <c r="E8" s="16" t="s">
        <v>8</v>
      </c>
      <c r="F8" s="17">
        <v>4</v>
      </c>
      <c r="G8" s="17">
        <v>4</v>
      </c>
      <c r="H8" s="17">
        <v>0</v>
      </c>
      <c r="I8" s="17">
        <v>350</v>
      </c>
      <c r="J8" s="17">
        <f>G8-H8</f>
        <v>4</v>
      </c>
      <c r="K8" s="17" t="s">
        <v>327</v>
      </c>
      <c r="L8" s="17"/>
      <c r="M8" s="17"/>
      <c r="N8" s="17"/>
      <c r="O8" s="17"/>
      <c r="P8" s="17"/>
      <c r="Q8" s="17"/>
      <c r="R8" s="17"/>
      <c r="S8" s="17"/>
      <c r="T8" s="17"/>
      <c r="U8" s="17"/>
      <c r="V8" s="17"/>
      <c r="W8" s="17"/>
      <c r="X8" s="17"/>
      <c r="Y8" s="17"/>
      <c r="Z8" s="17"/>
      <c r="AA8" s="17"/>
      <c r="AB8" s="17"/>
      <c r="AC8" s="17"/>
      <c r="AD8" s="17"/>
      <c r="AE8" s="17"/>
      <c r="AF8" s="152"/>
      <c r="AG8" s="152"/>
      <c r="AH8" s="17" t="s">
        <v>328</v>
      </c>
      <c r="AI8" s="17" t="s">
        <v>329</v>
      </c>
      <c r="AJ8" s="17"/>
      <c r="AK8" s="156"/>
      <c r="AL8" s="156"/>
      <c r="AM8" s="156">
        <f t="shared" ref="AM8:AN34" si="0">IF(ISBLANK($A8),,G8*1.024)</f>
        <v>4.0960000000000001</v>
      </c>
      <c r="AN8" s="156">
        <f t="shared" si="0"/>
        <v>0</v>
      </c>
      <c r="AO8" s="156">
        <f>IF(ISBLANK($A8),,ROUNDDOWN(I8*AQ6*1.024,))</f>
        <v>322</v>
      </c>
      <c r="AP8" s="156">
        <f>IF(ISBLANK($A8),,ROUNDDOWN(L8*AQ6*1.024,))</f>
        <v>0</v>
      </c>
      <c r="AQ8" s="156">
        <f>IF(ISBLANK($A8),,ROUNDDOWN(N8*AQ6*1.024,))</f>
        <v>0</v>
      </c>
      <c r="AR8" s="156">
        <f>IF(ISBLANK($A8),,ROUNDDOWN(P8*AQ6*1.024,))</f>
        <v>0</v>
      </c>
      <c r="AS8" s="156">
        <f>IF(ISBLANK($A8),,ROUNDDOWN(R8*AQ6*1.024,))</f>
        <v>0</v>
      </c>
      <c r="AT8" s="156">
        <f>IF(ISBLANK($A8),,ROUNDDOWN(T8*AQ$6*1.024,))</f>
        <v>0</v>
      </c>
      <c r="AU8" s="156">
        <f>IF(ISBLANK($A8),,ROUNDDOWN(V8*AQ6*1.024,))</f>
        <v>0</v>
      </c>
      <c r="AV8" s="156">
        <f>IF(ISBLANK($A8),,ROUNDDOWN(X8*AQ6*1.024,))</f>
        <v>0</v>
      </c>
    </row>
    <row r="9" spans="1:48">
      <c r="A9" s="156" t="s">
        <v>331</v>
      </c>
      <c r="B9" s="152" t="s">
        <v>332</v>
      </c>
      <c r="C9" s="11" t="s">
        <v>333</v>
      </c>
      <c r="D9" s="156" t="s">
        <v>453</v>
      </c>
      <c r="E9" s="156" t="s">
        <v>16</v>
      </c>
      <c r="F9" s="152">
        <v>4</v>
      </c>
      <c r="G9" s="152">
        <v>6</v>
      </c>
      <c r="H9" s="152">
        <v>6</v>
      </c>
      <c r="I9" s="152">
        <v>41</v>
      </c>
      <c r="J9" s="154">
        <f t="shared" ref="J9:J36" si="1">G9-H9</f>
        <v>0</v>
      </c>
      <c r="K9" s="152" t="s">
        <v>335</v>
      </c>
      <c r="L9" s="152"/>
      <c r="M9" s="152"/>
      <c r="N9" s="152"/>
      <c r="O9" s="152"/>
      <c r="P9" s="152"/>
      <c r="Q9" s="152"/>
      <c r="R9" s="152"/>
      <c r="S9" s="152"/>
      <c r="T9" s="152"/>
      <c r="U9" s="152"/>
      <c r="V9" s="152"/>
      <c r="W9" s="152"/>
      <c r="X9" s="152"/>
      <c r="Y9" s="152"/>
      <c r="Z9" s="152"/>
      <c r="AA9" s="152"/>
      <c r="AB9" s="152"/>
      <c r="AC9" s="152"/>
      <c r="AD9" s="152"/>
      <c r="AE9" s="152"/>
      <c r="AF9" s="152"/>
      <c r="AG9" s="152"/>
      <c r="AH9" s="152" t="s">
        <v>328</v>
      </c>
      <c r="AI9" s="152" t="s">
        <v>329</v>
      </c>
      <c r="AJ9" s="152"/>
      <c r="AK9" s="156"/>
      <c r="AL9" s="156"/>
      <c r="AM9" s="156">
        <f t="shared" si="0"/>
        <v>6.1440000000000001</v>
      </c>
      <c r="AN9" s="156">
        <f t="shared" si="0"/>
        <v>6.1440000000000001</v>
      </c>
      <c r="AO9" s="156">
        <f>IF(ISBLANK($A9),,ROUNDDOWN(I9*AQ6*1.024,))</f>
        <v>37</v>
      </c>
      <c r="AP9" s="156">
        <f>IF(ISBLANK($A9),,ROUNDDOWN(L9*AQ6*1.024,))</f>
        <v>0</v>
      </c>
      <c r="AQ9" s="156">
        <f>IF(ISBLANK($A9),,ROUNDDOWN(N9*AQ6*1.024,))</f>
        <v>0</v>
      </c>
      <c r="AR9" s="156">
        <f>IF(ISBLANK($A9),,ROUNDDOWN(P9*AQ6*1.024,))</f>
        <v>0</v>
      </c>
      <c r="AS9" s="156">
        <f>IF(ISBLANK($A9),,ROUNDDOWN(R9*AQ6*1.024,))</f>
        <v>0</v>
      </c>
      <c r="AT9" s="156">
        <f t="shared" ref="AT9:AT36" si="2">IF(ISBLANK($A9),,ROUNDDOWN(T9*AQ$6*1.024,))</f>
        <v>0</v>
      </c>
      <c r="AU9" s="156">
        <f>IF(ISBLANK($A9),,ROUNDDOWN(V9*AQ6*1.024,))</f>
        <v>0</v>
      </c>
      <c r="AV9" s="156">
        <f>IF(ISBLANK($A9),,ROUNDDOWN(X9*AQ6*1.024,))</f>
        <v>0</v>
      </c>
    </row>
    <row r="10" spans="1:48">
      <c r="A10" s="156" t="s">
        <v>336</v>
      </c>
      <c r="B10" s="152"/>
      <c r="C10" s="11" t="s">
        <v>333</v>
      </c>
      <c r="D10" s="156" t="s">
        <v>453</v>
      </c>
      <c r="E10" s="156" t="s">
        <v>20</v>
      </c>
      <c r="F10" s="152">
        <v>11</v>
      </c>
      <c r="G10" s="152">
        <v>70</v>
      </c>
      <c r="H10" s="152">
        <f>(G10*82.5)/100</f>
        <v>57.75</v>
      </c>
      <c r="I10" s="152">
        <v>91</v>
      </c>
      <c r="J10" s="154">
        <f t="shared" si="1"/>
        <v>12.25</v>
      </c>
      <c r="K10" s="152" t="s">
        <v>337</v>
      </c>
      <c r="L10" s="152">
        <v>66</v>
      </c>
      <c r="M10" s="152" t="s">
        <v>338</v>
      </c>
      <c r="N10" s="19">
        <v>2062</v>
      </c>
      <c r="O10" s="152" t="s">
        <v>339</v>
      </c>
      <c r="P10" s="152">
        <v>2250</v>
      </c>
      <c r="Q10" s="152" t="s">
        <v>340</v>
      </c>
      <c r="R10" s="152"/>
      <c r="S10" s="152"/>
      <c r="T10" s="152"/>
      <c r="U10" s="152"/>
      <c r="V10" s="152"/>
      <c r="W10" s="152"/>
      <c r="X10" s="31">
        <v>6525</v>
      </c>
      <c r="Y10" s="152" t="s">
        <v>126</v>
      </c>
      <c r="Z10" s="152"/>
      <c r="AA10" s="152"/>
      <c r="AB10" s="152"/>
      <c r="AC10" s="152"/>
      <c r="AD10" s="152"/>
      <c r="AE10" s="152"/>
      <c r="AF10" s="152">
        <v>2500</v>
      </c>
      <c r="AG10" s="152" t="s">
        <v>341</v>
      </c>
      <c r="AH10" s="152" t="s">
        <v>328</v>
      </c>
      <c r="AI10" s="152" t="s">
        <v>329</v>
      </c>
      <c r="AJ10" s="152"/>
      <c r="AK10" s="156"/>
      <c r="AL10" s="156"/>
      <c r="AM10" s="156">
        <f t="shared" si="0"/>
        <v>71.680000000000007</v>
      </c>
      <c r="AN10" s="156">
        <f t="shared" si="0"/>
        <v>59.136000000000003</v>
      </c>
      <c r="AO10" s="156">
        <f>IF(ISBLANK($A10),,ROUNDDOWN(I10*AQ6*1.024,))</f>
        <v>83</v>
      </c>
      <c r="AP10" s="156">
        <f>IF(ISBLANK($A10),,ROUNDDOWN(L10*AQ6*1.024,))</f>
        <v>60</v>
      </c>
      <c r="AQ10" s="156">
        <f>IF(ISBLANK($A10),,ROUNDDOWN(N10*AQ6*1.024,))</f>
        <v>1900</v>
      </c>
      <c r="AR10" s="156">
        <f>IF(ISBLANK($A10),,ROUNDDOWN(P10*AQ6*1.024,))</f>
        <v>2073</v>
      </c>
      <c r="AS10" s="156">
        <f>IF(ISBLANK($A10),,ROUNDDOWN(R10*AQ6*1.024,))</f>
        <v>0</v>
      </c>
      <c r="AT10" s="156">
        <f t="shared" si="2"/>
        <v>0</v>
      </c>
      <c r="AU10" s="156">
        <f>IF(ISBLANK($A10),,ROUNDDOWN(V10*AQ6*1.024,))</f>
        <v>0</v>
      </c>
      <c r="AV10" s="156">
        <f>IF(ISBLANK($A10),,ROUNDDOWN(X10*AQ6*1.024,))</f>
        <v>6013</v>
      </c>
    </row>
    <row r="11" spans="1:48">
      <c r="A11" s="156" t="s">
        <v>342</v>
      </c>
      <c r="B11" s="152" t="s">
        <v>332</v>
      </c>
      <c r="C11" s="11" t="s">
        <v>333</v>
      </c>
      <c r="D11" s="156" t="s">
        <v>453</v>
      </c>
      <c r="E11" s="156" t="s">
        <v>24</v>
      </c>
      <c r="F11" s="152">
        <v>6</v>
      </c>
      <c r="G11" s="152">
        <v>7</v>
      </c>
      <c r="H11" s="152">
        <v>7</v>
      </c>
      <c r="I11" s="152">
        <v>46</v>
      </c>
      <c r="J11" s="154">
        <f t="shared" si="1"/>
        <v>0</v>
      </c>
      <c r="K11" s="152" t="s">
        <v>343</v>
      </c>
      <c r="L11" s="152"/>
      <c r="M11" s="152"/>
      <c r="N11" s="152"/>
      <c r="O11" s="152"/>
      <c r="P11" s="152"/>
      <c r="Q11" s="152"/>
      <c r="R11" s="172">
        <v>360</v>
      </c>
      <c r="S11" s="152" t="s">
        <v>344</v>
      </c>
      <c r="T11" s="152">
        <v>300</v>
      </c>
      <c r="U11" s="152" t="s">
        <v>137</v>
      </c>
      <c r="V11" s="152"/>
      <c r="W11" s="152"/>
      <c r="X11" s="152">
        <v>330</v>
      </c>
      <c r="Y11" s="152" t="s">
        <v>126</v>
      </c>
      <c r="Z11" s="152"/>
      <c r="AA11" s="152"/>
      <c r="AB11" s="152"/>
      <c r="AC11" s="152"/>
      <c r="AD11" s="152"/>
      <c r="AE11" s="152"/>
      <c r="AF11" s="152"/>
      <c r="AG11" s="152"/>
      <c r="AH11" s="152" t="s">
        <v>328</v>
      </c>
      <c r="AI11" s="152" t="s">
        <v>329</v>
      </c>
      <c r="AJ11" s="152"/>
      <c r="AK11" s="156"/>
      <c r="AL11" s="156"/>
      <c r="AM11" s="156">
        <f t="shared" si="0"/>
        <v>7.1680000000000001</v>
      </c>
      <c r="AN11" s="156">
        <f t="shared" si="0"/>
        <v>7.1680000000000001</v>
      </c>
      <c r="AO11" s="156">
        <f>IF(ISBLANK($A11),,ROUNDDOWN(I11*AQ6*1.024,))</f>
        <v>42</v>
      </c>
      <c r="AP11" s="156">
        <f>IF(ISBLANK($A11),,ROUNDDOWN(L11*AQ6*1.024,))</f>
        <v>0</v>
      </c>
      <c r="AQ11" s="156">
        <f>IF(ISBLANK($A11),,ROUNDDOWN(N11*AQ6*1.024,))</f>
        <v>0</v>
      </c>
      <c r="AR11" s="156">
        <f>IF(ISBLANK($A11),,ROUNDDOWN(P11*AQ6*1.024,))</f>
        <v>0</v>
      </c>
      <c r="AS11" s="156">
        <f>IF(ISBLANK($A11),,ROUNDDOWN(R11*AQ6*1.024,))</f>
        <v>331</v>
      </c>
      <c r="AT11" s="156">
        <f t="shared" si="2"/>
        <v>276</v>
      </c>
      <c r="AU11" s="156">
        <f>IF(ISBLANK($A11),,ROUNDDOWN(V11*AQ6*1.024,))</f>
        <v>0</v>
      </c>
      <c r="AV11" s="156">
        <f>IF(ISBLANK($A11),,ROUNDDOWN(X11*AQ6*1.024,))</f>
        <v>304</v>
      </c>
    </row>
    <row r="12" spans="1:48">
      <c r="A12" s="156" t="s">
        <v>345</v>
      </c>
      <c r="B12" s="152"/>
      <c r="C12" s="11" t="s">
        <v>333</v>
      </c>
      <c r="D12" s="156" t="s">
        <v>453</v>
      </c>
      <c r="E12" s="156" t="s">
        <v>28</v>
      </c>
      <c r="F12" s="152">
        <v>2</v>
      </c>
      <c r="G12" s="152">
        <v>2</v>
      </c>
      <c r="H12" s="152">
        <v>0</v>
      </c>
      <c r="I12" s="152">
        <v>31</v>
      </c>
      <c r="J12" s="154">
        <f t="shared" si="1"/>
        <v>2</v>
      </c>
      <c r="K12" s="152" t="s">
        <v>335</v>
      </c>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t="s">
        <v>346</v>
      </c>
      <c r="AI12" s="152" t="s">
        <v>347</v>
      </c>
      <c r="AJ12" s="152" t="s">
        <v>329</v>
      </c>
      <c r="AK12" s="156"/>
      <c r="AL12" s="156"/>
      <c r="AM12" s="156">
        <f t="shared" si="0"/>
        <v>2.048</v>
      </c>
      <c r="AN12" s="156">
        <f t="shared" si="0"/>
        <v>0</v>
      </c>
      <c r="AO12" s="156">
        <f>IF(ISBLANK($A12),,ROUNDDOWN(I12*AQ6*1.024,))</f>
        <v>28</v>
      </c>
      <c r="AP12" s="156">
        <f>IF(ISBLANK($A12),,ROUNDDOWN(L12*AQ6*1.024,))</f>
        <v>0</v>
      </c>
      <c r="AQ12" s="156">
        <f>IF(ISBLANK($A12),,ROUNDDOWN(N12*AQ6*1.024,))</f>
        <v>0</v>
      </c>
      <c r="AR12" s="156">
        <f>IF(ISBLANK($A12),,ROUNDDOWN(P12*AQ6*1.024,))</f>
        <v>0</v>
      </c>
      <c r="AS12" s="156">
        <f>IF(ISBLANK($A12),,ROUNDDOWN(R12*AQ6*1.024,))</f>
        <v>0</v>
      </c>
      <c r="AT12" s="156">
        <f t="shared" si="2"/>
        <v>0</v>
      </c>
      <c r="AU12" s="156">
        <f>IF(ISBLANK($A12),,ROUNDDOWN(V12*AQ6*1.024,))</f>
        <v>0</v>
      </c>
      <c r="AV12" s="156">
        <f>IF(ISBLANK($A12),,ROUNDDOWN(X12*AQ6*1.024,))</f>
        <v>0</v>
      </c>
    </row>
    <row r="13" spans="1:48">
      <c r="A13" s="156" t="s">
        <v>348</v>
      </c>
      <c r="B13" s="152"/>
      <c r="C13" s="11" t="s">
        <v>333</v>
      </c>
      <c r="D13" s="156" t="s">
        <v>453</v>
      </c>
      <c r="E13" s="156" t="s">
        <v>555</v>
      </c>
      <c r="F13" s="152">
        <v>2</v>
      </c>
      <c r="G13" s="152">
        <v>5</v>
      </c>
      <c r="H13" s="152">
        <v>0</v>
      </c>
      <c r="I13" s="152">
        <v>31</v>
      </c>
      <c r="J13" s="154">
        <f t="shared" si="1"/>
        <v>5</v>
      </c>
      <c r="K13" s="152" t="s">
        <v>337</v>
      </c>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t="s">
        <v>328</v>
      </c>
      <c r="AI13" s="152" t="s">
        <v>329</v>
      </c>
      <c r="AJ13" s="152"/>
      <c r="AK13" s="156"/>
      <c r="AL13" s="156"/>
      <c r="AM13" s="156">
        <f t="shared" si="0"/>
        <v>5.12</v>
      </c>
      <c r="AN13" s="156">
        <f t="shared" si="0"/>
        <v>0</v>
      </c>
      <c r="AO13" s="156">
        <f>IF(ISBLANK($A13),,ROUNDDOWN(I13*AQ6*1.024,))</f>
        <v>28</v>
      </c>
      <c r="AP13" s="156">
        <f>IF(ISBLANK($A13),,ROUNDDOWN(L13*AQ6*1.024,))</f>
        <v>0</v>
      </c>
      <c r="AQ13" s="156">
        <f>IF(ISBLANK($A13),,ROUNDDOWN(N13*AQ6*1.024,))</f>
        <v>0</v>
      </c>
      <c r="AR13" s="156">
        <f>IF(ISBLANK($A13),,ROUNDDOWN(P13*AQ6*1.024,))</f>
        <v>0</v>
      </c>
      <c r="AS13" s="156">
        <f>IF(ISBLANK($A13),,ROUNDDOWN(R13*AQ6*1.024,))</f>
        <v>0</v>
      </c>
      <c r="AT13" s="156">
        <f t="shared" si="2"/>
        <v>0</v>
      </c>
      <c r="AU13" s="156">
        <f>IF(ISBLANK($A13),,ROUNDDOWN(V13*AQ6*1.024,))</f>
        <v>0</v>
      </c>
      <c r="AV13" s="156">
        <f>IF(ISBLANK($A13),,ROUNDDOWN(X13*AQ6*1.024,))</f>
        <v>0</v>
      </c>
    </row>
    <row r="14" spans="1:48">
      <c r="A14" s="156" t="s">
        <v>349</v>
      </c>
      <c r="B14" s="152"/>
      <c r="C14" s="11" t="s">
        <v>333</v>
      </c>
      <c r="D14" s="156" t="s">
        <v>453</v>
      </c>
      <c r="E14" s="156" t="s">
        <v>482</v>
      </c>
      <c r="F14" s="152">
        <v>3</v>
      </c>
      <c r="G14" s="152">
        <v>6</v>
      </c>
      <c r="H14" s="152">
        <v>0</v>
      </c>
      <c r="I14" s="152">
        <v>41</v>
      </c>
      <c r="J14" s="154">
        <f t="shared" si="1"/>
        <v>6</v>
      </c>
      <c r="K14" s="152" t="s">
        <v>343</v>
      </c>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t="s">
        <v>346</v>
      </c>
      <c r="AI14" s="152" t="s">
        <v>347</v>
      </c>
      <c r="AJ14" s="152"/>
      <c r="AK14" s="156"/>
      <c r="AL14" s="156"/>
      <c r="AM14" s="156">
        <f t="shared" si="0"/>
        <v>6.1440000000000001</v>
      </c>
      <c r="AN14" s="156">
        <f t="shared" si="0"/>
        <v>0</v>
      </c>
      <c r="AO14" s="156">
        <f>IF(ISBLANK($A14),,ROUNDDOWN(I14*AQ6*1.024,))</f>
        <v>37</v>
      </c>
      <c r="AP14" s="156">
        <f>IF(ISBLANK($A14),,ROUNDDOWN(L14*AQ6*1.024,))</f>
        <v>0</v>
      </c>
      <c r="AQ14" s="156">
        <f>IF(ISBLANK($A14),,ROUNDDOWN(N14*AQ6*1.024,))</f>
        <v>0</v>
      </c>
      <c r="AR14" s="156">
        <f>IF(ISBLANK($A14),,ROUNDDOWN(P14*AQ6*1.024,))</f>
        <v>0</v>
      </c>
      <c r="AS14" s="156">
        <f>IF(ISBLANK($A14),,ROUNDDOWN(R14*AQ6*1.024,))</f>
        <v>0</v>
      </c>
      <c r="AT14" s="156">
        <f t="shared" si="2"/>
        <v>0</v>
      </c>
      <c r="AU14" s="156">
        <f>IF(ISBLANK($A14),,ROUNDDOWN(V14*AQ6*1.024,))</f>
        <v>0</v>
      </c>
      <c r="AV14" s="156">
        <f>IF(ISBLANK($A14),,ROUNDDOWN(X14*AQ6*1.024,))</f>
        <v>0</v>
      </c>
    </row>
    <row r="15" spans="1:48">
      <c r="A15" s="156" t="s">
        <v>351</v>
      </c>
      <c r="B15" s="152"/>
      <c r="C15" s="11" t="s">
        <v>333</v>
      </c>
      <c r="D15" s="156" t="s">
        <v>453</v>
      </c>
      <c r="E15" s="156" t="s">
        <v>40</v>
      </c>
      <c r="F15" s="152">
        <v>5</v>
      </c>
      <c r="G15" s="152">
        <v>5</v>
      </c>
      <c r="H15" s="152">
        <v>0</v>
      </c>
      <c r="I15" s="152">
        <v>56</v>
      </c>
      <c r="J15" s="154">
        <f t="shared" si="1"/>
        <v>5</v>
      </c>
      <c r="K15" s="152" t="s">
        <v>335</v>
      </c>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t="s">
        <v>346</v>
      </c>
      <c r="AI15" s="152" t="s">
        <v>347</v>
      </c>
      <c r="AJ15" s="152"/>
      <c r="AK15" s="156"/>
      <c r="AL15" s="156"/>
      <c r="AM15" s="156">
        <f t="shared" si="0"/>
        <v>5.12</v>
      </c>
      <c r="AN15" s="156">
        <f t="shared" si="0"/>
        <v>0</v>
      </c>
      <c r="AO15" s="156">
        <f>IF(ISBLANK($A15),,ROUNDDOWN(I15*AQ6*1.024,))</f>
        <v>51</v>
      </c>
      <c r="AP15" s="156">
        <f>IF(ISBLANK($A15),,ROUNDDOWN(L15*AQ6*1.024,))</f>
        <v>0</v>
      </c>
      <c r="AQ15" s="156">
        <f>IF(ISBLANK($A15),,ROUNDDOWN(N15*AQ6*1.024,))</f>
        <v>0</v>
      </c>
      <c r="AR15" s="156">
        <f>IF(ISBLANK($A15),,ROUNDDOWN(P15*AQ6*1.024,))</f>
        <v>0</v>
      </c>
      <c r="AS15" s="156">
        <f>IF(ISBLANK($A15),,ROUNDDOWN(R15*AQ6*1.024,))</f>
        <v>0</v>
      </c>
      <c r="AT15" s="156">
        <f t="shared" si="2"/>
        <v>0</v>
      </c>
      <c r="AU15" s="156">
        <f>IF(ISBLANK($A15),,ROUNDDOWN(V15*AQ6*1.024,))</f>
        <v>0</v>
      </c>
      <c r="AV15" s="156">
        <f>IF(ISBLANK($A15),,ROUNDDOWN(X15*AQ6*1.024,))</f>
        <v>0</v>
      </c>
    </row>
    <row r="16" spans="1:48">
      <c r="A16" s="156" t="s">
        <v>352</v>
      </c>
      <c r="B16" s="152"/>
      <c r="C16" s="11" t="s">
        <v>333</v>
      </c>
      <c r="D16" s="156" t="s">
        <v>453</v>
      </c>
      <c r="E16" s="156" t="s">
        <v>43</v>
      </c>
      <c r="F16" s="152">
        <v>4</v>
      </c>
      <c r="G16" s="152">
        <v>6</v>
      </c>
      <c r="H16" s="152">
        <v>0</v>
      </c>
      <c r="I16" s="152">
        <v>31</v>
      </c>
      <c r="J16" s="154">
        <f t="shared" si="1"/>
        <v>6</v>
      </c>
      <c r="K16" s="152" t="s">
        <v>337</v>
      </c>
      <c r="L16" s="152"/>
      <c r="M16" s="152"/>
      <c r="N16" s="152"/>
      <c r="O16" s="152"/>
      <c r="P16" s="152"/>
      <c r="Q16" s="152"/>
      <c r="R16" s="152"/>
      <c r="S16" s="152"/>
      <c r="T16" s="152"/>
      <c r="U16" s="152"/>
      <c r="V16" s="152"/>
      <c r="W16" s="152"/>
      <c r="X16" s="152"/>
      <c r="Y16" s="152"/>
      <c r="Z16" s="152"/>
      <c r="AA16" s="152"/>
      <c r="AB16" s="152"/>
      <c r="AC16" s="152"/>
      <c r="AD16" s="152"/>
      <c r="AE16" s="152"/>
      <c r="AF16" s="152"/>
      <c r="AG16" s="152"/>
      <c r="AH16" s="152" t="s">
        <v>346</v>
      </c>
      <c r="AI16" s="152" t="s">
        <v>347</v>
      </c>
      <c r="AJ16" s="152"/>
      <c r="AK16" s="156"/>
      <c r="AL16" s="156"/>
      <c r="AM16" s="156">
        <f t="shared" si="0"/>
        <v>6.1440000000000001</v>
      </c>
      <c r="AN16" s="156">
        <f t="shared" si="0"/>
        <v>0</v>
      </c>
      <c r="AO16" s="156">
        <f>IF(ISBLANK($A16),,ROUNDDOWN(I16*AQ6*1.024,))</f>
        <v>28</v>
      </c>
      <c r="AP16" s="156">
        <f>IF(ISBLANK($A16),,ROUNDDOWN(L16*AQ6*1.024,))</f>
        <v>0</v>
      </c>
      <c r="AQ16" s="156">
        <f>IF(ISBLANK($A16),,ROUNDDOWN(N16*AQ6*1.024,))</f>
        <v>0</v>
      </c>
      <c r="AR16" s="156">
        <f>IF(ISBLANK($A16),,ROUNDDOWN(P16*AQ6*1.024,))</f>
        <v>0</v>
      </c>
      <c r="AS16" s="156">
        <f>IF(ISBLANK($A16),,ROUNDDOWN(R16*AQ6*1.024,))</f>
        <v>0</v>
      </c>
      <c r="AT16" s="156">
        <f t="shared" si="2"/>
        <v>0</v>
      </c>
      <c r="AU16" s="156">
        <f>IF(ISBLANK($A16),,ROUNDDOWN(V16*AQ6*1.024,))</f>
        <v>0</v>
      </c>
      <c r="AV16" s="156">
        <f>IF(ISBLANK($A16),,ROUNDDOWN(X16*AQ6*1.024,))</f>
        <v>0</v>
      </c>
    </row>
    <row r="17" spans="1:48">
      <c r="A17" s="156" t="s">
        <v>353</v>
      </c>
      <c r="B17" s="152"/>
      <c r="C17" s="11" t="s">
        <v>333</v>
      </c>
      <c r="D17" s="156" t="s">
        <v>453</v>
      </c>
      <c r="E17" s="156" t="s">
        <v>47</v>
      </c>
      <c r="F17" s="152">
        <v>4</v>
      </c>
      <c r="G17" s="152">
        <v>4</v>
      </c>
      <c r="H17" s="152">
        <v>0</v>
      </c>
      <c r="I17" s="152">
        <v>31</v>
      </c>
      <c r="J17" s="154">
        <f t="shared" si="1"/>
        <v>4</v>
      </c>
      <c r="K17" s="152" t="s">
        <v>343</v>
      </c>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t="s">
        <v>346</v>
      </c>
      <c r="AI17" s="152" t="s">
        <v>347</v>
      </c>
      <c r="AJ17" s="152" t="s">
        <v>329</v>
      </c>
      <c r="AK17" s="156"/>
      <c r="AL17" s="156"/>
      <c r="AM17" s="156">
        <f t="shared" si="0"/>
        <v>4.0960000000000001</v>
      </c>
      <c r="AN17" s="156">
        <f t="shared" si="0"/>
        <v>0</v>
      </c>
      <c r="AO17" s="156">
        <f>IF(ISBLANK($A17),,ROUNDDOWN(I17*AQ6*1.024,))</f>
        <v>28</v>
      </c>
      <c r="AP17" s="156">
        <f>IF(ISBLANK($A17),,ROUNDDOWN(L17*AQ6*1.024,))</f>
        <v>0</v>
      </c>
      <c r="AQ17" s="156">
        <f>IF(ISBLANK($A17),,ROUNDDOWN(N17*AQ6*1.024,))</f>
        <v>0</v>
      </c>
      <c r="AR17" s="156">
        <f>IF(ISBLANK($A17),,ROUNDDOWN(P17*AQ6*1.024,))</f>
        <v>0</v>
      </c>
      <c r="AS17" s="156">
        <f>IF(ISBLANK($A17),,ROUNDDOWN(R17*AQ6*1.024,))</f>
        <v>0</v>
      </c>
      <c r="AT17" s="156">
        <f t="shared" si="2"/>
        <v>0</v>
      </c>
      <c r="AU17" s="156">
        <f>IF(ISBLANK($A17),,ROUNDDOWN(V17*AQ6*1.024,))</f>
        <v>0</v>
      </c>
      <c r="AV17" s="156">
        <f>IF(ISBLANK($A17),,ROUNDDOWN(X17*AQ6*1.024,))</f>
        <v>0</v>
      </c>
    </row>
    <row r="18" spans="1:48">
      <c r="A18" s="156" t="s">
        <v>354</v>
      </c>
      <c r="B18" s="152"/>
      <c r="C18" s="11" t="s">
        <v>333</v>
      </c>
      <c r="D18" s="156" t="s">
        <v>453</v>
      </c>
      <c r="E18" s="156" t="s">
        <v>355</v>
      </c>
      <c r="F18" s="152">
        <v>8</v>
      </c>
      <c r="G18" s="152">
        <v>10</v>
      </c>
      <c r="H18" s="152">
        <v>0</v>
      </c>
      <c r="I18" s="152">
        <v>101</v>
      </c>
      <c r="J18" s="154">
        <f t="shared" si="1"/>
        <v>10</v>
      </c>
      <c r="K18" s="152" t="s">
        <v>335</v>
      </c>
      <c r="L18" s="152"/>
      <c r="M18" s="152"/>
      <c r="N18" s="152"/>
      <c r="O18" s="152"/>
      <c r="P18" s="152"/>
      <c r="Q18" s="152"/>
      <c r="R18" s="152"/>
      <c r="S18" s="152"/>
      <c r="T18" s="152"/>
      <c r="U18" s="152"/>
      <c r="V18" s="152"/>
      <c r="W18" s="152"/>
      <c r="X18" s="152"/>
      <c r="Y18" s="152"/>
      <c r="Z18" s="152"/>
      <c r="AA18" s="152"/>
      <c r="AB18" s="152">
        <v>50</v>
      </c>
      <c r="AC18" s="152" t="s">
        <v>343</v>
      </c>
      <c r="AD18" s="152"/>
      <c r="AE18" s="152"/>
      <c r="AF18" s="152"/>
      <c r="AG18" s="152"/>
      <c r="AH18" s="152" t="s">
        <v>328</v>
      </c>
      <c r="AI18" s="152" t="s">
        <v>329</v>
      </c>
      <c r="AJ18" s="152"/>
      <c r="AK18" s="156"/>
      <c r="AL18" s="156"/>
      <c r="AM18" s="156">
        <f t="shared" si="0"/>
        <v>10.24</v>
      </c>
      <c r="AN18" s="156">
        <f t="shared" si="0"/>
        <v>0</v>
      </c>
      <c r="AO18" s="156">
        <f>IF(ISBLANK($A18),,ROUNDDOWN(I18*AQ6*1.024,))</f>
        <v>93</v>
      </c>
      <c r="AP18" s="156">
        <f>IF(ISBLANK($A18),,ROUNDDOWN(L18*AQ6*1.024,))</f>
        <v>0</v>
      </c>
      <c r="AQ18" s="156">
        <f>IF(ISBLANK($A18),,ROUNDDOWN(N18*AQ6*1.024,))</f>
        <v>0</v>
      </c>
      <c r="AR18" s="156">
        <f>IF(ISBLANK($A18),,ROUNDDOWN(P18*AQ6*1.024,))</f>
        <v>0</v>
      </c>
      <c r="AS18" s="156">
        <f>IF(ISBLANK($A18),,ROUNDDOWN(R18*AQ6*1.024,))</f>
        <v>0</v>
      </c>
      <c r="AT18" s="156">
        <f t="shared" si="2"/>
        <v>0</v>
      </c>
      <c r="AU18" s="156">
        <f>IF(ISBLANK($A18),,ROUNDDOWN(V18*AQ6*1.024,))</f>
        <v>0</v>
      </c>
      <c r="AV18" s="156">
        <f>IF(ISBLANK($A18),,ROUNDDOWN(X18*AQ6*1.024,))</f>
        <v>0</v>
      </c>
    </row>
    <row r="19" spans="1:48">
      <c r="A19" s="156" t="s">
        <v>356</v>
      </c>
      <c r="B19" s="152"/>
      <c r="C19" s="11" t="s">
        <v>333</v>
      </c>
      <c r="D19" s="156" t="s">
        <v>453</v>
      </c>
      <c r="E19" s="156" t="s">
        <v>55</v>
      </c>
      <c r="F19" s="152">
        <v>6</v>
      </c>
      <c r="G19" s="152">
        <v>6</v>
      </c>
      <c r="H19" s="152">
        <v>0</v>
      </c>
      <c r="I19" s="152">
        <v>131</v>
      </c>
      <c r="J19" s="154">
        <f t="shared" si="1"/>
        <v>6</v>
      </c>
      <c r="K19" s="152" t="s">
        <v>337</v>
      </c>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t="s">
        <v>346</v>
      </c>
      <c r="AI19" s="152" t="s">
        <v>347</v>
      </c>
      <c r="AJ19" s="152"/>
      <c r="AK19" s="156"/>
      <c r="AL19" s="156"/>
      <c r="AM19" s="156">
        <f t="shared" si="0"/>
        <v>6.1440000000000001</v>
      </c>
      <c r="AN19" s="156">
        <f t="shared" si="0"/>
        <v>0</v>
      </c>
      <c r="AO19" s="156">
        <f>IF(ISBLANK($A19),,ROUNDDOWN(I19*AQ6*1.024,))</f>
        <v>120</v>
      </c>
      <c r="AP19" s="156">
        <f>IF(ISBLANK($A19),,ROUNDDOWN(L19*AQ6*1.024,))</f>
        <v>0</v>
      </c>
      <c r="AQ19" s="156">
        <f>IF(ISBLANK($A19),,ROUNDDOWN(N19*AQ6*1.024,))</f>
        <v>0</v>
      </c>
      <c r="AR19" s="156">
        <f>IF(ISBLANK($A19),,ROUNDDOWN(P19*AQ6*1.024,))</f>
        <v>0</v>
      </c>
      <c r="AS19" s="156">
        <f>IF(ISBLANK($A19),,ROUNDDOWN(R19*AQ6*1.024,))</f>
        <v>0</v>
      </c>
      <c r="AT19" s="156">
        <f t="shared" si="2"/>
        <v>0</v>
      </c>
      <c r="AU19" s="156">
        <f>IF(ISBLANK($A19),,ROUNDDOWN(V19*AQ6*1.024,))</f>
        <v>0</v>
      </c>
      <c r="AV19" s="156">
        <f>IF(ISBLANK($A19),,ROUNDDOWN(X19*AQ6*1.024,))</f>
        <v>0</v>
      </c>
    </row>
    <row r="20" spans="1:48">
      <c r="A20" s="156" t="s">
        <v>357</v>
      </c>
      <c r="B20" s="152"/>
      <c r="C20" s="11" t="s">
        <v>333</v>
      </c>
      <c r="D20" s="156" t="s">
        <v>453</v>
      </c>
      <c r="E20" s="156" t="s">
        <v>483</v>
      </c>
      <c r="F20" s="152">
        <v>5</v>
      </c>
      <c r="G20" s="152">
        <v>6</v>
      </c>
      <c r="H20" s="152">
        <v>0</v>
      </c>
      <c r="I20" s="152">
        <v>61</v>
      </c>
      <c r="J20" s="154">
        <f t="shared" si="1"/>
        <v>6</v>
      </c>
      <c r="K20" s="152" t="s">
        <v>343</v>
      </c>
      <c r="L20" s="152"/>
      <c r="M20" s="152"/>
      <c r="N20" s="152"/>
      <c r="O20" s="152"/>
      <c r="P20" s="152"/>
      <c r="Q20" s="152"/>
      <c r="R20" s="152"/>
      <c r="S20" s="152"/>
      <c r="T20" s="152"/>
      <c r="U20" s="152"/>
      <c r="V20" s="152"/>
      <c r="W20" s="152"/>
      <c r="X20" s="152"/>
      <c r="Y20" s="152"/>
      <c r="Z20" s="152"/>
      <c r="AA20" s="152"/>
      <c r="AB20" s="152"/>
      <c r="AC20" s="152"/>
      <c r="AD20" s="152"/>
      <c r="AE20" s="152"/>
      <c r="AF20" s="152"/>
      <c r="AG20" s="152"/>
      <c r="AH20" s="152" t="s">
        <v>328</v>
      </c>
      <c r="AI20" s="152" t="s">
        <v>329</v>
      </c>
      <c r="AJ20" s="152"/>
      <c r="AK20" s="156"/>
      <c r="AL20" s="156"/>
      <c r="AM20" s="156">
        <f t="shared" si="0"/>
        <v>6.1440000000000001</v>
      </c>
      <c r="AN20" s="156">
        <f t="shared" si="0"/>
        <v>0</v>
      </c>
      <c r="AO20" s="156">
        <f>IF(ISBLANK($A20),,ROUNDDOWN(I20*AQ6*1.024,))</f>
        <v>56</v>
      </c>
      <c r="AP20" s="156">
        <f>IF(ISBLANK($A20),,ROUNDDOWN(L20*AQ6*1.024,))</f>
        <v>0</v>
      </c>
      <c r="AQ20" s="156">
        <f>IF(ISBLANK($A20),,ROUNDDOWN(N20*AQ6*1.024,))</f>
        <v>0</v>
      </c>
      <c r="AR20" s="156">
        <f>IF(ISBLANK($A20),,ROUNDDOWN(P20*AQ6*1.024,))</f>
        <v>0</v>
      </c>
      <c r="AS20" s="156">
        <f>IF(ISBLANK($A20),,ROUNDDOWN(R20*AQ6*1.024,))</f>
        <v>0</v>
      </c>
      <c r="AT20" s="156">
        <f t="shared" si="2"/>
        <v>0</v>
      </c>
      <c r="AU20" s="156">
        <f>IF(ISBLANK($A20),,ROUNDDOWN(V20*AQ6*1.024,))</f>
        <v>0</v>
      </c>
      <c r="AV20" s="156">
        <f>IF(ISBLANK($A20),,ROUNDDOWN(X20*AQ6*1.024,))</f>
        <v>0</v>
      </c>
    </row>
    <row r="21" spans="1:48">
      <c r="A21" s="156" t="s">
        <v>358</v>
      </c>
      <c r="B21" s="152"/>
      <c r="C21" s="11" t="s">
        <v>333</v>
      </c>
      <c r="D21" s="156" t="s">
        <v>453</v>
      </c>
      <c r="E21" s="156" t="s">
        <v>483</v>
      </c>
      <c r="F21" s="152">
        <v>5</v>
      </c>
      <c r="G21" s="152">
        <v>6</v>
      </c>
      <c r="H21" s="152">
        <v>0</v>
      </c>
      <c r="I21" s="152">
        <v>61</v>
      </c>
      <c r="J21" s="154">
        <f t="shared" si="1"/>
        <v>6</v>
      </c>
      <c r="K21" s="152" t="s">
        <v>335</v>
      </c>
      <c r="L21" s="152"/>
      <c r="M21" s="152"/>
      <c r="N21" s="152"/>
      <c r="O21" s="152"/>
      <c r="P21" s="152"/>
      <c r="Q21" s="152"/>
      <c r="R21" s="152"/>
      <c r="S21" s="152"/>
      <c r="T21" s="152"/>
      <c r="U21" s="152"/>
      <c r="V21" s="152"/>
      <c r="W21" s="152"/>
      <c r="X21" s="152"/>
      <c r="Y21" s="152"/>
      <c r="Z21" s="152"/>
      <c r="AA21" s="152"/>
      <c r="AB21" s="152"/>
      <c r="AC21" s="152"/>
      <c r="AD21" s="152"/>
      <c r="AE21" s="152"/>
      <c r="AF21" s="152"/>
      <c r="AG21" s="152"/>
      <c r="AH21" s="152" t="s">
        <v>328</v>
      </c>
      <c r="AI21" s="152" t="s">
        <v>329</v>
      </c>
      <c r="AJ21" s="152"/>
      <c r="AK21" s="156"/>
      <c r="AL21" s="156"/>
      <c r="AM21" s="156">
        <f t="shared" si="0"/>
        <v>6.1440000000000001</v>
      </c>
      <c r="AN21" s="156">
        <f t="shared" si="0"/>
        <v>0</v>
      </c>
      <c r="AO21" s="156">
        <f>IF(ISBLANK($A21),,ROUNDDOWN(I21*AQ6*1.024,))</f>
        <v>56</v>
      </c>
      <c r="AP21" s="156">
        <f>IF(ISBLANK($A21),,ROUNDDOWN(L21*AQ6*1.024,))</f>
        <v>0</v>
      </c>
      <c r="AQ21" s="156">
        <f>IF(ISBLANK($A21),,ROUNDDOWN(N21*AQ6*1.024,))</f>
        <v>0</v>
      </c>
      <c r="AR21" s="156">
        <f>IF(ISBLANK($A21),,ROUNDDOWN(P21*AQ6*1.024,))</f>
        <v>0</v>
      </c>
      <c r="AS21" s="156">
        <f>IF(ISBLANK($A21),,ROUNDDOWN(R21*AQ6*1.024,))</f>
        <v>0</v>
      </c>
      <c r="AT21" s="156">
        <f t="shared" si="2"/>
        <v>0</v>
      </c>
      <c r="AU21" s="156">
        <f>IF(ISBLANK($A21),,ROUNDDOWN(V21*AQ6*1.024,))</f>
        <v>0</v>
      </c>
      <c r="AV21" s="156">
        <f>IF(ISBLANK($A21),,ROUNDDOWN(X21*AQ6*1.024,))</f>
        <v>0</v>
      </c>
    </row>
    <row r="22" spans="1:48">
      <c r="A22" s="156" t="s">
        <v>359</v>
      </c>
      <c r="B22" s="152"/>
      <c r="C22" s="11" t="s">
        <v>333</v>
      </c>
      <c r="D22" s="156" t="s">
        <v>453</v>
      </c>
      <c r="E22" s="156" t="s">
        <v>63</v>
      </c>
      <c r="F22" s="152">
        <v>5</v>
      </c>
      <c r="G22" s="152">
        <v>13</v>
      </c>
      <c r="H22" s="152">
        <v>0</v>
      </c>
      <c r="I22" s="152">
        <v>56</v>
      </c>
      <c r="J22" s="154">
        <f t="shared" si="1"/>
        <v>13</v>
      </c>
      <c r="K22" s="152" t="s">
        <v>337</v>
      </c>
      <c r="L22" s="152"/>
      <c r="M22" s="152"/>
      <c r="N22" s="152"/>
      <c r="O22" s="152"/>
      <c r="P22" s="152"/>
      <c r="Q22" s="152"/>
      <c r="R22" s="152"/>
      <c r="S22" s="152"/>
      <c r="T22" s="152"/>
      <c r="U22" s="152"/>
      <c r="V22" s="152"/>
      <c r="W22" s="152"/>
      <c r="X22" s="152"/>
      <c r="Y22" s="152"/>
      <c r="Z22" s="152"/>
      <c r="AA22" s="152"/>
      <c r="AB22" s="152"/>
      <c r="AC22" s="152"/>
      <c r="AD22" s="152">
        <v>85</v>
      </c>
      <c r="AE22" s="152" t="s">
        <v>337</v>
      </c>
      <c r="AF22" s="152"/>
      <c r="AG22" s="152"/>
      <c r="AH22" s="152" t="s">
        <v>328</v>
      </c>
      <c r="AI22" s="152" t="s">
        <v>329</v>
      </c>
      <c r="AJ22" s="152"/>
      <c r="AK22" s="156"/>
      <c r="AL22" s="156"/>
      <c r="AM22" s="156">
        <f t="shared" si="0"/>
        <v>13.312000000000001</v>
      </c>
      <c r="AN22" s="156">
        <f t="shared" si="0"/>
        <v>0</v>
      </c>
      <c r="AO22" s="156">
        <f>IF(ISBLANK($A22),,ROUNDDOWN(I22*AQ6*1.024,))</f>
        <v>51</v>
      </c>
      <c r="AP22" s="156">
        <f>IF(ISBLANK($A22),,ROUNDDOWN(L22*AQ6*1.024,))</f>
        <v>0</v>
      </c>
      <c r="AQ22" s="156">
        <f>IF(ISBLANK($A22),,ROUNDDOWN(N22*AQ6*1.024,))</f>
        <v>0</v>
      </c>
      <c r="AR22" s="156">
        <f>IF(ISBLANK($A22),,ROUNDDOWN(P22*AQ6*1.024,))</f>
        <v>0</v>
      </c>
      <c r="AS22" s="156">
        <f>IF(ISBLANK($A22),,ROUNDDOWN(R22*AQ6*1.024,))</f>
        <v>0</v>
      </c>
      <c r="AT22" s="156">
        <f t="shared" si="2"/>
        <v>0</v>
      </c>
      <c r="AU22" s="156">
        <f>IF(ISBLANK($A22),,ROUNDDOWN(V22*AQ6*1.024,))</f>
        <v>0</v>
      </c>
      <c r="AV22" s="156">
        <f>IF(ISBLANK($A22),,ROUNDDOWN(X22*AQ6*1.024,))</f>
        <v>0</v>
      </c>
    </row>
    <row r="23" spans="1:48">
      <c r="A23" s="156" t="s">
        <v>360</v>
      </c>
      <c r="B23" s="152"/>
      <c r="C23" s="11" t="s">
        <v>333</v>
      </c>
      <c r="D23" s="156" t="s">
        <v>453</v>
      </c>
      <c r="E23" s="156" t="s">
        <v>67</v>
      </c>
      <c r="F23" s="152">
        <v>5</v>
      </c>
      <c r="G23" s="152">
        <v>13</v>
      </c>
      <c r="H23" s="152">
        <v>0</v>
      </c>
      <c r="I23" s="152">
        <v>56</v>
      </c>
      <c r="J23" s="154">
        <f t="shared" si="1"/>
        <v>13</v>
      </c>
      <c r="K23" s="152" t="s">
        <v>343</v>
      </c>
      <c r="L23" s="152"/>
      <c r="M23" s="152"/>
      <c r="N23" s="152"/>
      <c r="O23" s="152"/>
      <c r="P23" s="152"/>
      <c r="Q23" s="152"/>
      <c r="R23" s="152"/>
      <c r="S23" s="152"/>
      <c r="T23" s="152"/>
      <c r="U23" s="152"/>
      <c r="V23" s="152"/>
      <c r="W23" s="152"/>
      <c r="X23" s="152"/>
      <c r="Y23" s="152"/>
      <c r="Z23" s="152"/>
      <c r="AA23" s="152"/>
      <c r="AB23" s="152"/>
      <c r="AC23" s="152"/>
      <c r="AD23" s="152">
        <v>85</v>
      </c>
      <c r="AE23" s="152" t="s">
        <v>343</v>
      </c>
      <c r="AF23" s="152"/>
      <c r="AG23" s="152"/>
      <c r="AH23" s="152" t="s">
        <v>328</v>
      </c>
      <c r="AI23" s="152" t="s">
        <v>329</v>
      </c>
      <c r="AJ23" s="152"/>
      <c r="AK23" s="156"/>
      <c r="AL23" s="156"/>
      <c r="AM23" s="156">
        <f t="shared" si="0"/>
        <v>13.312000000000001</v>
      </c>
      <c r="AN23" s="156">
        <f t="shared" si="0"/>
        <v>0</v>
      </c>
      <c r="AO23" s="156">
        <f>IF(ISBLANK($A23),,ROUNDDOWN(I23*AQ6*1.024,))</f>
        <v>51</v>
      </c>
      <c r="AP23" s="156">
        <f>IF(ISBLANK($A23),,ROUNDDOWN(L23*AQ6*1.024,))</f>
        <v>0</v>
      </c>
      <c r="AQ23" s="156">
        <f>IF(ISBLANK($A23),,ROUNDDOWN(N23*AQ6*1.024,))</f>
        <v>0</v>
      </c>
      <c r="AR23" s="156">
        <f>IF(ISBLANK($A23),,ROUNDDOWN(P23*AQ6*1.024,))</f>
        <v>0</v>
      </c>
      <c r="AS23" s="156">
        <f>IF(ISBLANK($A23),,ROUNDDOWN(R23*AQ6*1.024,))</f>
        <v>0</v>
      </c>
      <c r="AT23" s="156">
        <f t="shared" si="2"/>
        <v>0</v>
      </c>
      <c r="AU23" s="156">
        <f>IF(ISBLANK($A23),,ROUNDDOWN(V23*AQ6*1.024,))</f>
        <v>0</v>
      </c>
      <c r="AV23" s="156">
        <f>IF(ISBLANK($A23),,ROUNDDOWN(X23*AQ6*1.024,))</f>
        <v>0</v>
      </c>
    </row>
    <row r="24" spans="1:48">
      <c r="A24" s="156" t="s">
        <v>361</v>
      </c>
      <c r="B24" s="152"/>
      <c r="C24" s="11" t="s">
        <v>333</v>
      </c>
      <c r="D24" s="156" t="s">
        <v>453</v>
      </c>
      <c r="E24" s="156" t="s">
        <v>71</v>
      </c>
      <c r="F24" s="152">
        <v>4</v>
      </c>
      <c r="G24" s="152">
        <v>7</v>
      </c>
      <c r="H24" s="152">
        <v>0</v>
      </c>
      <c r="I24" s="152">
        <v>41</v>
      </c>
      <c r="J24" s="154">
        <f t="shared" si="1"/>
        <v>7</v>
      </c>
      <c r="K24" s="152" t="s">
        <v>335</v>
      </c>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t="s">
        <v>328</v>
      </c>
      <c r="AI24" s="152" t="s">
        <v>329</v>
      </c>
      <c r="AJ24" s="152"/>
      <c r="AK24" s="156"/>
      <c r="AL24" s="156"/>
      <c r="AM24" s="156">
        <f t="shared" si="0"/>
        <v>7.1680000000000001</v>
      </c>
      <c r="AN24" s="156">
        <f t="shared" si="0"/>
        <v>0</v>
      </c>
      <c r="AO24" s="156">
        <f>IF(ISBLANK($A24),,ROUNDDOWN(I24*AQ6*1.024,))</f>
        <v>37</v>
      </c>
      <c r="AP24" s="156">
        <f>IF(ISBLANK($A24),,ROUNDDOWN(L24*AQ6*1.024,))</f>
        <v>0</v>
      </c>
      <c r="AQ24" s="156">
        <f>IF(ISBLANK($A24),,ROUNDDOWN(N24*AQ6*1.024,))</f>
        <v>0</v>
      </c>
      <c r="AR24" s="156">
        <f>IF(ISBLANK($A24),,ROUNDDOWN(P24*AQ6*1.024,))</f>
        <v>0</v>
      </c>
      <c r="AS24" s="156">
        <f>IF(ISBLANK($A24),,ROUNDDOWN(R24*AQ6*1.024,))</f>
        <v>0</v>
      </c>
      <c r="AT24" s="156">
        <f t="shared" si="2"/>
        <v>0</v>
      </c>
      <c r="AU24" s="156">
        <f>IF(ISBLANK($A24),,ROUNDDOWN(V24*AQ6*1.024,))</f>
        <v>0</v>
      </c>
      <c r="AV24" s="156">
        <f>IF(ISBLANK($A24),,ROUNDDOWN(X24*AQ6*1.024,))</f>
        <v>0</v>
      </c>
    </row>
    <row r="25" spans="1:48">
      <c r="A25" s="156" t="s">
        <v>363</v>
      </c>
      <c r="B25" s="152"/>
      <c r="C25" s="11" t="s">
        <v>333</v>
      </c>
      <c r="D25" s="156" t="s">
        <v>453</v>
      </c>
      <c r="E25" s="156" t="s">
        <v>71</v>
      </c>
      <c r="F25" s="152">
        <v>4</v>
      </c>
      <c r="G25" s="152">
        <v>7</v>
      </c>
      <c r="H25" s="152">
        <v>0</v>
      </c>
      <c r="I25" s="152">
        <v>41</v>
      </c>
      <c r="J25" s="154">
        <f t="shared" si="1"/>
        <v>7</v>
      </c>
      <c r="K25" s="152" t="s">
        <v>337</v>
      </c>
      <c r="L25" s="152"/>
      <c r="M25" s="152"/>
      <c r="N25" s="152"/>
      <c r="O25" s="152"/>
      <c r="P25" s="152"/>
      <c r="Q25" s="152"/>
      <c r="R25" s="152"/>
      <c r="S25" s="152"/>
      <c r="T25" s="152"/>
      <c r="U25" s="152"/>
      <c r="V25" s="152"/>
      <c r="W25" s="152"/>
      <c r="X25" s="152"/>
      <c r="Y25" s="152"/>
      <c r="Z25" s="152"/>
      <c r="AA25" s="152"/>
      <c r="AB25" s="152"/>
      <c r="AC25" s="152"/>
      <c r="AD25" s="152"/>
      <c r="AE25" s="152"/>
      <c r="AF25" s="152"/>
      <c r="AG25" s="152"/>
      <c r="AH25" s="152" t="s">
        <v>328</v>
      </c>
      <c r="AI25" s="152" t="s">
        <v>329</v>
      </c>
      <c r="AJ25" s="152"/>
      <c r="AK25" s="156"/>
      <c r="AL25" s="156"/>
      <c r="AM25" s="156">
        <f t="shared" si="0"/>
        <v>7.1680000000000001</v>
      </c>
      <c r="AN25" s="156">
        <f t="shared" si="0"/>
        <v>0</v>
      </c>
      <c r="AO25" s="156">
        <f>IF(ISBLANK($A25),,ROUNDDOWN(I25*AQ6*1.024,))</f>
        <v>37</v>
      </c>
      <c r="AP25" s="156">
        <f>IF(ISBLANK($A25),,ROUNDDOWN(L25*AQ6*1.024,))</f>
        <v>0</v>
      </c>
      <c r="AQ25" s="156">
        <f>IF(ISBLANK($A25),,ROUNDDOWN(N25*AQ6*1.024,))</f>
        <v>0</v>
      </c>
      <c r="AR25" s="156">
        <f>IF(ISBLANK($A25),,ROUNDDOWN(P25*AQ6*1.024,))</f>
        <v>0</v>
      </c>
      <c r="AS25" s="156">
        <f>IF(ISBLANK($A25),,ROUNDDOWN(R25*AQ6*1.024,))</f>
        <v>0</v>
      </c>
      <c r="AT25" s="156">
        <f t="shared" si="2"/>
        <v>0</v>
      </c>
      <c r="AU25" s="156">
        <f>IF(ISBLANK($A25),,ROUNDDOWN(V25*AQ6*1.024,))</f>
        <v>0</v>
      </c>
      <c r="AV25" s="156">
        <f>IF(ISBLANK($A25),,ROUNDDOWN(X25*AQ6*1.024,))</f>
        <v>0</v>
      </c>
    </row>
    <row r="26" spans="1:48">
      <c r="A26" s="156" t="s">
        <v>484</v>
      </c>
      <c r="B26" s="152"/>
      <c r="C26" s="11" t="s">
        <v>333</v>
      </c>
      <c r="D26" s="156" t="s">
        <v>453</v>
      </c>
      <c r="E26" s="156" t="s">
        <v>73</v>
      </c>
      <c r="F26" s="152">
        <v>8</v>
      </c>
      <c r="G26" s="152">
        <v>33</v>
      </c>
      <c r="H26" s="152">
        <v>33</v>
      </c>
      <c r="I26" s="152">
        <v>136</v>
      </c>
      <c r="J26" s="154">
        <f t="shared" si="1"/>
        <v>0</v>
      </c>
      <c r="K26" s="152" t="s">
        <v>343</v>
      </c>
      <c r="L26" s="152"/>
      <c r="M26" s="152"/>
      <c r="N26" s="152"/>
      <c r="O26" s="152"/>
      <c r="P26" s="152"/>
      <c r="Q26" s="152"/>
      <c r="R26" s="152"/>
      <c r="S26" s="152"/>
      <c r="T26" s="152"/>
      <c r="U26" s="152"/>
      <c r="V26" s="152"/>
      <c r="W26" s="152"/>
      <c r="X26" s="152"/>
      <c r="Y26" s="152"/>
      <c r="Z26" s="152"/>
      <c r="AA26" s="152"/>
      <c r="AB26" s="152"/>
      <c r="AC26" s="152"/>
      <c r="AD26" s="152"/>
      <c r="AE26" s="152"/>
      <c r="AF26" s="152"/>
      <c r="AG26" s="152"/>
      <c r="AH26" s="152" t="s">
        <v>346</v>
      </c>
      <c r="AI26" s="152" t="s">
        <v>347</v>
      </c>
      <c r="AJ26" s="152"/>
      <c r="AK26" s="156"/>
      <c r="AL26" s="156"/>
      <c r="AM26" s="156">
        <f t="shared" si="0"/>
        <v>33.792000000000002</v>
      </c>
      <c r="AN26" s="156">
        <f t="shared" si="0"/>
        <v>33.792000000000002</v>
      </c>
      <c r="AO26" s="156">
        <f>IF(ISBLANK($A26),,ROUNDDOWN(I26*AQ6*1.024,))</f>
        <v>125</v>
      </c>
      <c r="AP26" s="156">
        <f>IF(ISBLANK($A26),,ROUNDDOWN(L26*AQ6*1.024,))</f>
        <v>0</v>
      </c>
      <c r="AQ26" s="156">
        <f>IF(ISBLANK($A26),,ROUNDDOWN(N26*AQ6*1.024,))</f>
        <v>0</v>
      </c>
      <c r="AR26" s="156">
        <f>IF(ISBLANK($A26),,ROUNDDOWN(P26*AQ6*1.024,))</f>
        <v>0</v>
      </c>
      <c r="AS26" s="156">
        <f>IF(ISBLANK($A26),,ROUNDDOWN(R26*AQ6*1.024,))</f>
        <v>0</v>
      </c>
      <c r="AT26" s="156">
        <f t="shared" si="2"/>
        <v>0</v>
      </c>
      <c r="AU26" s="156">
        <f>IF(ISBLANK($A26),,ROUNDDOWN(V26*AQ6*1.024,))</f>
        <v>0</v>
      </c>
      <c r="AV26" s="156">
        <f>IF(ISBLANK($A26),,ROUNDDOWN(X26*AQ6*1.024,))</f>
        <v>0</v>
      </c>
    </row>
    <row r="27" spans="1:48">
      <c r="A27" s="156" t="s">
        <v>485</v>
      </c>
      <c r="B27" s="152"/>
      <c r="C27" s="11" t="s">
        <v>333</v>
      </c>
      <c r="D27" s="156" t="s">
        <v>453</v>
      </c>
      <c r="E27" s="156" t="s">
        <v>73</v>
      </c>
      <c r="F27" s="152">
        <v>8</v>
      </c>
      <c r="G27" s="152">
        <v>33</v>
      </c>
      <c r="H27" s="152">
        <v>33</v>
      </c>
      <c r="I27" s="176">
        <v>136</v>
      </c>
      <c r="J27" s="154">
        <f t="shared" si="1"/>
        <v>0</v>
      </c>
      <c r="K27" s="152" t="s">
        <v>335</v>
      </c>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t="s">
        <v>346</v>
      </c>
      <c r="AI27" s="152" t="s">
        <v>347</v>
      </c>
      <c r="AJ27" s="152"/>
      <c r="AK27" s="156"/>
      <c r="AL27" s="156"/>
      <c r="AM27" s="156">
        <f t="shared" si="0"/>
        <v>33.792000000000002</v>
      </c>
      <c r="AN27" s="156">
        <f t="shared" si="0"/>
        <v>33.792000000000002</v>
      </c>
      <c r="AO27" s="156">
        <f>IF(ISBLANK($A27),,ROUNDDOWN(I27*AQ6*1.024,))</f>
        <v>125</v>
      </c>
      <c r="AP27" s="156">
        <f>IF(ISBLANK($A27),,ROUNDDOWN(L27*AQ6*1.024,))</f>
        <v>0</v>
      </c>
      <c r="AQ27" s="156">
        <f>IF(ISBLANK($A27),,ROUNDDOWN(N27*AQ6*1.024,))</f>
        <v>0</v>
      </c>
      <c r="AR27" s="156">
        <f>IF(ISBLANK($A27),,ROUNDDOWN(P27*AQ6*1.024,))</f>
        <v>0</v>
      </c>
      <c r="AS27" s="156">
        <f>IF(ISBLANK($A27),,ROUNDDOWN(R27*AQ6*1.024,))</f>
        <v>0</v>
      </c>
      <c r="AT27" s="156">
        <f t="shared" si="2"/>
        <v>0</v>
      </c>
      <c r="AU27" s="156">
        <f>IF(ISBLANK($A27),,ROUNDDOWN(V27*AQ6*1.024,))</f>
        <v>0</v>
      </c>
      <c r="AV27" s="156">
        <f>IF(ISBLANK($A27),,ROUNDDOWN(X27*AQ6*1.024,))</f>
        <v>0</v>
      </c>
    </row>
    <row r="28" spans="1:48">
      <c r="A28" s="156" t="s">
        <v>486</v>
      </c>
      <c r="B28" s="152"/>
      <c r="C28" s="11" t="s">
        <v>333</v>
      </c>
      <c r="D28" s="156" t="s">
        <v>453</v>
      </c>
      <c r="E28" s="156" t="s">
        <v>73</v>
      </c>
      <c r="F28" s="152">
        <v>8</v>
      </c>
      <c r="G28" s="152">
        <v>33</v>
      </c>
      <c r="H28" s="152">
        <v>33</v>
      </c>
      <c r="I28" s="176">
        <v>136</v>
      </c>
      <c r="J28" s="154">
        <f t="shared" si="1"/>
        <v>0</v>
      </c>
      <c r="K28" s="152" t="s">
        <v>337</v>
      </c>
      <c r="L28" s="152"/>
      <c r="M28" s="152"/>
      <c r="N28" s="152"/>
      <c r="O28" s="152"/>
      <c r="P28" s="152"/>
      <c r="Q28" s="152"/>
      <c r="R28" s="152"/>
      <c r="S28" s="152"/>
      <c r="T28" s="152"/>
      <c r="U28" s="152"/>
      <c r="V28" s="152"/>
      <c r="W28" s="152"/>
      <c r="X28" s="152"/>
      <c r="Y28" s="152"/>
      <c r="Z28" s="152"/>
      <c r="AA28" s="152"/>
      <c r="AB28" s="152"/>
      <c r="AC28" s="152"/>
      <c r="AD28" s="152"/>
      <c r="AE28" s="152"/>
      <c r="AF28" s="152"/>
      <c r="AG28" s="152"/>
      <c r="AH28" s="152" t="s">
        <v>346</v>
      </c>
      <c r="AI28" s="152" t="s">
        <v>347</v>
      </c>
      <c r="AJ28" s="152"/>
      <c r="AK28" s="156"/>
      <c r="AL28" s="156"/>
      <c r="AM28" s="156">
        <f t="shared" si="0"/>
        <v>33.792000000000002</v>
      </c>
      <c r="AN28" s="156">
        <f t="shared" si="0"/>
        <v>33.792000000000002</v>
      </c>
      <c r="AO28" s="156">
        <f>IF(ISBLANK($A28),,ROUNDDOWN(I28*AQ6*1.024,))</f>
        <v>125</v>
      </c>
      <c r="AP28" s="156">
        <f>IF(ISBLANK($A28),,ROUNDDOWN(L28*AQ6*1.024,))</f>
        <v>0</v>
      </c>
      <c r="AQ28" s="156">
        <f>IF(ISBLANK($A28),,ROUNDDOWN(N28*AQ6*1.024,))</f>
        <v>0</v>
      </c>
      <c r="AR28" s="156">
        <f>IF(ISBLANK($A28),,ROUNDDOWN(P28*AQ6*1.024,))</f>
        <v>0</v>
      </c>
      <c r="AS28" s="156">
        <f>IF(ISBLANK($A28),,ROUNDDOWN(R28*AQ6*1.024,))</f>
        <v>0</v>
      </c>
      <c r="AT28" s="156">
        <f t="shared" si="2"/>
        <v>0</v>
      </c>
      <c r="AU28" s="156">
        <f>IF(ISBLANK($A28),,ROUNDDOWN(V28*AQ6*1.024,))</f>
        <v>0</v>
      </c>
      <c r="AV28" s="156">
        <f>IF(ISBLANK($A28),,ROUNDDOWN(X28*AQ6*1.024,))</f>
        <v>0</v>
      </c>
    </row>
    <row r="29" spans="1:48">
      <c r="A29" s="156" t="s">
        <v>487</v>
      </c>
      <c r="B29" s="152"/>
      <c r="C29" s="11" t="s">
        <v>333</v>
      </c>
      <c r="D29" s="156" t="s">
        <v>453</v>
      </c>
      <c r="E29" s="156" t="s">
        <v>73</v>
      </c>
      <c r="F29" s="152">
        <v>8</v>
      </c>
      <c r="G29" s="152">
        <v>33</v>
      </c>
      <c r="H29" s="152">
        <v>33</v>
      </c>
      <c r="I29" s="176">
        <v>136</v>
      </c>
      <c r="J29" s="154">
        <f t="shared" si="1"/>
        <v>0</v>
      </c>
      <c r="K29" s="152" t="s">
        <v>343</v>
      </c>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t="s">
        <v>346</v>
      </c>
      <c r="AI29" s="152" t="s">
        <v>347</v>
      </c>
      <c r="AJ29" s="152"/>
      <c r="AK29" s="156"/>
      <c r="AL29" s="156"/>
      <c r="AM29" s="156">
        <f t="shared" si="0"/>
        <v>33.792000000000002</v>
      </c>
      <c r="AN29" s="156">
        <f t="shared" si="0"/>
        <v>33.792000000000002</v>
      </c>
      <c r="AO29" s="156">
        <f>IF(ISBLANK($A29),,ROUNDDOWN(I29*AQ6*1.024,))</f>
        <v>125</v>
      </c>
      <c r="AP29" s="156">
        <f>IF(ISBLANK($A29),,ROUNDDOWN(L29*AQ6*1.024,))</f>
        <v>0</v>
      </c>
      <c r="AQ29" s="156">
        <f>IF(ISBLANK($A29),,ROUNDDOWN(N29*AQ6*1.024,))</f>
        <v>0</v>
      </c>
      <c r="AR29" s="156">
        <f>IF(ISBLANK($A29),,ROUNDDOWN(P29*AQ6*1.024,))</f>
        <v>0</v>
      </c>
      <c r="AS29" s="156">
        <f>IF(ISBLANK($A29),,ROUNDDOWN(R29*AQ6*1.024,))</f>
        <v>0</v>
      </c>
      <c r="AT29" s="156">
        <f t="shared" si="2"/>
        <v>0</v>
      </c>
      <c r="AU29" s="156">
        <f>IF(ISBLANK($A29),,ROUNDDOWN(V29*AQ6*1.024,))</f>
        <v>0</v>
      </c>
      <c r="AV29" s="156">
        <f>IF(ISBLANK($A29),,ROUNDDOWN(X29*AQ6*1.024,))</f>
        <v>0</v>
      </c>
    </row>
    <row r="30" spans="1:48">
      <c r="A30" s="156" t="s">
        <v>488</v>
      </c>
      <c r="B30" s="152"/>
      <c r="C30" s="11" t="s">
        <v>333</v>
      </c>
      <c r="D30" s="11" t="s">
        <v>362</v>
      </c>
      <c r="E30" s="156" t="s">
        <v>75</v>
      </c>
      <c r="F30" s="152">
        <v>4</v>
      </c>
      <c r="G30" s="152">
        <v>4</v>
      </c>
      <c r="H30" s="152">
        <v>0</v>
      </c>
      <c r="I30" s="152">
        <v>100</v>
      </c>
      <c r="J30" s="154">
        <f t="shared" si="1"/>
        <v>4</v>
      </c>
      <c r="K30" s="152" t="s">
        <v>335</v>
      </c>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t="s">
        <v>328</v>
      </c>
      <c r="AI30" s="152" t="s">
        <v>329</v>
      </c>
      <c r="AJ30" s="152"/>
      <c r="AK30" s="156"/>
      <c r="AL30" s="156"/>
      <c r="AM30" s="156">
        <f t="shared" si="0"/>
        <v>4.0960000000000001</v>
      </c>
      <c r="AN30" s="156">
        <f t="shared" si="0"/>
        <v>0</v>
      </c>
      <c r="AO30" s="156">
        <f>IF(ISBLANK($A30),,ROUNDDOWN(I30*AQ6*1.024,))</f>
        <v>92</v>
      </c>
      <c r="AP30" s="156">
        <f>IF(ISBLANK($A30),,ROUNDDOWN(L30*AQ6*1.024,))</f>
        <v>0</v>
      </c>
      <c r="AQ30" s="156">
        <f>IF(ISBLANK($A30),,ROUNDDOWN(N30*AQ6*1.024,))</f>
        <v>0</v>
      </c>
      <c r="AR30" s="156">
        <f>IF(ISBLANK($A30),,ROUNDDOWN(P30*AQ6*1.024,))</f>
        <v>0</v>
      </c>
      <c r="AS30" s="156">
        <f>IF(ISBLANK($A30),,ROUNDDOWN(R30*AQ6*1.024,))</f>
        <v>0</v>
      </c>
      <c r="AT30" s="156">
        <f t="shared" si="2"/>
        <v>0</v>
      </c>
      <c r="AU30" s="156">
        <f>IF(ISBLANK($A30),,ROUNDDOWN(V30*AQ6*1.024,))</f>
        <v>0</v>
      </c>
      <c r="AV30" s="156">
        <f>IF(ISBLANK($A30),,ROUNDDOWN(X30*AQ6*1.024,))</f>
        <v>0</v>
      </c>
    </row>
    <row r="31" spans="1:48">
      <c r="A31" s="156" t="s">
        <v>489</v>
      </c>
      <c r="B31" s="152"/>
      <c r="C31" s="11" t="s">
        <v>333</v>
      </c>
      <c r="D31" s="11" t="s">
        <v>362</v>
      </c>
      <c r="E31" s="156" t="s">
        <v>79</v>
      </c>
      <c r="F31" s="152">
        <v>4</v>
      </c>
      <c r="G31" s="152">
        <v>16</v>
      </c>
      <c r="H31" s="152">
        <v>0</v>
      </c>
      <c r="I31" s="152">
        <v>110</v>
      </c>
      <c r="J31" s="154">
        <f t="shared" si="1"/>
        <v>16</v>
      </c>
      <c r="K31" s="152" t="s">
        <v>337</v>
      </c>
      <c r="L31" s="152"/>
      <c r="M31" s="152"/>
      <c r="N31" s="152"/>
      <c r="O31" s="152"/>
      <c r="P31" s="152"/>
      <c r="Q31" s="152"/>
      <c r="R31" s="152"/>
      <c r="S31" s="152"/>
      <c r="T31" s="152"/>
      <c r="U31" s="152"/>
      <c r="V31" s="152"/>
      <c r="W31" s="152"/>
      <c r="X31" s="152"/>
      <c r="Y31" s="152"/>
      <c r="Z31" s="152"/>
      <c r="AA31" s="152"/>
      <c r="AB31" s="152"/>
      <c r="AC31" s="152"/>
      <c r="AD31" s="152"/>
      <c r="AE31" s="152"/>
      <c r="AF31" s="152"/>
      <c r="AG31" s="152"/>
      <c r="AH31" s="152" t="s">
        <v>328</v>
      </c>
      <c r="AI31" s="152" t="s">
        <v>329</v>
      </c>
      <c r="AJ31" s="152"/>
      <c r="AK31" s="156"/>
      <c r="AL31" s="156"/>
      <c r="AM31" s="156">
        <f t="shared" si="0"/>
        <v>16.384</v>
      </c>
      <c r="AN31" s="156">
        <f t="shared" si="0"/>
        <v>0</v>
      </c>
      <c r="AO31" s="156">
        <f>IF(ISBLANK($A31),,ROUNDDOWN(I31*AQ6*1.024,))</f>
        <v>101</v>
      </c>
      <c r="AP31" s="156">
        <f>IF(ISBLANK($A31),,ROUNDDOWN(L31*AQ6*1.024,))</f>
        <v>0</v>
      </c>
      <c r="AQ31" s="156">
        <f>IF(ISBLANK($A31),,ROUNDDOWN(N31*AQ6*1.024,))</f>
        <v>0</v>
      </c>
      <c r="AR31" s="156">
        <f>IF(ISBLANK($A31),,ROUNDDOWN(P31*AQ6*1.024,))</f>
        <v>0</v>
      </c>
      <c r="AS31" s="156">
        <f>IF(ISBLANK($A31),,ROUNDDOWN(R31*AQ6*1.024,))</f>
        <v>0</v>
      </c>
      <c r="AT31" s="156">
        <f t="shared" si="2"/>
        <v>0</v>
      </c>
      <c r="AU31" s="156">
        <f>IF(ISBLANK($A31),,ROUNDDOWN(V31*AQ6*1.024,))</f>
        <v>0</v>
      </c>
      <c r="AV31" s="156">
        <f>IF(ISBLANK($A31),,ROUNDDOWN(X31*AQ6*1.024,))</f>
        <v>0</v>
      </c>
    </row>
    <row r="32" spans="1:48">
      <c r="A32" s="156" t="s">
        <v>364</v>
      </c>
      <c r="B32" s="152"/>
      <c r="C32" s="11" t="s">
        <v>333</v>
      </c>
      <c r="D32" s="11" t="s">
        <v>362</v>
      </c>
      <c r="E32" s="156" t="s">
        <v>77</v>
      </c>
      <c r="F32" s="152">
        <v>4</v>
      </c>
      <c r="G32" s="152">
        <v>14</v>
      </c>
      <c r="H32" s="152">
        <v>0</v>
      </c>
      <c r="I32" s="152">
        <v>100</v>
      </c>
      <c r="J32" s="154">
        <f t="shared" si="1"/>
        <v>14</v>
      </c>
      <c r="K32" s="152" t="s">
        <v>343</v>
      </c>
      <c r="L32" s="152"/>
      <c r="M32" s="152"/>
      <c r="N32" s="152"/>
      <c r="O32" s="152"/>
      <c r="P32" s="152"/>
      <c r="Q32" s="152"/>
      <c r="R32" s="152"/>
      <c r="S32" s="152"/>
      <c r="T32" s="152"/>
      <c r="U32" s="152"/>
      <c r="V32" s="152"/>
      <c r="W32" s="152"/>
      <c r="X32" s="152"/>
      <c r="Y32" s="152"/>
      <c r="Z32" s="152"/>
      <c r="AA32" s="152"/>
      <c r="AB32" s="152"/>
      <c r="AC32" s="152"/>
      <c r="AD32" s="152"/>
      <c r="AE32" s="152"/>
      <c r="AF32" s="152"/>
      <c r="AG32" s="152"/>
      <c r="AH32" s="152" t="s">
        <v>328</v>
      </c>
      <c r="AI32" s="152" t="s">
        <v>329</v>
      </c>
      <c r="AJ32" s="152"/>
      <c r="AK32" s="156"/>
      <c r="AL32" s="156"/>
      <c r="AM32" s="156">
        <f t="shared" si="0"/>
        <v>14.336</v>
      </c>
      <c r="AN32" s="156">
        <f t="shared" si="0"/>
        <v>0</v>
      </c>
      <c r="AO32" s="156">
        <f>IF(ISBLANK($A32),,ROUNDDOWN(I32*AQ6*1.024,))</f>
        <v>92</v>
      </c>
      <c r="AP32" s="156">
        <f>IF(ISBLANK($A32),,ROUNDDOWN(L32*AQ6*1.024,))</f>
        <v>0</v>
      </c>
      <c r="AQ32" s="156">
        <f>IF(ISBLANK($A32),,ROUNDDOWN(N32*AQ6*1.024,))</f>
        <v>0</v>
      </c>
      <c r="AR32" s="156">
        <f>IF(ISBLANK($A32),,ROUNDDOWN(P32*AQ6*1.024,))</f>
        <v>0</v>
      </c>
      <c r="AS32" s="156">
        <f>IF(ISBLANK($A32),,ROUNDDOWN(R32*AQ6*1.024,))</f>
        <v>0</v>
      </c>
      <c r="AT32" s="156">
        <f t="shared" si="2"/>
        <v>0</v>
      </c>
      <c r="AU32" s="156">
        <f>IF(ISBLANK($A32),,ROUNDDOWN(V32*AQ6*1.024,))</f>
        <v>0</v>
      </c>
      <c r="AV32" s="156">
        <f>IF(ISBLANK($A32),,ROUNDDOWN(X32*AQ6*1.024,))</f>
        <v>0</v>
      </c>
    </row>
    <row r="33" spans="1:48">
      <c r="A33" s="156" t="s">
        <v>365</v>
      </c>
      <c r="B33" s="152"/>
      <c r="C33" s="11" t="s">
        <v>333</v>
      </c>
      <c r="D33" s="156" t="s">
        <v>453</v>
      </c>
      <c r="E33" s="156" t="s">
        <v>81</v>
      </c>
      <c r="F33" s="152">
        <v>9</v>
      </c>
      <c r="G33" s="152">
        <v>12</v>
      </c>
      <c r="H33" s="152">
        <v>0</v>
      </c>
      <c r="I33" s="152">
        <v>56</v>
      </c>
      <c r="J33" s="154">
        <f t="shared" si="1"/>
        <v>12</v>
      </c>
      <c r="K33" s="152" t="s">
        <v>343</v>
      </c>
      <c r="L33" s="152"/>
      <c r="M33" s="152"/>
      <c r="N33" s="152"/>
      <c r="O33" s="152"/>
      <c r="P33" s="152"/>
      <c r="Q33" s="152"/>
      <c r="R33" s="152"/>
      <c r="S33" s="152"/>
      <c r="T33" s="152"/>
      <c r="U33" s="152"/>
      <c r="V33" s="152"/>
      <c r="W33" s="152"/>
      <c r="X33" s="152"/>
      <c r="Y33" s="152"/>
      <c r="Z33" s="152">
        <v>50</v>
      </c>
      <c r="AA33" s="152" t="s">
        <v>366</v>
      </c>
      <c r="AB33" s="152"/>
      <c r="AC33" s="152"/>
      <c r="AD33" s="152"/>
      <c r="AE33" s="152"/>
      <c r="AF33" s="152"/>
      <c r="AG33" s="152"/>
      <c r="AH33" s="152" t="s">
        <v>328</v>
      </c>
      <c r="AI33" s="152" t="s">
        <v>329</v>
      </c>
      <c r="AJ33" s="152"/>
      <c r="AK33" s="156"/>
      <c r="AL33" s="156"/>
      <c r="AM33" s="156">
        <f t="shared" si="0"/>
        <v>12.288</v>
      </c>
      <c r="AN33" s="156">
        <f t="shared" si="0"/>
        <v>0</v>
      </c>
      <c r="AO33" s="156">
        <f>IF(ISBLANK($A33),,ROUNDDOWN(I33*AQ6*1.024,))</f>
        <v>51</v>
      </c>
      <c r="AP33" s="156">
        <f>IF(ISBLANK($A33),,ROUNDDOWN(L33*AQ6*1.024,))</f>
        <v>0</v>
      </c>
      <c r="AQ33" s="156">
        <f>IF(ISBLANK($A33),,ROUNDDOWN(N33*AQ6*1.024,))</f>
        <v>0</v>
      </c>
      <c r="AR33" s="156">
        <f>IF(ISBLANK($A33),,ROUNDDOWN(P33*AQ6*1.024,))</f>
        <v>0</v>
      </c>
      <c r="AS33" s="156">
        <f>IF(ISBLANK($A33),,ROUNDDOWN(R33*AQ6*1.024,))</f>
        <v>0</v>
      </c>
      <c r="AT33" s="156">
        <f t="shared" si="2"/>
        <v>0</v>
      </c>
      <c r="AU33" s="156">
        <f>IF(ISBLANK($A33),,ROUNDDOWN(V33*AQ6*1.024,))</f>
        <v>0</v>
      </c>
      <c r="AV33" s="156">
        <f>IF(ISBLANK($A33),,ROUNDDOWN(X33*AQ6*1.024,))</f>
        <v>0</v>
      </c>
    </row>
    <row r="34" spans="1:48">
      <c r="A34" s="156" t="s">
        <v>367</v>
      </c>
      <c r="B34" s="152"/>
      <c r="C34" s="11" t="s">
        <v>333</v>
      </c>
      <c r="D34" s="156" t="s">
        <v>453</v>
      </c>
      <c r="E34" s="156" t="s">
        <v>81</v>
      </c>
      <c r="F34" s="152">
        <v>9</v>
      </c>
      <c r="G34" s="152">
        <v>12</v>
      </c>
      <c r="H34" s="152">
        <v>0</v>
      </c>
      <c r="I34" s="152">
        <v>56</v>
      </c>
      <c r="J34" s="154">
        <f t="shared" si="1"/>
        <v>12</v>
      </c>
      <c r="K34" s="152" t="s">
        <v>335</v>
      </c>
      <c r="L34" s="152"/>
      <c r="M34" s="152"/>
      <c r="N34" s="152"/>
      <c r="O34" s="152"/>
      <c r="P34" s="152"/>
      <c r="Q34" s="152"/>
      <c r="R34" s="152"/>
      <c r="S34" s="152"/>
      <c r="T34" s="152"/>
      <c r="U34" s="152"/>
      <c r="V34" s="152"/>
      <c r="W34" s="152"/>
      <c r="X34" s="152"/>
      <c r="Y34" s="152"/>
      <c r="Z34" s="152">
        <v>50</v>
      </c>
      <c r="AA34" s="152" t="s">
        <v>366</v>
      </c>
      <c r="AB34" s="152"/>
      <c r="AC34" s="152"/>
      <c r="AD34" s="152"/>
      <c r="AE34" s="152"/>
      <c r="AF34" s="152"/>
      <c r="AG34" s="152"/>
      <c r="AH34" s="152" t="s">
        <v>328</v>
      </c>
      <c r="AI34" s="152" t="s">
        <v>329</v>
      </c>
      <c r="AJ34" s="152"/>
      <c r="AK34" s="156"/>
      <c r="AL34" s="156"/>
      <c r="AM34" s="156">
        <f t="shared" si="0"/>
        <v>12.288</v>
      </c>
      <c r="AN34" s="156">
        <f t="shared" si="0"/>
        <v>0</v>
      </c>
      <c r="AO34" s="156">
        <f>IF(ISBLANK($A34),,ROUNDDOWN(I34*AQ6*1.024,))</f>
        <v>51</v>
      </c>
      <c r="AP34" s="156">
        <f>IF(ISBLANK($A34),,ROUNDDOWN(L34*AQ6*1.024,))</f>
        <v>0</v>
      </c>
      <c r="AQ34" s="156">
        <f>IF(ISBLANK($A34),,ROUNDDOWN(N34*AQ6*1.024,))</f>
        <v>0</v>
      </c>
      <c r="AR34" s="156">
        <f>IF(ISBLANK($A34),,ROUNDDOWN(P34*AQ6*1.024,))</f>
        <v>0</v>
      </c>
      <c r="AS34" s="156">
        <f>IF(ISBLANK($A34),,ROUNDDOWN(R34*AQ6*1.024,))</f>
        <v>0</v>
      </c>
      <c r="AT34" s="156">
        <f t="shared" si="2"/>
        <v>0</v>
      </c>
      <c r="AU34" s="156">
        <f>IF(ISBLANK($A34),,ROUNDDOWN(V34*AQ6*1.024,))</f>
        <v>0</v>
      </c>
      <c r="AV34" s="156">
        <f>IF(ISBLANK($A34),,ROUNDDOWN(X34*AQ6*1.024,))</f>
        <v>0</v>
      </c>
    </row>
    <row r="35" spans="1:48">
      <c r="A35" s="156" t="s">
        <v>368</v>
      </c>
      <c r="B35" s="152"/>
      <c r="C35" s="11" t="s">
        <v>333</v>
      </c>
      <c r="D35" s="156" t="s">
        <v>453</v>
      </c>
      <c r="E35" s="156" t="s">
        <v>369</v>
      </c>
      <c r="F35" s="152">
        <v>4</v>
      </c>
      <c r="G35" s="152">
        <v>4</v>
      </c>
      <c r="H35" s="152">
        <v>0</v>
      </c>
      <c r="I35" s="152">
        <v>41</v>
      </c>
      <c r="J35" s="154">
        <f t="shared" si="1"/>
        <v>4</v>
      </c>
      <c r="K35" s="152" t="s">
        <v>343</v>
      </c>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t="s">
        <v>328</v>
      </c>
      <c r="AI35" s="152" t="s">
        <v>329</v>
      </c>
      <c r="AJ35" s="152"/>
      <c r="AK35" s="156"/>
      <c r="AL35" s="156"/>
      <c r="AM35" s="156">
        <f>IF(ISBLANK($A35),,G35*1.024)</f>
        <v>4.0960000000000001</v>
      </c>
      <c r="AN35" s="156">
        <f>IF(ISBLANK($A35),,H35*1.024)</f>
        <v>0</v>
      </c>
      <c r="AO35" s="156">
        <f>IF(ISBLANK($A35),,ROUNDDOWN(I35*AQ6*1.024,))</f>
        <v>37</v>
      </c>
      <c r="AP35" s="156">
        <f>IF(ISBLANK($A35),,ROUNDDOWN(L35*AQ6*1.024,))</f>
        <v>0</v>
      </c>
      <c r="AQ35" s="156">
        <f>IF(ISBLANK($A35),,ROUNDDOWN(N35*AQ6*1.024,))</f>
        <v>0</v>
      </c>
      <c r="AR35" s="156">
        <f>IF(ISBLANK($A35),,ROUNDDOWN(P35*AQ6*1.024,))</f>
        <v>0</v>
      </c>
      <c r="AS35" s="156">
        <f>IF(ISBLANK($A35),,ROUNDDOWN(R35*AQ6*1.024,))</f>
        <v>0</v>
      </c>
      <c r="AT35" s="156">
        <f t="shared" si="2"/>
        <v>0</v>
      </c>
      <c r="AU35" s="156">
        <f>IF(ISBLANK($A35),,ROUNDDOWN(V35*AQ6*1.024,))</f>
        <v>0</v>
      </c>
      <c r="AV35" s="156">
        <f>IF(ISBLANK($A35),,ROUNDDOWN(X35*AQ6*1.024,))</f>
        <v>0</v>
      </c>
    </row>
    <row r="36" spans="1:48">
      <c r="A36" s="156" t="s">
        <v>370</v>
      </c>
      <c r="B36" s="152"/>
      <c r="C36" s="11" t="s">
        <v>333</v>
      </c>
      <c r="D36" s="156" t="s">
        <v>453</v>
      </c>
      <c r="E36" s="156" t="s">
        <v>371</v>
      </c>
      <c r="F36" s="152">
        <v>4</v>
      </c>
      <c r="G36" s="152">
        <v>4</v>
      </c>
      <c r="H36" s="152">
        <v>0</v>
      </c>
      <c r="I36" s="152">
        <v>41</v>
      </c>
      <c r="J36" s="154">
        <f t="shared" si="1"/>
        <v>4</v>
      </c>
      <c r="K36" s="152" t="s">
        <v>343</v>
      </c>
      <c r="L36" s="152"/>
      <c r="M36" s="152"/>
      <c r="N36" s="152"/>
      <c r="O36" s="152"/>
      <c r="P36" s="152"/>
      <c r="Q36" s="152"/>
      <c r="R36" s="152"/>
      <c r="S36" s="152"/>
      <c r="T36" s="152"/>
      <c r="U36" s="152"/>
      <c r="V36" s="152"/>
      <c r="W36" s="152"/>
      <c r="X36" s="152"/>
      <c r="Y36" s="8"/>
      <c r="Z36" s="8"/>
      <c r="AA36" s="8"/>
      <c r="AB36" s="8"/>
      <c r="AC36" s="8"/>
      <c r="AD36" s="8"/>
      <c r="AE36" s="8"/>
      <c r="AF36" s="8"/>
      <c r="AG36" s="8"/>
      <c r="AH36" s="8" t="s">
        <v>328</v>
      </c>
      <c r="AI36" s="8" t="s">
        <v>329</v>
      </c>
      <c r="AJ36" s="8"/>
      <c r="AK36" s="156"/>
      <c r="AL36" s="156"/>
      <c r="AM36" s="156">
        <f>IF(ISBLANK($A36),,G36*1.024)</f>
        <v>4.0960000000000001</v>
      </c>
      <c r="AN36" s="156">
        <f>IF(ISBLANK($A36),,H36*1.024)</f>
        <v>0</v>
      </c>
      <c r="AO36" s="156">
        <f>IF(ISBLANK($A36),,ROUNDDOWN(I36*AQ6*1.024,))</f>
        <v>37</v>
      </c>
      <c r="AP36" s="156">
        <f>IF(ISBLANK($A36),,ROUNDDOWN(L36*AQ6*1.024,))</f>
        <v>0</v>
      </c>
      <c r="AQ36" s="156">
        <f>IF(ISBLANK($A36),,ROUNDDOWN(N36*AQ6*1.024,))</f>
        <v>0</v>
      </c>
      <c r="AR36" s="156">
        <f>IF(ISBLANK($A36),,ROUNDDOWN(P36*AQ6*1.024,))</f>
        <v>0</v>
      </c>
      <c r="AS36" s="156">
        <f>IF(ISBLANK($A36),,ROUNDDOWN(R36*AQ6*1.024,))</f>
        <v>0</v>
      </c>
      <c r="AT36" s="156">
        <f t="shared" si="2"/>
        <v>0</v>
      </c>
      <c r="AU36" s="156">
        <f>IF(ISBLANK($A36),,ROUNDDOWN(V36*AQ6*1.024,))</f>
        <v>0</v>
      </c>
      <c r="AV36" s="156">
        <f>IF(ISBLANK($A36),,ROUNDDOWN(X36*AQ6*1.024,))</f>
        <v>0</v>
      </c>
    </row>
    <row r="37" spans="1:48">
      <c r="A37" s="10"/>
      <c r="B37" s="10"/>
      <c r="C37" s="10"/>
      <c r="D37" s="10"/>
      <c r="E37" s="10"/>
      <c r="F37" s="9">
        <f>SUM(F8:F36)</f>
        <v>157</v>
      </c>
      <c r="G37" s="9">
        <f>SUM(G8:G36)</f>
        <v>381</v>
      </c>
      <c r="H37" s="9">
        <f>SUM(H8:H36)</f>
        <v>202.75</v>
      </c>
      <c r="I37" s="9">
        <f>SUM(I8:I36)</f>
        <v>2345</v>
      </c>
      <c r="J37" s="9"/>
      <c r="K37" s="9"/>
      <c r="L37" s="9">
        <f>SUM(L8:L36)</f>
        <v>66</v>
      </c>
      <c r="M37" s="9"/>
      <c r="N37" s="9">
        <f>SUM(N8:N36)</f>
        <v>2062</v>
      </c>
      <c r="O37" s="9"/>
      <c r="P37" s="9">
        <f>SUM(P8:P36)</f>
        <v>2250</v>
      </c>
      <c r="Q37" s="9"/>
      <c r="R37" s="9">
        <f>SUM(R8:R36)</f>
        <v>360</v>
      </c>
      <c r="S37" s="9"/>
      <c r="T37" s="9">
        <f>SUM(T8:T36)</f>
        <v>300</v>
      </c>
      <c r="U37" s="9"/>
      <c r="V37" s="9">
        <f>SUM(V8:V34)</f>
        <v>0</v>
      </c>
      <c r="W37" s="9"/>
      <c r="X37" s="9">
        <f>SUM(X8:X34)</f>
        <v>6855</v>
      </c>
      <c r="Y37" s="156"/>
      <c r="Z37" s="152">
        <f>SUM(Z8:Z34)</f>
        <v>100</v>
      </c>
      <c r="AA37" s="156"/>
      <c r="AB37" s="156">
        <v>50</v>
      </c>
      <c r="AC37" s="156"/>
      <c r="AD37" s="156"/>
      <c r="AE37" s="156"/>
      <c r="AF37" s="156">
        <f>AF10</f>
        <v>2500</v>
      </c>
      <c r="AG37" s="156"/>
      <c r="AH37" s="156"/>
      <c r="AI37" s="152" t="s">
        <v>617</v>
      </c>
      <c r="AJ37" s="152">
        <v>2</v>
      </c>
      <c r="AK37" s="156"/>
      <c r="AL37" s="156"/>
      <c r="AM37" s="156"/>
      <c r="AN37" s="156"/>
      <c r="AO37" s="156"/>
      <c r="AP37" s="156"/>
      <c r="AQ37" s="156"/>
      <c r="AR37" s="156"/>
      <c r="AS37" s="156"/>
      <c r="AT37" s="156"/>
      <c r="AU37" s="156"/>
      <c r="AV37" s="156"/>
    </row>
    <row r="38" spans="1:48">
      <c r="A38" s="156"/>
      <c r="B38" s="156"/>
      <c r="C38" s="156"/>
      <c r="D38" s="156"/>
      <c r="E38" s="156"/>
      <c r="F38" s="152"/>
      <c r="G38" s="152"/>
      <c r="H38" s="152"/>
      <c r="I38" s="152"/>
      <c r="J38" s="152"/>
      <c r="K38" s="152"/>
      <c r="L38" s="152"/>
      <c r="M38" s="152"/>
      <c r="N38" s="152"/>
      <c r="O38" s="152"/>
      <c r="P38" s="152"/>
      <c r="Q38" s="152"/>
      <c r="R38" s="152"/>
      <c r="S38" s="152"/>
      <c r="T38" s="152"/>
      <c r="U38" s="152"/>
      <c r="V38" s="152"/>
      <c r="W38" s="152"/>
      <c r="X38" s="152"/>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row>
    <row r="39" spans="1:48">
      <c r="A39" s="7" t="s">
        <v>380</v>
      </c>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row>
    <row r="41" spans="1:48">
      <c r="A41" s="156" t="s">
        <v>381</v>
      </c>
      <c r="B41" s="156"/>
      <c r="C41" s="156" t="s">
        <v>333</v>
      </c>
      <c r="D41" s="156" t="s">
        <v>453</v>
      </c>
      <c r="E41" s="156" t="s">
        <v>10</v>
      </c>
      <c r="F41" s="152">
        <v>8</v>
      </c>
      <c r="G41" s="152">
        <v>32</v>
      </c>
      <c r="H41" s="152">
        <v>0</v>
      </c>
      <c r="I41" s="157">
        <v>71</v>
      </c>
      <c r="J41" s="154">
        <f t="shared" ref="J41:J60" si="3">G41-H41</f>
        <v>32</v>
      </c>
      <c r="K41" s="152"/>
      <c r="L41" s="152"/>
      <c r="M41" s="152"/>
      <c r="N41" s="152"/>
      <c r="O41" s="152"/>
      <c r="P41" s="152"/>
      <c r="Q41" s="152"/>
      <c r="R41" s="152"/>
      <c r="S41" s="152"/>
      <c r="T41" s="152"/>
      <c r="U41" s="152"/>
      <c r="V41" s="152"/>
      <c r="W41" s="152"/>
      <c r="X41" s="152"/>
      <c r="Y41" s="156"/>
      <c r="Z41" s="156"/>
      <c r="AA41" s="156"/>
      <c r="AB41" s="156"/>
      <c r="AC41" s="156"/>
      <c r="AD41" s="156"/>
      <c r="AE41" s="156"/>
      <c r="AF41" s="156"/>
      <c r="AG41" s="156"/>
      <c r="AH41" s="152" t="s">
        <v>328</v>
      </c>
      <c r="AI41" s="152" t="s">
        <v>329</v>
      </c>
      <c r="AJ41" s="152"/>
      <c r="AK41" s="156"/>
      <c r="AL41" s="156"/>
      <c r="AM41" s="156">
        <f t="shared" ref="AM41:AN54" si="4">IF(ISBLANK($A41),,G41*1.024)</f>
        <v>32.768000000000001</v>
      </c>
      <c r="AN41" s="156">
        <f t="shared" si="4"/>
        <v>0</v>
      </c>
      <c r="AO41" s="156">
        <f>IF(ISBLANK($A41),,ROUNDDOWN(I41*AQ6*1.024,))</f>
        <v>65</v>
      </c>
      <c r="AP41" s="156">
        <f>IF(ISBLANK($A41),,ROUNDDOWN(L41*AQ6*1.024,))</f>
        <v>0</v>
      </c>
      <c r="AQ41" s="156">
        <f>IF(ISBLANK($A41),,ROUNDDOWN(N41*AQ6*1.024,))</f>
        <v>0</v>
      </c>
      <c r="AR41" s="156">
        <f>IF(ISBLANK($A41),,ROUNDDOWN(P41*AQ6*1.024,))</f>
        <v>0</v>
      </c>
      <c r="AS41" s="156">
        <f>IF(ISBLANK($A41),,ROUNDDOWN(R41*AQ6*1.024,))</f>
        <v>0</v>
      </c>
      <c r="AT41" s="156">
        <f t="shared" ref="AT41:AT59" si="5">IF(ISBLANK($A41),,ROUNDDOWN(T41*AQ$6*1.024,))</f>
        <v>0</v>
      </c>
      <c r="AU41" s="156">
        <f>IF(ISBLANK($A41),,ROUNDDOWN(V41*AQ6*1.024,))</f>
        <v>0</v>
      </c>
      <c r="AV41" s="156">
        <f>IF(ISBLANK($A41),,ROUNDDOWN(X41*AQ6*1.024,))</f>
        <v>0</v>
      </c>
    </row>
    <row r="42" spans="1:48">
      <c r="A42" s="156" t="s">
        <v>382</v>
      </c>
      <c r="B42" s="156"/>
      <c r="C42" s="156" t="s">
        <v>333</v>
      </c>
      <c r="D42" s="11" t="s">
        <v>362</v>
      </c>
      <c r="E42" s="156" t="s">
        <v>75</v>
      </c>
      <c r="F42" s="152">
        <v>4</v>
      </c>
      <c r="G42" s="152">
        <v>4</v>
      </c>
      <c r="H42" s="152">
        <v>0</v>
      </c>
      <c r="I42" s="152">
        <v>100</v>
      </c>
      <c r="J42" s="154">
        <f t="shared" si="3"/>
        <v>4</v>
      </c>
      <c r="K42" s="152"/>
      <c r="L42" s="152"/>
      <c r="M42" s="152"/>
      <c r="N42" s="152"/>
      <c r="O42" s="152"/>
      <c r="P42" s="152"/>
      <c r="Q42" s="152"/>
      <c r="R42" s="152"/>
      <c r="S42" s="152"/>
      <c r="T42" s="152"/>
      <c r="U42" s="152"/>
      <c r="V42" s="152"/>
      <c r="W42" s="152"/>
      <c r="X42" s="152"/>
      <c r="Y42" s="156"/>
      <c r="Z42" s="156"/>
      <c r="AA42" s="156"/>
      <c r="AB42" s="156"/>
      <c r="AC42" s="156"/>
      <c r="AD42" s="156"/>
      <c r="AE42" s="156"/>
      <c r="AF42" s="156"/>
      <c r="AG42" s="156"/>
      <c r="AH42" s="152" t="s">
        <v>328</v>
      </c>
      <c r="AI42" s="152" t="s">
        <v>329</v>
      </c>
      <c r="AJ42" s="152"/>
      <c r="AK42" s="156"/>
      <c r="AL42" s="156"/>
      <c r="AM42" s="156">
        <f t="shared" si="4"/>
        <v>4.0960000000000001</v>
      </c>
      <c r="AN42" s="156">
        <f t="shared" si="4"/>
        <v>0</v>
      </c>
      <c r="AO42" s="156">
        <f>IF(ISBLANK($A42),,ROUNDDOWN(I42*AQ6*1.024,))</f>
        <v>92</v>
      </c>
      <c r="AP42" s="156">
        <f>IF(ISBLANK($A42),,ROUNDDOWN(L42*AQ6*1.024,))</f>
        <v>0</v>
      </c>
      <c r="AQ42" s="156">
        <f>IF(ISBLANK($A42),,ROUNDDOWN(N42*AQ6*1.024,))</f>
        <v>0</v>
      </c>
      <c r="AR42" s="156">
        <f>IF(ISBLANK($A42),,ROUNDDOWN(P42*AQ6*1.024,))</f>
        <v>0</v>
      </c>
      <c r="AS42" s="156">
        <f>IF(ISBLANK($A42),,ROUNDDOWN(R42*AQ6*1.024,))</f>
        <v>0</v>
      </c>
      <c r="AT42" s="156">
        <f t="shared" si="5"/>
        <v>0</v>
      </c>
      <c r="AU42" s="156">
        <f>IF(ISBLANK($A42),,ROUNDDOWN(V42*AQ6*1.024,))</f>
        <v>0</v>
      </c>
      <c r="AV42" s="156">
        <f>IF(ISBLANK($A42),,ROUNDDOWN(X42*AQ6*1.024,))</f>
        <v>0</v>
      </c>
    </row>
    <row r="43" spans="1:48">
      <c r="A43" s="156" t="s">
        <v>383</v>
      </c>
      <c r="B43" s="156"/>
      <c r="C43" s="156" t="s">
        <v>333</v>
      </c>
      <c r="D43" s="11" t="s">
        <v>362</v>
      </c>
      <c r="E43" s="156" t="s">
        <v>79</v>
      </c>
      <c r="F43" s="152">
        <v>4</v>
      </c>
      <c r="G43" s="152">
        <v>16</v>
      </c>
      <c r="H43" s="152">
        <v>0</v>
      </c>
      <c r="I43" s="152">
        <v>100</v>
      </c>
      <c r="J43" s="154">
        <f t="shared" si="3"/>
        <v>16</v>
      </c>
      <c r="K43" s="152"/>
      <c r="L43" s="152"/>
      <c r="M43" s="152"/>
      <c r="N43" s="152"/>
      <c r="O43" s="152"/>
      <c r="P43" s="152"/>
      <c r="Q43" s="152"/>
      <c r="R43" s="152"/>
      <c r="S43" s="152"/>
      <c r="T43" s="152"/>
      <c r="U43" s="152"/>
      <c r="V43" s="152"/>
      <c r="W43" s="152"/>
      <c r="X43" s="152"/>
      <c r="Y43" s="156"/>
      <c r="Z43" s="156"/>
      <c r="AA43" s="156"/>
      <c r="AB43" s="156"/>
      <c r="AC43" s="156"/>
      <c r="AD43" s="156"/>
      <c r="AE43" s="156"/>
      <c r="AF43" s="156"/>
      <c r="AG43" s="156"/>
      <c r="AH43" s="152" t="s">
        <v>328</v>
      </c>
      <c r="AI43" s="152" t="s">
        <v>329</v>
      </c>
      <c r="AJ43" s="152"/>
      <c r="AK43" s="156"/>
      <c r="AL43" s="156"/>
      <c r="AM43" s="156">
        <f t="shared" si="4"/>
        <v>16.384</v>
      </c>
      <c r="AN43" s="156">
        <f t="shared" si="4"/>
        <v>0</v>
      </c>
      <c r="AO43" s="156">
        <f>IF(ISBLANK($A43),,ROUNDDOWN(I43*AQ6*1.024,))</f>
        <v>92</v>
      </c>
      <c r="AP43" s="156">
        <f>IF(ISBLANK($A43),,ROUNDDOWN(L43*AQ6*1.024,))</f>
        <v>0</v>
      </c>
      <c r="AQ43" s="156">
        <f>IF(ISBLANK($A43),,ROUNDDOWN(N43*AQ6*1.024,))</f>
        <v>0</v>
      </c>
      <c r="AR43" s="156">
        <f>IF(ISBLANK($A43),,ROUNDDOWN(P43*AQ6*1.024,))</f>
        <v>0</v>
      </c>
      <c r="AS43" s="156">
        <f>IF(ISBLANK($A43),,ROUNDDOWN(R43*AQ6*1.024,))</f>
        <v>0</v>
      </c>
      <c r="AT43" s="156">
        <f t="shared" si="5"/>
        <v>0</v>
      </c>
      <c r="AU43" s="156">
        <f>IF(ISBLANK($A43),,ROUNDDOWN(V43*AQ6*1.024,))</f>
        <v>0</v>
      </c>
      <c r="AV43" s="156">
        <f>IF(ISBLANK($A43),,ROUNDDOWN(X43*AQ6*1.024,))</f>
        <v>0</v>
      </c>
    </row>
    <row r="44" spans="1:48">
      <c r="A44" s="156" t="s">
        <v>384</v>
      </c>
      <c r="B44" s="156"/>
      <c r="C44" s="156" t="s">
        <v>333</v>
      </c>
      <c r="D44" s="11" t="s">
        <v>362</v>
      </c>
      <c r="E44" s="156" t="s">
        <v>79</v>
      </c>
      <c r="F44" s="152">
        <v>4</v>
      </c>
      <c r="G44" s="152">
        <v>16</v>
      </c>
      <c r="H44" s="152">
        <v>0</v>
      </c>
      <c r="I44" s="152">
        <v>100</v>
      </c>
      <c r="J44" s="154">
        <f t="shared" si="3"/>
        <v>16</v>
      </c>
      <c r="K44" s="152"/>
      <c r="L44" s="152"/>
      <c r="M44" s="152"/>
      <c r="N44" s="152"/>
      <c r="O44" s="152"/>
      <c r="P44" s="152"/>
      <c r="Q44" s="152"/>
      <c r="R44" s="152"/>
      <c r="S44" s="152"/>
      <c r="T44" s="152"/>
      <c r="U44" s="152"/>
      <c r="V44" s="152"/>
      <c r="W44" s="152"/>
      <c r="X44" s="152"/>
      <c r="Y44" s="156"/>
      <c r="Z44" s="156"/>
      <c r="AA44" s="156"/>
      <c r="AB44" s="156"/>
      <c r="AC44" s="156"/>
      <c r="AD44" s="156"/>
      <c r="AE44" s="156"/>
      <c r="AF44" s="156"/>
      <c r="AG44" s="156"/>
      <c r="AH44" s="152" t="s">
        <v>328</v>
      </c>
      <c r="AI44" s="152" t="s">
        <v>329</v>
      </c>
      <c r="AJ44" s="152"/>
      <c r="AK44" s="156"/>
      <c r="AL44" s="156"/>
      <c r="AM44" s="156">
        <f t="shared" si="4"/>
        <v>16.384</v>
      </c>
      <c r="AN44" s="156">
        <f t="shared" si="4"/>
        <v>0</v>
      </c>
      <c r="AO44" s="156">
        <f>IF(ISBLANK($A44),,ROUNDDOWN(I44*AQ6*1.024,))</f>
        <v>92</v>
      </c>
      <c r="AP44" s="156">
        <f>IF(ISBLANK($A44),,ROUNDDOWN(L44*AQ6*1.024,))</f>
        <v>0</v>
      </c>
      <c r="AQ44" s="156">
        <f>IF(ISBLANK($A44),,ROUNDDOWN(N44*AQ6*1.024,))</f>
        <v>0</v>
      </c>
      <c r="AR44" s="156">
        <f>IF(ISBLANK($A44),,ROUNDDOWN(P44*AQ6*1.024,))</f>
        <v>0</v>
      </c>
      <c r="AS44" s="156">
        <f>IF(ISBLANK($A44),,ROUNDDOWN(R44*AQ6*1.024,))</f>
        <v>0</v>
      </c>
      <c r="AT44" s="156">
        <f t="shared" si="5"/>
        <v>0</v>
      </c>
      <c r="AU44" s="156">
        <f>IF(ISBLANK($A44),,ROUNDDOWN(V44*AQ6*1.024,))</f>
        <v>0</v>
      </c>
      <c r="AV44" s="156">
        <f>IF(ISBLANK($A44),,ROUNDDOWN(X44*AQ6*1.024,))</f>
        <v>0</v>
      </c>
    </row>
    <row r="45" spans="1:48">
      <c r="A45" s="156" t="s">
        <v>494</v>
      </c>
      <c r="B45" s="156"/>
      <c r="C45" s="156" t="s">
        <v>333</v>
      </c>
      <c r="D45" s="11" t="s">
        <v>362</v>
      </c>
      <c r="E45" s="156" t="s">
        <v>79</v>
      </c>
      <c r="F45" s="152">
        <v>4</v>
      </c>
      <c r="G45" s="152">
        <v>16</v>
      </c>
      <c r="H45" s="152">
        <v>0</v>
      </c>
      <c r="I45" s="152">
        <v>100</v>
      </c>
      <c r="J45" s="154">
        <f t="shared" si="3"/>
        <v>16</v>
      </c>
      <c r="K45" s="152"/>
      <c r="L45" s="152"/>
      <c r="M45" s="152"/>
      <c r="N45" s="152"/>
      <c r="O45" s="152"/>
      <c r="P45" s="152"/>
      <c r="Q45" s="152"/>
      <c r="R45" s="152"/>
      <c r="S45" s="152"/>
      <c r="T45" s="152"/>
      <c r="U45" s="152"/>
      <c r="V45" s="152"/>
      <c r="W45" s="152"/>
      <c r="X45" s="152"/>
      <c r="Y45" s="156"/>
      <c r="Z45" s="156"/>
      <c r="AA45" s="156"/>
      <c r="AB45" s="156"/>
      <c r="AC45" s="156"/>
      <c r="AD45" s="156"/>
      <c r="AE45" s="156"/>
      <c r="AF45" s="156"/>
      <c r="AG45" s="156"/>
      <c r="AH45" s="152" t="s">
        <v>328</v>
      </c>
      <c r="AI45" s="152" t="s">
        <v>329</v>
      </c>
      <c r="AJ45" s="152"/>
      <c r="AK45" s="156"/>
      <c r="AL45" s="156"/>
      <c r="AM45" s="156">
        <f t="shared" si="4"/>
        <v>16.384</v>
      </c>
      <c r="AN45" s="156">
        <f t="shared" si="4"/>
        <v>0</v>
      </c>
      <c r="AO45" s="156">
        <f>IF(ISBLANK($A45),,ROUNDDOWN(I45*AQ6*1.024,))</f>
        <v>92</v>
      </c>
      <c r="AP45" s="156">
        <f>IF(ISBLANK($A45),,ROUNDDOWN(L45*AQ6*1.024,))</f>
        <v>0</v>
      </c>
      <c r="AQ45" s="156">
        <f>IF(ISBLANK($A45),,ROUNDDOWN(N45*AQ6*1.024,))</f>
        <v>0</v>
      </c>
      <c r="AR45" s="156">
        <f>IF(ISBLANK($A45),,ROUNDDOWN(P45*AQ6*1.024,))</f>
        <v>0</v>
      </c>
      <c r="AS45" s="156">
        <f>IF(ISBLANK($A45),,ROUNDDOWN(R45*AQ6*1.024,))</f>
        <v>0</v>
      </c>
      <c r="AT45" s="156">
        <f t="shared" si="5"/>
        <v>0</v>
      </c>
      <c r="AU45" s="156">
        <f>IF(ISBLANK($A45),,ROUNDDOWN(V45*AQ6*1.024,))</f>
        <v>0</v>
      </c>
      <c r="AV45" s="156">
        <f>IF(ISBLANK($A45),,ROUNDDOWN(X45*AQ6*1.024,))</f>
        <v>0</v>
      </c>
    </row>
    <row r="46" spans="1:48">
      <c r="A46" s="156" t="s">
        <v>495</v>
      </c>
      <c r="B46" s="156"/>
      <c r="C46" s="156" t="s">
        <v>333</v>
      </c>
      <c r="D46" s="11" t="s">
        <v>362</v>
      </c>
      <c r="E46" s="156" t="s">
        <v>79</v>
      </c>
      <c r="F46" s="152">
        <v>4</v>
      </c>
      <c r="G46" s="152">
        <v>16</v>
      </c>
      <c r="H46" s="152">
        <v>0</v>
      </c>
      <c r="I46" s="152">
        <v>100</v>
      </c>
      <c r="J46" s="154">
        <f t="shared" si="3"/>
        <v>16</v>
      </c>
      <c r="K46" s="152"/>
      <c r="L46" s="152"/>
      <c r="M46" s="152"/>
      <c r="N46" s="152"/>
      <c r="O46" s="152"/>
      <c r="P46" s="152"/>
      <c r="Q46" s="152"/>
      <c r="R46" s="152"/>
      <c r="S46" s="152"/>
      <c r="T46" s="152"/>
      <c r="U46" s="152"/>
      <c r="V46" s="152"/>
      <c r="W46" s="152"/>
      <c r="X46" s="152"/>
      <c r="Y46" s="156"/>
      <c r="Z46" s="156"/>
      <c r="AA46" s="156"/>
      <c r="AB46" s="156"/>
      <c r="AC46" s="156"/>
      <c r="AD46" s="156"/>
      <c r="AE46" s="156"/>
      <c r="AF46" s="156"/>
      <c r="AG46" s="156"/>
      <c r="AH46" s="152" t="s">
        <v>328</v>
      </c>
      <c r="AI46" s="152" t="s">
        <v>329</v>
      </c>
      <c r="AJ46" s="152"/>
      <c r="AK46" s="156"/>
      <c r="AL46" s="156"/>
      <c r="AM46" s="156">
        <f t="shared" si="4"/>
        <v>16.384</v>
      </c>
      <c r="AN46" s="156">
        <f t="shared" si="4"/>
        <v>0</v>
      </c>
      <c r="AO46" s="156">
        <f>IF(ISBLANK($A46),,ROUNDDOWN(I46*AQ6*1.024,))</f>
        <v>92</v>
      </c>
      <c r="AP46" s="156">
        <f>IF(ISBLANK($A46),,ROUNDDOWN(L46*AQ6*1.024,))</f>
        <v>0</v>
      </c>
      <c r="AQ46" s="156">
        <f>IF(ISBLANK($A46),,ROUNDDOWN(N46*AQ6*1.024,))</f>
        <v>0</v>
      </c>
      <c r="AR46" s="156">
        <f>IF(ISBLANK($A46),,ROUNDDOWN(P46*AQ6*1.024,))</f>
        <v>0</v>
      </c>
      <c r="AS46" s="156">
        <f>IF(ISBLANK($A46),,ROUNDDOWN(R46*AQ6*1.024,))</f>
        <v>0</v>
      </c>
      <c r="AT46" s="156">
        <f t="shared" si="5"/>
        <v>0</v>
      </c>
      <c r="AU46" s="156">
        <f>IF(ISBLANK($A46),,ROUNDDOWN(V46*AQ6*1.024,))</f>
        <v>0</v>
      </c>
      <c r="AV46" s="156">
        <f>IF(ISBLANK($A46),,ROUNDDOWN(X46*AQ6*1.024,))</f>
        <v>0</v>
      </c>
    </row>
    <row r="47" spans="1:48">
      <c r="A47" s="156" t="s">
        <v>385</v>
      </c>
      <c r="B47" s="156"/>
      <c r="C47" s="156" t="s">
        <v>333</v>
      </c>
      <c r="D47" s="11" t="s">
        <v>362</v>
      </c>
      <c r="E47" s="156" t="s">
        <v>77</v>
      </c>
      <c r="F47" s="152">
        <v>4</v>
      </c>
      <c r="G47" s="152">
        <v>14</v>
      </c>
      <c r="H47" s="152">
        <v>0</v>
      </c>
      <c r="I47" s="152">
        <v>100</v>
      </c>
      <c r="J47" s="154">
        <f t="shared" si="3"/>
        <v>14</v>
      </c>
      <c r="K47" s="152"/>
      <c r="L47" s="152"/>
      <c r="M47" s="152"/>
      <c r="N47" s="152"/>
      <c r="O47" s="152"/>
      <c r="P47" s="152"/>
      <c r="Q47" s="152"/>
      <c r="R47" s="152"/>
      <c r="S47" s="152"/>
      <c r="T47" s="152"/>
      <c r="U47" s="152"/>
      <c r="V47" s="152"/>
      <c r="W47" s="152"/>
      <c r="X47" s="152"/>
      <c r="Y47" s="156"/>
      <c r="Z47" s="156"/>
      <c r="AA47" s="156"/>
      <c r="AB47" s="156"/>
      <c r="AC47" s="156"/>
      <c r="AD47" s="156"/>
      <c r="AE47" s="156"/>
      <c r="AF47" s="156"/>
      <c r="AG47" s="156"/>
      <c r="AH47" s="152" t="s">
        <v>328</v>
      </c>
      <c r="AI47" s="152" t="s">
        <v>329</v>
      </c>
      <c r="AJ47" s="152"/>
      <c r="AK47" s="156"/>
      <c r="AL47" s="156"/>
      <c r="AM47" s="156">
        <f t="shared" si="4"/>
        <v>14.336</v>
      </c>
      <c r="AN47" s="156">
        <f t="shared" si="4"/>
        <v>0</v>
      </c>
      <c r="AO47" s="156">
        <f>IF(ISBLANK($A47),,ROUNDDOWN(I47*AQ6*1.024,))</f>
        <v>92</v>
      </c>
      <c r="AP47" s="156">
        <f>IF(ISBLANK($A47),,ROUNDDOWN(L47*AQ6*1.024,))</f>
        <v>0</v>
      </c>
      <c r="AQ47" s="156">
        <f>IF(ISBLANK($A47),,ROUNDDOWN(N47*AQ6*1.024,))</f>
        <v>0</v>
      </c>
      <c r="AR47" s="156">
        <f>IF(ISBLANK($A47),,ROUNDDOWN(P47*AQ6*1.024,))</f>
        <v>0</v>
      </c>
      <c r="AS47" s="156">
        <f>IF(ISBLANK($A47),,ROUNDDOWN(R47*AQ6*1.024,))</f>
        <v>0</v>
      </c>
      <c r="AT47" s="156">
        <f t="shared" si="5"/>
        <v>0</v>
      </c>
      <c r="AU47" s="156">
        <f>IF(ISBLANK($A47),,ROUNDDOWN(V47*AQ6*1.024,))</f>
        <v>0</v>
      </c>
      <c r="AV47" s="156">
        <f>IF(ISBLANK($A47),,ROUNDDOWN(X47*AQ6*1.024,))</f>
        <v>0</v>
      </c>
    </row>
    <row r="48" spans="1:48">
      <c r="A48" s="156" t="s">
        <v>386</v>
      </c>
      <c r="B48" s="156"/>
      <c r="C48" s="156" t="s">
        <v>333</v>
      </c>
      <c r="D48" s="156" t="s">
        <v>453</v>
      </c>
      <c r="E48" s="156" t="s">
        <v>110</v>
      </c>
      <c r="F48" s="152">
        <v>3</v>
      </c>
      <c r="G48" s="152">
        <v>10</v>
      </c>
      <c r="H48" s="152">
        <v>0</v>
      </c>
      <c r="I48" s="152">
        <v>121</v>
      </c>
      <c r="J48" s="154">
        <f t="shared" si="3"/>
        <v>10</v>
      </c>
      <c r="K48" s="152"/>
      <c r="L48" s="152"/>
      <c r="M48" s="152"/>
      <c r="N48" s="152"/>
      <c r="O48" s="152"/>
      <c r="P48" s="152"/>
      <c r="Q48" s="152"/>
      <c r="R48" s="152"/>
      <c r="S48" s="152"/>
      <c r="T48" s="152"/>
      <c r="U48" s="152"/>
      <c r="V48" s="152"/>
      <c r="W48" s="152"/>
      <c r="X48" s="152"/>
      <c r="Y48" s="156"/>
      <c r="Z48" s="156"/>
      <c r="AA48" s="156"/>
      <c r="AB48" s="156"/>
      <c r="AC48" s="156"/>
      <c r="AD48" s="156"/>
      <c r="AE48" s="156"/>
      <c r="AF48" s="156"/>
      <c r="AG48" s="156"/>
      <c r="AH48" s="152" t="s">
        <v>328</v>
      </c>
      <c r="AI48" s="152" t="s">
        <v>329</v>
      </c>
      <c r="AJ48" s="152"/>
      <c r="AK48" s="156"/>
      <c r="AL48" s="156"/>
      <c r="AM48" s="156">
        <f t="shared" si="4"/>
        <v>10.24</v>
      </c>
      <c r="AN48" s="156">
        <f t="shared" si="4"/>
        <v>0</v>
      </c>
      <c r="AO48" s="156">
        <f>IF(ISBLANK($A48),,ROUNDDOWN(I48*AQ6*1.024,))</f>
        <v>111</v>
      </c>
      <c r="AP48" s="156">
        <f>IF(ISBLANK($A48),,ROUNDDOWN(L48*AQ6*1.024,))</f>
        <v>0</v>
      </c>
      <c r="AQ48" s="156">
        <f>IF(ISBLANK($A48),,ROUNDDOWN(N48*AQ6*1.024,))</f>
        <v>0</v>
      </c>
      <c r="AR48" s="156">
        <f>IF(ISBLANK($A48),,ROUNDDOWN(P48*AQ6*1.024,))</f>
        <v>0</v>
      </c>
      <c r="AS48" s="156">
        <f>IF(ISBLANK($A48),,ROUNDDOWN(R48*AQ6*1.024,))</f>
        <v>0</v>
      </c>
      <c r="AT48" s="156">
        <f t="shared" si="5"/>
        <v>0</v>
      </c>
      <c r="AU48" s="156">
        <f>IF(ISBLANK($A48),,ROUNDDOWN(V48*AQ6*1.024,))</f>
        <v>0</v>
      </c>
      <c r="AV48" s="156">
        <f>IF(ISBLANK($A48),,ROUNDDOWN(X48*AQ6*1.024,))</f>
        <v>0</v>
      </c>
    </row>
    <row r="49" spans="1:48">
      <c r="A49" s="156" t="s">
        <v>387</v>
      </c>
      <c r="B49" s="156"/>
      <c r="C49" s="156" t="s">
        <v>333</v>
      </c>
      <c r="D49" s="156" t="s">
        <v>453</v>
      </c>
      <c r="E49" s="156" t="s">
        <v>110</v>
      </c>
      <c r="F49" s="152">
        <v>3</v>
      </c>
      <c r="G49" s="152">
        <v>10</v>
      </c>
      <c r="H49" s="152">
        <v>0</v>
      </c>
      <c r="I49" s="176">
        <v>121</v>
      </c>
      <c r="J49" s="154">
        <f t="shared" si="3"/>
        <v>10</v>
      </c>
      <c r="K49" s="152"/>
      <c r="L49" s="152"/>
      <c r="M49" s="152"/>
      <c r="N49" s="152"/>
      <c r="O49" s="152"/>
      <c r="P49" s="152"/>
      <c r="Q49" s="152"/>
      <c r="R49" s="152"/>
      <c r="S49" s="152"/>
      <c r="T49" s="152"/>
      <c r="U49" s="152"/>
      <c r="V49" s="152"/>
      <c r="W49" s="152"/>
      <c r="X49" s="152"/>
      <c r="Y49" s="156"/>
      <c r="Z49" s="156"/>
      <c r="AA49" s="156"/>
      <c r="AB49" s="156"/>
      <c r="AC49" s="156"/>
      <c r="AD49" s="156"/>
      <c r="AE49" s="156"/>
      <c r="AF49" s="156"/>
      <c r="AG49" s="156"/>
      <c r="AH49" s="152" t="s">
        <v>328</v>
      </c>
      <c r="AI49" s="152" t="s">
        <v>329</v>
      </c>
      <c r="AJ49" s="152"/>
      <c r="AK49" s="156"/>
      <c r="AL49" s="156"/>
      <c r="AM49" s="156">
        <f t="shared" si="4"/>
        <v>10.24</v>
      </c>
      <c r="AN49" s="156">
        <f t="shared" si="4"/>
        <v>0</v>
      </c>
      <c r="AO49" s="156">
        <f>IF(ISBLANK($A49),,ROUNDDOWN(I49*AQ6*1.024,))</f>
        <v>111</v>
      </c>
      <c r="AP49" s="156">
        <f>IF(ISBLANK($A49),,ROUNDDOWN(L49*AQ6*1.024,))</f>
        <v>0</v>
      </c>
      <c r="AQ49" s="156">
        <f>IF(ISBLANK($A49),,ROUNDDOWN(N49*AQ6*1.024,))</f>
        <v>0</v>
      </c>
      <c r="AR49" s="156">
        <f>IF(ISBLANK($A49),,ROUNDDOWN(P49*AQ6*1.024,))</f>
        <v>0</v>
      </c>
      <c r="AS49" s="156">
        <f>IF(ISBLANK($A49),,ROUNDDOWN(R49*AQ6*1.024,))</f>
        <v>0</v>
      </c>
      <c r="AT49" s="156">
        <f t="shared" si="5"/>
        <v>0</v>
      </c>
      <c r="AU49" s="156">
        <f>IF(ISBLANK($A49),,ROUNDDOWN(V49*AQ6*1.024,))</f>
        <v>0</v>
      </c>
      <c r="AV49" s="156">
        <f>IF(ISBLANK($A49),,ROUNDDOWN(X49*AQ6*1.024,))</f>
        <v>0</v>
      </c>
    </row>
    <row r="50" spans="1:48">
      <c r="A50" s="156" t="s">
        <v>496</v>
      </c>
      <c r="B50" s="156"/>
      <c r="C50" s="156" t="s">
        <v>333</v>
      </c>
      <c r="D50" s="156" t="s">
        <v>453</v>
      </c>
      <c r="E50" s="156" t="s">
        <v>110</v>
      </c>
      <c r="F50" s="152">
        <v>3</v>
      </c>
      <c r="G50" s="152">
        <v>10</v>
      </c>
      <c r="H50" s="152">
        <v>0</v>
      </c>
      <c r="I50" s="176">
        <v>121</v>
      </c>
      <c r="J50" s="154">
        <f t="shared" si="3"/>
        <v>10</v>
      </c>
      <c r="K50" s="152"/>
      <c r="L50" s="152"/>
      <c r="M50" s="152"/>
      <c r="N50" s="152"/>
      <c r="O50" s="152"/>
      <c r="P50" s="152"/>
      <c r="Q50" s="152"/>
      <c r="R50" s="152"/>
      <c r="S50" s="152"/>
      <c r="T50" s="152"/>
      <c r="U50" s="152"/>
      <c r="V50" s="152"/>
      <c r="W50" s="152"/>
      <c r="X50" s="152"/>
      <c r="Y50" s="156"/>
      <c r="Z50" s="156"/>
      <c r="AA50" s="156"/>
      <c r="AB50" s="156"/>
      <c r="AC50" s="156"/>
      <c r="AD50" s="156"/>
      <c r="AE50" s="156"/>
      <c r="AF50" s="156"/>
      <c r="AG50" s="156"/>
      <c r="AH50" s="152" t="s">
        <v>328</v>
      </c>
      <c r="AI50" s="152" t="s">
        <v>329</v>
      </c>
      <c r="AJ50" s="152"/>
      <c r="AK50" s="156"/>
      <c r="AL50" s="156"/>
      <c r="AM50" s="156">
        <f t="shared" si="4"/>
        <v>10.24</v>
      </c>
      <c r="AN50" s="156">
        <f t="shared" si="4"/>
        <v>0</v>
      </c>
      <c r="AO50" s="156">
        <f>IF(ISBLANK($A50),,ROUNDDOWN(I50*AQ6*1.024,))</f>
        <v>111</v>
      </c>
      <c r="AP50" s="156">
        <f>IF(ISBLANK($A50),,ROUNDDOWN(L50*AQ6*1.024,))</f>
        <v>0</v>
      </c>
      <c r="AQ50" s="156">
        <f>IF(ISBLANK($A50),,ROUNDDOWN(N50*AQ6*1.024,))</f>
        <v>0</v>
      </c>
      <c r="AR50" s="156">
        <f>IF(ISBLANK($A50),,ROUNDDOWN(P50*AQ6*1.024,))</f>
        <v>0</v>
      </c>
      <c r="AS50" s="156">
        <f>IF(ISBLANK($A50),,ROUNDDOWN(R50*AQ6*1.024,))</f>
        <v>0</v>
      </c>
      <c r="AT50" s="156">
        <f t="shared" si="5"/>
        <v>0</v>
      </c>
      <c r="AU50" s="156">
        <f>IF(ISBLANK($A50),,ROUNDDOWN(V50*AQ6*1.024,))</f>
        <v>0</v>
      </c>
      <c r="AV50" s="156">
        <f>IF(ISBLANK($A50),,ROUNDDOWN(X50*AQ6*1.024,))</f>
        <v>0</v>
      </c>
    </row>
    <row r="51" spans="1:48">
      <c r="A51" s="156" t="s">
        <v>497</v>
      </c>
      <c r="B51" s="156"/>
      <c r="C51" s="156" t="s">
        <v>333</v>
      </c>
      <c r="D51" s="156" t="s">
        <v>453</v>
      </c>
      <c r="E51" s="11" t="s">
        <v>110</v>
      </c>
      <c r="F51" s="152">
        <v>3</v>
      </c>
      <c r="G51" s="152">
        <v>10</v>
      </c>
      <c r="H51" s="152">
        <v>0</v>
      </c>
      <c r="I51" s="176">
        <v>121</v>
      </c>
      <c r="J51" s="154">
        <f t="shared" si="3"/>
        <v>10</v>
      </c>
      <c r="K51" s="152"/>
      <c r="L51" s="152"/>
      <c r="M51" s="152"/>
      <c r="N51" s="152"/>
      <c r="O51" s="152"/>
      <c r="P51" s="152"/>
      <c r="Q51" s="152"/>
      <c r="R51" s="152"/>
      <c r="S51" s="152"/>
      <c r="T51" s="152"/>
      <c r="U51" s="152"/>
      <c r="V51" s="152"/>
      <c r="W51" s="152"/>
      <c r="X51" s="152"/>
      <c r="Y51" s="156"/>
      <c r="Z51" s="156"/>
      <c r="AA51" s="156"/>
      <c r="AB51" s="156"/>
      <c r="AC51" s="156"/>
      <c r="AD51" s="156"/>
      <c r="AE51" s="156"/>
      <c r="AF51" s="156"/>
      <c r="AG51" s="156"/>
      <c r="AH51" s="152" t="s">
        <v>328</v>
      </c>
      <c r="AI51" s="152" t="s">
        <v>329</v>
      </c>
      <c r="AJ51" s="152"/>
      <c r="AK51" s="156"/>
      <c r="AL51" s="156"/>
      <c r="AM51" s="156">
        <f t="shared" si="4"/>
        <v>10.24</v>
      </c>
      <c r="AN51" s="156">
        <f t="shared" si="4"/>
        <v>0</v>
      </c>
      <c r="AO51" s="156">
        <f>IF(ISBLANK($A51),,ROUNDDOWN(I51*AQ6*1.024,))</f>
        <v>111</v>
      </c>
      <c r="AP51" s="156">
        <f>IF(ISBLANK($A51),,ROUNDDOWN(L51*AQ6*1.024,))</f>
        <v>0</v>
      </c>
      <c r="AQ51" s="156">
        <f>IF(ISBLANK($A51),,ROUNDDOWN(N51*AQ6*1.024,))</f>
        <v>0</v>
      </c>
      <c r="AR51" s="156">
        <f>IF(ISBLANK($A51),,ROUNDDOWN(P51*AQ6*1.024,))</f>
        <v>0</v>
      </c>
      <c r="AS51" s="156">
        <f>IF(ISBLANK($A51),,ROUNDDOWN(R51*AQ6*1.024,))</f>
        <v>0</v>
      </c>
      <c r="AT51" s="156">
        <f t="shared" si="5"/>
        <v>0</v>
      </c>
      <c r="AU51" s="156">
        <f>IF(ISBLANK($A51),,ROUNDDOWN(V51*AQ6*1.024,))</f>
        <v>0</v>
      </c>
      <c r="AV51" s="156">
        <f>IF(ISBLANK($A51),,ROUNDDOWN(X51*AQ6*1.024,))</f>
        <v>0</v>
      </c>
    </row>
    <row r="52" spans="1:48">
      <c r="A52" s="156" t="s">
        <v>388</v>
      </c>
      <c r="B52" s="156"/>
      <c r="C52" s="156" t="s">
        <v>333</v>
      </c>
      <c r="D52" s="156" t="s">
        <v>453</v>
      </c>
      <c r="E52" s="11" t="s">
        <v>30</v>
      </c>
      <c r="F52" s="152">
        <v>2</v>
      </c>
      <c r="G52" s="152">
        <v>4</v>
      </c>
      <c r="H52" s="152">
        <v>0</v>
      </c>
      <c r="I52" s="152">
        <v>41</v>
      </c>
      <c r="J52" s="154">
        <f t="shared" si="3"/>
        <v>4</v>
      </c>
      <c r="K52" s="152"/>
      <c r="L52" s="152"/>
      <c r="M52" s="152"/>
      <c r="N52" s="152"/>
      <c r="O52" s="152"/>
      <c r="P52" s="152"/>
      <c r="Q52" s="152"/>
      <c r="R52" s="152"/>
      <c r="S52" s="152"/>
      <c r="T52" s="152"/>
      <c r="U52" s="152"/>
      <c r="V52" s="152"/>
      <c r="W52" s="152"/>
      <c r="X52" s="152"/>
      <c r="Y52" s="156"/>
      <c r="Z52" s="156"/>
      <c r="AA52" s="156"/>
      <c r="AB52" s="156"/>
      <c r="AC52" s="156"/>
      <c r="AD52" s="156"/>
      <c r="AE52" s="156"/>
      <c r="AF52" s="156"/>
      <c r="AG52" s="156"/>
      <c r="AH52" s="152" t="s">
        <v>328</v>
      </c>
      <c r="AI52" s="152" t="s">
        <v>329</v>
      </c>
      <c r="AJ52" s="152"/>
      <c r="AK52" s="156"/>
      <c r="AL52" s="156"/>
      <c r="AM52" s="156">
        <f t="shared" si="4"/>
        <v>4.0960000000000001</v>
      </c>
      <c r="AN52" s="156">
        <f t="shared" si="4"/>
        <v>0</v>
      </c>
      <c r="AO52" s="156">
        <f>IF(ISBLANK($A52),,ROUNDDOWN(I52*AQ6*1.024,))</f>
        <v>37</v>
      </c>
      <c r="AP52" s="156">
        <f>IF(ISBLANK($A52),,ROUNDDOWN(L52*AQ6*1.024,))</f>
        <v>0</v>
      </c>
      <c r="AQ52" s="156">
        <f>IF(ISBLANK($A52),,ROUNDDOWN(N52*AQ6*1.024,))</f>
        <v>0</v>
      </c>
      <c r="AR52" s="156">
        <f>IF(ISBLANK($A52),,ROUNDDOWN(P52*AQ6*1.024,))</f>
        <v>0</v>
      </c>
      <c r="AS52" s="156">
        <f>IF(ISBLANK($A52),,ROUNDDOWN(R52*AQ6*1.024,))</f>
        <v>0</v>
      </c>
      <c r="AT52" s="156">
        <f t="shared" si="5"/>
        <v>0</v>
      </c>
      <c r="AU52" s="156">
        <f>IF(ISBLANK($A52),,ROUNDDOWN(V52*AQ6*1.024,))</f>
        <v>0</v>
      </c>
      <c r="AV52" s="156">
        <f>IF(ISBLANK($A52),,ROUNDDOWN(X52*AQ6*1.024,))</f>
        <v>0</v>
      </c>
    </row>
    <row r="53" spans="1:48">
      <c r="A53" s="156" t="s">
        <v>389</v>
      </c>
      <c r="B53" s="156"/>
      <c r="C53" s="156" t="s">
        <v>333</v>
      </c>
      <c r="D53" s="156" t="s">
        <v>453</v>
      </c>
      <c r="E53" s="11" t="s">
        <v>22</v>
      </c>
      <c r="F53" s="152">
        <v>2</v>
      </c>
      <c r="G53" s="152">
        <v>4</v>
      </c>
      <c r="H53" s="152">
        <v>0</v>
      </c>
      <c r="I53" s="152">
        <v>31</v>
      </c>
      <c r="J53" s="154">
        <f t="shared" si="3"/>
        <v>4</v>
      </c>
      <c r="K53" s="152"/>
      <c r="L53" s="152"/>
      <c r="M53" s="152"/>
      <c r="N53" s="152"/>
      <c r="O53" s="152"/>
      <c r="P53" s="152"/>
      <c r="Q53" s="152"/>
      <c r="R53" s="152"/>
      <c r="S53" s="152"/>
      <c r="T53" s="152"/>
      <c r="U53" s="152"/>
      <c r="V53" s="152"/>
      <c r="W53" s="152"/>
      <c r="X53" s="152"/>
      <c r="Y53" s="156"/>
      <c r="Z53" s="156"/>
      <c r="AA53" s="156"/>
      <c r="AB53" s="156"/>
      <c r="AC53" s="156"/>
      <c r="AD53" s="156"/>
      <c r="AE53" s="156"/>
      <c r="AF53" s="156"/>
      <c r="AG53" s="156"/>
      <c r="AH53" s="152" t="s">
        <v>328</v>
      </c>
      <c r="AI53" s="152" t="s">
        <v>329</v>
      </c>
      <c r="AJ53" s="152"/>
      <c r="AK53" s="156"/>
      <c r="AL53" s="156"/>
      <c r="AM53" s="156">
        <f t="shared" si="4"/>
        <v>4.0960000000000001</v>
      </c>
      <c r="AN53" s="156">
        <f t="shared" si="4"/>
        <v>0</v>
      </c>
      <c r="AO53" s="156">
        <f>IF(ISBLANK($A53),,ROUNDDOWN(I53*AQ6*1.024,))</f>
        <v>28</v>
      </c>
      <c r="AP53" s="156">
        <f>IF(ISBLANK($A53),,ROUNDDOWN(L53*AQ6*1.024,))</f>
        <v>0</v>
      </c>
      <c r="AQ53" s="156">
        <f>IF(ISBLANK($A53),,ROUNDDOWN(N53*AQ6*1.024,))</f>
        <v>0</v>
      </c>
      <c r="AR53" s="156">
        <f>IF(ISBLANK($A53),,ROUNDDOWN(P53*AQ6*1.024,))</f>
        <v>0</v>
      </c>
      <c r="AS53" s="156">
        <f>IF(ISBLANK($A53),,ROUNDDOWN(R53*AQ6*1.024,))</f>
        <v>0</v>
      </c>
      <c r="AT53" s="156">
        <f t="shared" si="5"/>
        <v>0</v>
      </c>
      <c r="AU53" s="156">
        <f>IF(ISBLANK($A53),,ROUNDDOWN(V53*AQ6*1.024,))</f>
        <v>0</v>
      </c>
      <c r="AV53" s="156">
        <f>IF(ISBLANK($A53),,ROUNDDOWN(X53*AQ6*1.024,))</f>
        <v>0</v>
      </c>
    </row>
    <row r="54" spans="1:48">
      <c r="A54" s="156" t="s">
        <v>390</v>
      </c>
      <c r="B54" s="156"/>
      <c r="C54" s="156" t="s">
        <v>333</v>
      </c>
      <c r="D54" s="156" t="s">
        <v>453</v>
      </c>
      <c r="E54" s="11" t="s">
        <v>26</v>
      </c>
      <c r="F54" s="152">
        <v>4</v>
      </c>
      <c r="G54" s="152">
        <v>4</v>
      </c>
      <c r="H54" s="152">
        <v>0</v>
      </c>
      <c r="I54" s="152">
        <v>31</v>
      </c>
      <c r="J54" s="154">
        <f t="shared" si="3"/>
        <v>4</v>
      </c>
      <c r="K54" s="152"/>
      <c r="L54" s="152"/>
      <c r="M54" s="152"/>
      <c r="N54" s="152"/>
      <c r="O54" s="152"/>
      <c r="P54" s="152"/>
      <c r="Q54" s="152"/>
      <c r="R54" s="152"/>
      <c r="S54" s="152"/>
      <c r="T54" s="152"/>
      <c r="U54" s="152"/>
      <c r="V54" s="152"/>
      <c r="W54" s="152"/>
      <c r="X54" s="152"/>
      <c r="Y54" s="156"/>
      <c r="Z54" s="156"/>
      <c r="AA54" s="156"/>
      <c r="AB54" s="156"/>
      <c r="AC54" s="156"/>
      <c r="AD54" s="156"/>
      <c r="AE54" s="156"/>
      <c r="AF54" s="156"/>
      <c r="AG54" s="156"/>
      <c r="AH54" s="152" t="s">
        <v>328</v>
      </c>
      <c r="AI54" s="152" t="s">
        <v>329</v>
      </c>
      <c r="AJ54" s="152"/>
      <c r="AK54" s="156"/>
      <c r="AL54" s="156"/>
      <c r="AM54" s="156">
        <f t="shared" si="4"/>
        <v>4.0960000000000001</v>
      </c>
      <c r="AN54" s="156">
        <f t="shared" si="4"/>
        <v>0</v>
      </c>
      <c r="AO54" s="156">
        <f>IF(ISBLANK($A54),,ROUNDDOWN(I54*AQ6*1.024,))</f>
        <v>28</v>
      </c>
      <c r="AP54" s="156">
        <f>IF(ISBLANK($A54),,ROUNDDOWN(L54*AQ6*1.024,))</f>
        <v>0</v>
      </c>
      <c r="AQ54" s="156">
        <f>IF(ISBLANK($A54),,ROUNDDOWN(N54*AQ6*1.024,))</f>
        <v>0</v>
      </c>
      <c r="AR54" s="156">
        <f>IF(ISBLANK($A54),,ROUNDDOWN(P54*AQ6*1.024,))</f>
        <v>0</v>
      </c>
      <c r="AS54" s="156">
        <f>IF(ISBLANK($A54),,ROUNDDOWN(R54*AQ6*1.024,))</f>
        <v>0</v>
      </c>
      <c r="AT54" s="156">
        <f t="shared" si="5"/>
        <v>0</v>
      </c>
      <c r="AU54" s="156">
        <f>IF(ISBLANK($A54),,ROUNDDOWN(V54*AQ6*1.024,))</f>
        <v>0</v>
      </c>
      <c r="AV54" s="156">
        <f>IF(ISBLANK($A54),,ROUNDDOWN(X54*AQ6*1.024,))</f>
        <v>0</v>
      </c>
    </row>
    <row r="55" spans="1:48" ht="15">
      <c r="A55" s="156" t="s">
        <v>391</v>
      </c>
      <c r="B55" s="156"/>
      <c r="C55" s="156" t="s">
        <v>333</v>
      </c>
      <c r="D55" s="156" t="s">
        <v>453</v>
      </c>
      <c r="E55" s="11" t="s">
        <v>38</v>
      </c>
      <c r="F55" s="152">
        <v>4</v>
      </c>
      <c r="G55" s="152">
        <v>5</v>
      </c>
      <c r="H55" s="152">
        <v>0</v>
      </c>
      <c r="I55" s="152">
        <v>111</v>
      </c>
      <c r="J55" s="154">
        <f t="shared" si="3"/>
        <v>5</v>
      </c>
      <c r="K55" s="1"/>
      <c r="L55" s="152"/>
      <c r="M55" s="152"/>
      <c r="N55" s="1"/>
      <c r="O55"/>
      <c r="P55" s="152"/>
      <c r="Q55" s="152"/>
      <c r="R55" s="152"/>
      <c r="S55" s="152"/>
      <c r="T55" s="152"/>
      <c r="U55" s="152"/>
      <c r="V55" s="152"/>
      <c r="W55" s="156"/>
      <c r="X55" s="156"/>
      <c r="Y55" s="156"/>
      <c r="Z55" s="152"/>
      <c r="AA55" s="152"/>
      <c r="AB55" s="152"/>
      <c r="AC55" s="152"/>
      <c r="AD55" s="152"/>
      <c r="AE55" s="152"/>
      <c r="AF55" s="152"/>
      <c r="AG55" s="152"/>
      <c r="AH55" s="152" t="s">
        <v>328</v>
      </c>
      <c r="AI55" s="152" t="s">
        <v>329</v>
      </c>
      <c r="AJ55" s="152" t="s">
        <v>329</v>
      </c>
      <c r="AK55" s="156"/>
      <c r="AL55" s="156"/>
      <c r="AM55" s="156">
        <f t="shared" ref="AM55:AN58" si="6">IF(ISBLANK($A55),,G55*1.024)</f>
        <v>5.12</v>
      </c>
      <c r="AN55" s="156">
        <f t="shared" si="6"/>
        <v>0</v>
      </c>
      <c r="AO55" s="156">
        <f>IF(ISBLANK($A55),,ROUNDDOWN(I55*AQ6*1.024,))</f>
        <v>102</v>
      </c>
      <c r="AP55" s="156">
        <f>IF(ISBLANK($A55),,ROUNDDOWN(L55*AQ6*1.024,))</f>
        <v>0</v>
      </c>
      <c r="AQ55" s="156">
        <f>IF(ISBLANK($A55),,ROUNDDOWN(N55*AQ6*1.024,))</f>
        <v>0</v>
      </c>
      <c r="AR55" s="156">
        <f>IF(ISBLANK($A55),,ROUNDDOWN(P55*AQ6*1.024,))</f>
        <v>0</v>
      </c>
      <c r="AS55" s="156">
        <f>IF(ISBLANK($A55),,ROUNDDOWN(R55*AQ6*1.024,))</f>
        <v>0</v>
      </c>
      <c r="AT55" s="156">
        <f t="shared" si="5"/>
        <v>0</v>
      </c>
      <c r="AU55" s="156">
        <f>IF(ISBLANK($A55),,ROUNDDOWN(V55*AQ6*1.024,))</f>
        <v>0</v>
      </c>
      <c r="AV55" s="156">
        <f>IF(ISBLANK($A55),,ROUNDDOWN(X55*AQ6*1.024,))</f>
        <v>0</v>
      </c>
    </row>
    <row r="56" spans="1:48" ht="15">
      <c r="A56" s="156" t="s">
        <v>392</v>
      </c>
      <c r="B56" s="156"/>
      <c r="C56" s="156" t="s">
        <v>333</v>
      </c>
      <c r="D56" s="156" t="s">
        <v>453</v>
      </c>
      <c r="E56" s="156" t="s">
        <v>49</v>
      </c>
      <c r="F56" s="152">
        <v>2</v>
      </c>
      <c r="G56" s="152">
        <v>2</v>
      </c>
      <c r="H56" s="152">
        <v>0</v>
      </c>
      <c r="I56" s="152">
        <v>16</v>
      </c>
      <c r="J56" s="154">
        <f t="shared" si="3"/>
        <v>2</v>
      </c>
      <c r="K56" s="1"/>
      <c r="L56" s="152"/>
      <c r="M56" s="152"/>
      <c r="N56" s="1"/>
      <c r="O56"/>
      <c r="P56" s="152"/>
      <c r="Q56" s="152"/>
      <c r="R56" s="152"/>
      <c r="S56" s="152"/>
      <c r="T56" s="152"/>
      <c r="U56" s="152"/>
      <c r="V56" s="152"/>
      <c r="W56" s="156"/>
      <c r="X56" s="156"/>
      <c r="Y56" s="156"/>
      <c r="Z56" s="152"/>
      <c r="AA56" s="152"/>
      <c r="AB56" s="152"/>
      <c r="AC56" s="152"/>
      <c r="AD56" s="152"/>
      <c r="AE56" s="152"/>
      <c r="AF56" s="152"/>
      <c r="AG56" s="152"/>
      <c r="AH56" s="152" t="s">
        <v>328</v>
      </c>
      <c r="AI56" s="152" t="s">
        <v>329</v>
      </c>
      <c r="AJ56" s="152"/>
      <c r="AK56" s="156"/>
      <c r="AL56" s="156"/>
      <c r="AM56" s="156">
        <f t="shared" si="6"/>
        <v>2.048</v>
      </c>
      <c r="AN56" s="156">
        <f t="shared" si="6"/>
        <v>0</v>
      </c>
      <c r="AO56" s="156">
        <f>IF(ISBLANK($A56),,ROUNDDOWN(I56*AQ6*1.024,))</f>
        <v>14</v>
      </c>
      <c r="AP56" s="156">
        <f>IF(ISBLANK($A56),,ROUNDDOWN(L56*AQ6*1.024,))</f>
        <v>0</v>
      </c>
      <c r="AQ56" s="156">
        <f>IF(ISBLANK($A56),,ROUNDDOWN(N56*AQ6*1.024,))</f>
        <v>0</v>
      </c>
      <c r="AR56" s="156">
        <f>IF(ISBLANK($A56),,ROUNDDOWN(P56*AQ6*1.024,))</f>
        <v>0</v>
      </c>
      <c r="AS56" s="156">
        <f>IF(ISBLANK($A56),,ROUNDDOWN(R56*AQ6*1.024,))</f>
        <v>0</v>
      </c>
      <c r="AT56" s="156">
        <f t="shared" si="5"/>
        <v>0</v>
      </c>
      <c r="AU56" s="156">
        <f>IF(ISBLANK($A56),,ROUNDDOWN(V56*AQ6*1.024,))</f>
        <v>0</v>
      </c>
      <c r="AV56" s="156">
        <f>IF(ISBLANK($A56),,ROUNDDOWN(X56*AQ6*1.024,))</f>
        <v>0</v>
      </c>
    </row>
    <row r="57" spans="1:48" ht="15">
      <c r="A57" s="156" t="s">
        <v>393</v>
      </c>
      <c r="B57" s="156"/>
      <c r="C57" s="156" t="s">
        <v>333</v>
      </c>
      <c r="D57" s="156" t="s">
        <v>453</v>
      </c>
      <c r="E57" s="156" t="s">
        <v>49</v>
      </c>
      <c r="F57" s="152">
        <v>2</v>
      </c>
      <c r="G57" s="152">
        <v>2</v>
      </c>
      <c r="H57" s="152">
        <v>0</v>
      </c>
      <c r="I57" s="152">
        <v>16</v>
      </c>
      <c r="J57" s="154">
        <f t="shared" si="3"/>
        <v>2</v>
      </c>
      <c r="K57" s="1"/>
      <c r="L57" s="152"/>
      <c r="M57" s="152"/>
      <c r="N57" s="1"/>
      <c r="O57"/>
      <c r="P57" s="152"/>
      <c r="Q57" s="152"/>
      <c r="R57" s="152"/>
      <c r="S57" s="152"/>
      <c r="T57" s="152"/>
      <c r="U57" s="152"/>
      <c r="V57" s="152"/>
      <c r="W57" s="156"/>
      <c r="X57" s="156"/>
      <c r="Y57" s="156"/>
      <c r="Z57" s="152"/>
      <c r="AA57" s="152"/>
      <c r="AB57" s="152"/>
      <c r="AC57" s="152"/>
      <c r="AD57" s="152"/>
      <c r="AE57" s="152"/>
      <c r="AF57" s="152"/>
      <c r="AG57" s="152"/>
      <c r="AH57" s="152" t="s">
        <v>328</v>
      </c>
      <c r="AI57" s="152" t="s">
        <v>329</v>
      </c>
      <c r="AJ57" s="152"/>
      <c r="AK57" s="156"/>
      <c r="AL57" s="156"/>
      <c r="AM57" s="156">
        <f t="shared" si="6"/>
        <v>2.048</v>
      </c>
      <c r="AN57" s="156">
        <f t="shared" si="6"/>
        <v>0</v>
      </c>
      <c r="AO57" s="156">
        <f>IF(ISBLANK($A57),,ROUNDDOWN(I57*AQ6*1.024,))</f>
        <v>14</v>
      </c>
      <c r="AP57" s="156">
        <f>IF(ISBLANK($A57),,ROUNDDOWN(L57*AQ6*1.024,))</f>
        <v>0</v>
      </c>
      <c r="AQ57" s="156">
        <f>IF(ISBLANK($A57),,ROUNDDOWN(N57*AQ6*1.024,))</f>
        <v>0</v>
      </c>
      <c r="AR57" s="156">
        <f>IF(ISBLANK($A57),,ROUNDDOWN(P57*AQ6*1.024,))</f>
        <v>0</v>
      </c>
      <c r="AS57" s="156">
        <f>IF(ISBLANK($A57),,ROUNDDOWN(R57*AQ6*1.024,))</f>
        <v>0</v>
      </c>
      <c r="AT57" s="156">
        <f t="shared" si="5"/>
        <v>0</v>
      </c>
      <c r="AU57" s="156">
        <f>IF(ISBLANK($A57),,ROUNDDOWN(V57*AQ6*1.024,))</f>
        <v>0</v>
      </c>
      <c r="AV57" s="156">
        <f>IF(ISBLANK($A57),,ROUNDDOWN(X57*AQ6*1.024,))</f>
        <v>0</v>
      </c>
    </row>
    <row r="58" spans="1:48" ht="15">
      <c r="A58" s="156" t="s">
        <v>394</v>
      </c>
      <c r="B58" s="156"/>
      <c r="C58" s="156" t="s">
        <v>333</v>
      </c>
      <c r="D58" s="156" t="s">
        <v>453</v>
      </c>
      <c r="E58" s="156" t="s">
        <v>53</v>
      </c>
      <c r="F58" s="152">
        <v>6</v>
      </c>
      <c r="G58" s="152">
        <v>5</v>
      </c>
      <c r="H58" s="152">
        <v>0</v>
      </c>
      <c r="I58" s="152">
        <v>41</v>
      </c>
      <c r="J58" s="154">
        <f t="shared" si="3"/>
        <v>5</v>
      </c>
      <c r="K58" s="1"/>
      <c r="L58" s="152"/>
      <c r="M58" s="152"/>
      <c r="N58" s="1"/>
      <c r="O58"/>
      <c r="P58" s="152"/>
      <c r="Q58" s="152"/>
      <c r="R58" s="152"/>
      <c r="S58" s="152"/>
      <c r="T58" s="152"/>
      <c r="U58" s="152"/>
      <c r="V58" s="152"/>
      <c r="W58" s="156"/>
      <c r="X58" s="156"/>
      <c r="Y58" s="156"/>
      <c r="Z58" s="152"/>
      <c r="AA58" s="152"/>
      <c r="AB58" s="152"/>
      <c r="AC58" s="152"/>
      <c r="AD58" s="152"/>
      <c r="AE58" s="152"/>
      <c r="AF58" s="152"/>
      <c r="AG58" s="152"/>
      <c r="AH58" s="152" t="s">
        <v>328</v>
      </c>
      <c r="AI58" s="152" t="s">
        <v>329</v>
      </c>
      <c r="AJ58" s="152"/>
      <c r="AK58" s="156"/>
      <c r="AL58" s="156"/>
      <c r="AM58" s="156">
        <f t="shared" si="6"/>
        <v>5.12</v>
      </c>
      <c r="AN58" s="156">
        <f t="shared" si="6"/>
        <v>0</v>
      </c>
      <c r="AO58" s="156">
        <f>IF(ISBLANK($A58),,ROUNDDOWN(I58*AQ6*1.024,))</f>
        <v>37</v>
      </c>
      <c r="AP58" s="156">
        <f>IF(ISBLANK($A58),,ROUNDDOWN(L58*AQ6*1.024,))</f>
        <v>0</v>
      </c>
      <c r="AQ58" s="156">
        <f>IF(ISBLANK($A58),,ROUNDDOWN(N58*AQ6*1.024,))</f>
        <v>0</v>
      </c>
      <c r="AR58" s="156">
        <f>IF(ISBLANK($A58),,ROUNDDOWN(P58*AQ6*1.024,))</f>
        <v>0</v>
      </c>
      <c r="AS58" s="156">
        <f>IF(ISBLANK($A58),,ROUNDDOWN(R58*AQ6*1.024,))</f>
        <v>0</v>
      </c>
      <c r="AT58" s="156">
        <f t="shared" si="5"/>
        <v>0</v>
      </c>
      <c r="AU58" s="156">
        <f>IF(ISBLANK($A58),,ROUNDDOWN(V58*AQ6*1.024,))</f>
        <v>0</v>
      </c>
      <c r="AV58" s="156">
        <f>IF(ISBLANK($A58),,ROUNDDOWN(X58*AQ6*1.024,))</f>
        <v>0</v>
      </c>
    </row>
    <row r="59" spans="1:48" ht="15">
      <c r="A59" s="156" t="s">
        <v>395</v>
      </c>
      <c r="B59" s="156"/>
      <c r="C59" s="156" t="s">
        <v>333</v>
      </c>
      <c r="D59" s="156" t="s">
        <v>453</v>
      </c>
      <c r="E59" s="156" t="s">
        <v>57</v>
      </c>
      <c r="F59" s="152">
        <v>2</v>
      </c>
      <c r="G59" s="152">
        <v>2</v>
      </c>
      <c r="H59" s="152">
        <v>0</v>
      </c>
      <c r="I59" s="152">
        <v>31</v>
      </c>
      <c r="J59" s="152">
        <f t="shared" si="3"/>
        <v>2</v>
      </c>
      <c r="K59" s="40"/>
      <c r="L59" s="154"/>
      <c r="M59" s="154"/>
      <c r="N59" s="40"/>
      <c r="O59" s="41"/>
      <c r="P59" s="154"/>
      <c r="Q59" s="154"/>
      <c r="R59" s="154"/>
      <c r="S59" s="154"/>
      <c r="T59" s="154"/>
      <c r="U59" s="154"/>
      <c r="V59" s="154"/>
      <c r="W59" s="35"/>
      <c r="X59" s="154"/>
      <c r="Y59" s="115"/>
      <c r="Z59" s="114"/>
      <c r="AA59" s="114"/>
      <c r="AB59" s="114"/>
      <c r="AC59" s="114"/>
      <c r="AD59" s="114"/>
      <c r="AE59" s="114"/>
      <c r="AF59" s="114"/>
      <c r="AG59" s="114"/>
      <c r="AH59" s="114" t="s">
        <v>328</v>
      </c>
      <c r="AI59" s="114" t="s">
        <v>329</v>
      </c>
      <c r="AJ59" s="114"/>
      <c r="AK59" s="35"/>
      <c r="AL59" s="35"/>
      <c r="AM59" s="156">
        <f>IF(ISBLANK($A59),,G59*1.024)</f>
        <v>2.048</v>
      </c>
      <c r="AN59" s="156">
        <f>IF(ISBLANK($A59),,H59*1.024)</f>
        <v>0</v>
      </c>
      <c r="AO59" s="156">
        <f>IF(ISBLANK($A59),,ROUNDDOWN(I59*AQ6*1.024,))</f>
        <v>28</v>
      </c>
      <c r="AP59" s="156">
        <f>IF(ISBLANK($A59),,ROUNDDOWN(L59*AQ6*1.024,))</f>
        <v>0</v>
      </c>
      <c r="AQ59" s="156">
        <f>IF(ISBLANK($A59),,ROUNDDOWN(N59*AQ6*1.024,))</f>
        <v>0</v>
      </c>
      <c r="AR59" s="156">
        <f>IF(ISBLANK($A59),,ROUNDDOWN(P59*AQ6*1.024,))</f>
        <v>0</v>
      </c>
      <c r="AS59" s="156">
        <f>IF(ISBLANK($A59),,ROUNDDOWN(R59*AQ6*1.024,))</f>
        <v>0</v>
      </c>
      <c r="AT59" s="156">
        <f t="shared" si="5"/>
        <v>0</v>
      </c>
      <c r="AU59" s="156">
        <f>IF(ISBLANK($A59),,ROUNDDOWN(V59*AQ6*1.024,))</f>
        <v>0</v>
      </c>
      <c r="AV59" s="156">
        <f>IF(ISBLANK($A59),,ROUNDDOWN(X59*AQ$6*1.024,))</f>
        <v>0</v>
      </c>
    </row>
    <row r="60" spans="1:48" s="42" customFormat="1" ht="15">
      <c r="A60" s="13" t="s">
        <v>655</v>
      </c>
      <c r="B60" s="13"/>
      <c r="C60" s="13" t="s">
        <v>333</v>
      </c>
      <c r="D60" s="13" t="s">
        <v>326</v>
      </c>
      <c r="E60" s="13" t="s">
        <v>656</v>
      </c>
      <c r="F60" s="8">
        <v>12</v>
      </c>
      <c r="G60" s="8">
        <v>24</v>
      </c>
      <c r="H60" s="8">
        <v>0</v>
      </c>
      <c r="I60" s="8">
        <v>2098</v>
      </c>
      <c r="J60" s="8">
        <f t="shared" si="3"/>
        <v>24</v>
      </c>
      <c r="K60" s="99"/>
      <c r="L60" s="36"/>
      <c r="M60" s="36"/>
      <c r="N60" s="99"/>
      <c r="O60" s="163"/>
      <c r="P60" s="36"/>
      <c r="Q60" s="36"/>
      <c r="R60" s="36"/>
      <c r="S60" s="36"/>
      <c r="T60" s="36"/>
      <c r="U60" s="36"/>
      <c r="V60" s="36"/>
      <c r="X60" s="36"/>
      <c r="Z60" s="36"/>
      <c r="AA60" s="36"/>
      <c r="AB60" s="36"/>
      <c r="AC60" s="36"/>
      <c r="AD60" s="36"/>
      <c r="AE60" s="36"/>
      <c r="AF60" s="36"/>
      <c r="AG60" s="36"/>
      <c r="AH60" s="36" t="s">
        <v>328</v>
      </c>
      <c r="AI60" s="36" t="s">
        <v>329</v>
      </c>
      <c r="AJ60" s="36"/>
      <c r="AM60" s="42">
        <f t="shared" ref="AM60:AN60" si="7">IF(ISBLANK($A60),,G60*1.024)</f>
        <v>24.576000000000001</v>
      </c>
      <c r="AN60" s="42">
        <f t="shared" si="7"/>
        <v>0</v>
      </c>
      <c r="AO60" s="42">
        <f>IF(ISBLANK($A60),,ROUNDDOWN(I60*AQ$6*1.024,))</f>
        <v>1933</v>
      </c>
      <c r="AP60" s="42">
        <f>IF(ISBLANK($A60),,ROUNDDOWN(L60*AQ$6*1.024,))</f>
        <v>0</v>
      </c>
      <c r="AQ60" s="42">
        <f>IF(ISBLANK($A60),,ROUNDDOWN(N60*AQ$6*1.024,))</f>
        <v>0</v>
      </c>
      <c r="AR60" s="42">
        <f>IF(ISBLANK($A60),,ROUNDDOWN(P60*AQ$6*1.024,))</f>
        <v>0</v>
      </c>
      <c r="AS60" s="42">
        <f>IF(ISBLANK($A60),,ROUNDDOWN(R60*AQ$6*1.024,))</f>
        <v>0</v>
      </c>
      <c r="AT60" s="42">
        <f>IF(ISBLANK($A60),,ROUNDDOWN(V60*AQ$6*1.024,))</f>
        <v>0</v>
      </c>
      <c r="AU60" s="42">
        <f>IF(ISBLANK($A60),,ROUNDDOWN(X60*AQ$6*1.024,))</f>
        <v>0</v>
      </c>
      <c r="AV60" s="13">
        <f>IF(ISBLANK($A60),,ROUNDDOWN(X60*AQ$6*1.024,))</f>
        <v>0</v>
      </c>
    </row>
    <row r="61" spans="1:48">
      <c r="A61" s="101"/>
      <c r="B61" s="101"/>
      <c r="C61" s="101"/>
      <c r="D61" s="101"/>
      <c r="E61" s="101"/>
      <c r="F61" s="102">
        <f>SUM(F41:F60)+F37</f>
        <v>237</v>
      </c>
      <c r="G61" s="102">
        <f>SUM(G41:G60)+G37</f>
        <v>587</v>
      </c>
      <c r="H61" s="102">
        <f>SUM(H41:H60)+H37</f>
        <v>202.75</v>
      </c>
      <c r="I61" s="102">
        <f>SUM(I41:I60)+I37</f>
        <v>5916</v>
      </c>
      <c r="J61" s="102"/>
      <c r="K61" s="102"/>
      <c r="L61" s="102">
        <f>SUM(L41:L60)+L37</f>
        <v>66</v>
      </c>
      <c r="M61" s="102"/>
      <c r="N61" s="102">
        <f>SUM(N41:N60)+N37</f>
        <v>2062</v>
      </c>
      <c r="O61" s="102"/>
      <c r="P61" s="102">
        <f>SUM(P41:P60)+P37</f>
        <v>2250</v>
      </c>
      <c r="Q61" s="102"/>
      <c r="R61" s="102">
        <f>SUM(R41:R60)+R37</f>
        <v>360</v>
      </c>
      <c r="S61" s="102"/>
      <c r="T61" s="102">
        <f>SUM(T41:T60)+T37</f>
        <v>300</v>
      </c>
      <c r="U61" s="102"/>
      <c r="V61" s="102">
        <f>SUM(V41:V60)+V37</f>
        <v>0</v>
      </c>
      <c r="W61" s="102"/>
      <c r="X61" s="102">
        <f>SUM(X41:X60)+X37</f>
        <v>6855</v>
      </c>
      <c r="Y61" s="156"/>
      <c r="Z61" s="102">
        <f>SUM(Z41:Z60)+Z37</f>
        <v>100</v>
      </c>
      <c r="AA61" s="156"/>
      <c r="AB61" s="102">
        <f>SUM(AB41:AB60)+AB37</f>
        <v>50</v>
      </c>
      <c r="AC61" s="156"/>
      <c r="AD61" s="102">
        <f>SUM(AD41:AD60)+AD37</f>
        <v>0</v>
      </c>
      <c r="AE61" s="156"/>
      <c r="AF61" s="102">
        <f>SUM(AF41:AF60)+AF37</f>
        <v>2500</v>
      </c>
      <c r="AG61" s="156"/>
      <c r="AH61" s="156"/>
      <c r="AI61" s="152" t="s">
        <v>498</v>
      </c>
      <c r="AJ61" s="152">
        <f>3</f>
        <v>3</v>
      </c>
      <c r="AK61" s="156"/>
      <c r="AL61" s="156"/>
      <c r="AM61" s="156"/>
      <c r="AN61" s="156"/>
      <c r="AO61" s="156"/>
      <c r="AP61" s="156"/>
      <c r="AQ61" s="156"/>
      <c r="AR61" s="156"/>
      <c r="AS61" s="156"/>
      <c r="AT61" s="156"/>
      <c r="AU61" s="156"/>
      <c r="AV61" s="156"/>
    </row>
    <row r="63" spans="1:48">
      <c r="A63" s="7" t="s">
        <v>424</v>
      </c>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c r="AB63" s="156"/>
      <c r="AC63" s="156"/>
      <c r="AD63" s="156"/>
      <c r="AE63" s="156"/>
      <c r="AF63" s="156"/>
      <c r="AG63" s="156"/>
      <c r="AH63" s="156"/>
      <c r="AI63" s="156"/>
      <c r="AJ63" s="156"/>
      <c r="AK63" s="156"/>
      <c r="AL63" s="156"/>
      <c r="AM63" s="156"/>
      <c r="AN63" s="156"/>
      <c r="AO63" s="156"/>
      <c r="AP63" s="156"/>
      <c r="AQ63" s="156"/>
      <c r="AR63" s="156"/>
      <c r="AS63" s="156"/>
      <c r="AT63" s="156"/>
      <c r="AU63" s="156"/>
      <c r="AV63" s="156"/>
    </row>
    <row r="65" spans="1:48">
      <c r="A65" s="156" t="s">
        <v>425</v>
      </c>
      <c r="B65" s="156"/>
      <c r="C65" s="156" t="s">
        <v>426</v>
      </c>
      <c r="D65" s="156" t="s">
        <v>427</v>
      </c>
      <c r="E65" s="156" t="s">
        <v>8</v>
      </c>
      <c r="F65" s="152">
        <v>2</v>
      </c>
      <c r="G65" s="152">
        <v>4</v>
      </c>
      <c r="H65" s="152">
        <v>4</v>
      </c>
      <c r="I65" s="152">
        <v>350</v>
      </c>
      <c r="J65" s="152">
        <f t="shared" ref="J65:J70" si="8">G65-H65</f>
        <v>0</v>
      </c>
      <c r="K65" s="154" t="s">
        <v>428</v>
      </c>
      <c r="L65" s="154"/>
      <c r="M65" s="154"/>
      <c r="N65" s="154"/>
      <c r="O65" s="154"/>
      <c r="P65" s="154"/>
      <c r="Q65" s="154"/>
      <c r="R65" s="154"/>
      <c r="S65" s="154"/>
      <c r="T65" s="152"/>
      <c r="U65" s="152"/>
      <c r="V65" s="152"/>
      <c r="W65" s="156"/>
      <c r="X65" s="156"/>
      <c r="Y65" s="156"/>
      <c r="Z65" s="152"/>
      <c r="AA65" s="152"/>
      <c r="AB65" s="152"/>
      <c r="AC65" s="152"/>
      <c r="AD65" s="152"/>
      <c r="AE65" s="152"/>
      <c r="AF65" s="152"/>
      <c r="AG65" s="152"/>
      <c r="AH65" s="152" t="s">
        <v>328</v>
      </c>
      <c r="AI65" s="152" t="s">
        <v>329</v>
      </c>
      <c r="AJ65" s="152"/>
      <c r="AK65" s="156"/>
      <c r="AL65" s="156"/>
      <c r="AM65" s="156">
        <f t="shared" ref="AM65:AN72" si="9">IF(ISBLANK($A65),,G65*1.024)</f>
        <v>4.0960000000000001</v>
      </c>
      <c r="AN65" s="156">
        <f t="shared" si="9"/>
        <v>4.0960000000000001</v>
      </c>
      <c r="AO65" s="156">
        <f>IF(ISBLANK($A65),,ROUNDDOWN(I65*AQ6*1.024,))</f>
        <v>322</v>
      </c>
      <c r="AP65" s="156">
        <f>IF(ISBLANK($A65),,ROUNDDOWN(L65*AQ6*1.024,))</f>
        <v>0</v>
      </c>
      <c r="AQ65" s="156">
        <f>IF(ISBLANK($A65),,ROUNDDOWN(N65*AQ6*1.024,))</f>
        <v>0</v>
      </c>
      <c r="AR65" s="156">
        <f>IF(ISBLANK($A65),,ROUNDDOWN(P65*AQ6*1.024,))</f>
        <v>0</v>
      </c>
      <c r="AS65" s="156">
        <f>IF(ISBLANK($A65),,ROUNDDOWN(R65*AQ6*1.024,))</f>
        <v>0</v>
      </c>
      <c r="AT65" s="156">
        <f t="shared" ref="AT65:AT72" si="10">IF(ISBLANK($A65),,ROUNDDOWN(T65*AQ$6*1.024,))</f>
        <v>0</v>
      </c>
      <c r="AU65" s="156">
        <f>IF(ISBLANK($A65),,ROUNDDOWN(V65*AQ6*1.024,))</f>
        <v>0</v>
      </c>
      <c r="AV65" s="156">
        <f>IF(ISBLANK($A65),,ROUNDDOWN(X65*AQ6*1.024,))</f>
        <v>0</v>
      </c>
    </row>
    <row r="66" spans="1:48">
      <c r="A66" s="156" t="s">
        <v>429</v>
      </c>
      <c r="B66" s="156"/>
      <c r="C66" s="156" t="s">
        <v>426</v>
      </c>
      <c r="D66" s="156" t="s">
        <v>427</v>
      </c>
      <c r="E66" s="156" t="s">
        <v>430</v>
      </c>
      <c r="F66" s="152">
        <v>6</v>
      </c>
      <c r="G66" s="152">
        <v>10</v>
      </c>
      <c r="H66" s="152">
        <v>10</v>
      </c>
      <c r="I66" s="152">
        <v>100</v>
      </c>
      <c r="J66" s="152">
        <f t="shared" si="8"/>
        <v>0</v>
      </c>
      <c r="K66" s="154" t="s">
        <v>428</v>
      </c>
      <c r="L66" s="154"/>
      <c r="M66" s="154"/>
      <c r="N66" s="154">
        <v>200</v>
      </c>
      <c r="O66" s="154" t="s">
        <v>431</v>
      </c>
      <c r="P66" s="154"/>
      <c r="Q66" s="154"/>
      <c r="R66" s="154"/>
      <c r="S66" s="154"/>
      <c r="T66" s="152"/>
      <c r="U66" s="152"/>
      <c r="V66" s="152"/>
      <c r="W66" s="156"/>
      <c r="X66" s="156"/>
      <c r="Y66" s="156"/>
      <c r="Z66" s="152"/>
      <c r="AA66" s="152"/>
      <c r="AB66" s="152"/>
      <c r="AC66" s="152"/>
      <c r="AD66" s="152"/>
      <c r="AE66" s="152"/>
      <c r="AF66" s="152"/>
      <c r="AG66" s="152"/>
      <c r="AH66" s="152" t="s">
        <v>328</v>
      </c>
      <c r="AI66" s="152" t="s">
        <v>329</v>
      </c>
      <c r="AJ66" s="152"/>
      <c r="AK66" s="156"/>
      <c r="AL66" s="156"/>
      <c r="AM66" s="156">
        <f t="shared" si="9"/>
        <v>10.24</v>
      </c>
      <c r="AN66" s="156">
        <f t="shared" si="9"/>
        <v>10.24</v>
      </c>
      <c r="AO66" s="156">
        <f>IF(ISBLANK($A66),,ROUNDDOWN(I66*AQ6*1.024,))</f>
        <v>92</v>
      </c>
      <c r="AP66" s="156">
        <f>IF(ISBLANK($A66),,ROUNDDOWN(L66*AQ6*1.024,))</f>
        <v>0</v>
      </c>
      <c r="AQ66" s="156">
        <f>IF(ISBLANK($A66),,ROUNDDOWN(N66*AQ6*1.024,))</f>
        <v>184</v>
      </c>
      <c r="AR66" s="156">
        <f>IF(ISBLANK($A66),,ROUNDDOWN(P66*AQ6*1.024,))</f>
        <v>0</v>
      </c>
      <c r="AS66" s="156">
        <f>IF(ISBLANK($A66),,ROUNDDOWN(R66*AQ6*1.024,))</f>
        <v>0</v>
      </c>
      <c r="AT66" s="156">
        <f t="shared" si="10"/>
        <v>0</v>
      </c>
      <c r="AU66" s="156">
        <f>IF(ISBLANK($A66),,ROUNDDOWN(V66*AQ6*1.024,))</f>
        <v>0</v>
      </c>
      <c r="AV66" s="156">
        <f>IF(ISBLANK($A66),,ROUNDDOWN(X66*AQ6*1.024,))</f>
        <v>0</v>
      </c>
    </row>
    <row r="67" spans="1:48">
      <c r="A67" s="156" t="s">
        <v>432</v>
      </c>
      <c r="B67" s="156"/>
      <c r="C67" s="156" t="s">
        <v>426</v>
      </c>
      <c r="D67" s="156" t="s">
        <v>427</v>
      </c>
      <c r="E67" s="156" t="s">
        <v>433</v>
      </c>
      <c r="F67" s="152">
        <v>8</v>
      </c>
      <c r="G67" s="152">
        <v>16</v>
      </c>
      <c r="H67" s="152">
        <v>16</v>
      </c>
      <c r="I67" s="152">
        <v>60</v>
      </c>
      <c r="J67" s="152">
        <f t="shared" si="8"/>
        <v>0</v>
      </c>
      <c r="K67" s="154" t="s">
        <v>434</v>
      </c>
      <c r="L67" s="154"/>
      <c r="M67" s="154"/>
      <c r="N67" s="154"/>
      <c r="O67" s="154"/>
      <c r="P67" s="154"/>
      <c r="Q67" s="154"/>
      <c r="R67" s="154"/>
      <c r="S67" s="154"/>
      <c r="T67" s="152"/>
      <c r="U67" s="152"/>
      <c r="V67" s="152"/>
      <c r="W67" s="156"/>
      <c r="X67" s="156"/>
      <c r="Y67" s="156"/>
      <c r="Z67" s="152"/>
      <c r="AA67" s="152"/>
      <c r="AB67" s="152"/>
      <c r="AC67" s="152"/>
      <c r="AD67" s="152"/>
      <c r="AE67" s="152"/>
      <c r="AF67" s="152"/>
      <c r="AG67" s="152"/>
      <c r="AH67" s="152" t="s">
        <v>346</v>
      </c>
      <c r="AI67" s="152" t="s">
        <v>347</v>
      </c>
      <c r="AJ67" s="152"/>
      <c r="AK67" s="156"/>
      <c r="AL67" s="156"/>
      <c r="AM67" s="156">
        <f t="shared" si="9"/>
        <v>16.384</v>
      </c>
      <c r="AN67" s="156">
        <f t="shared" si="9"/>
        <v>16.384</v>
      </c>
      <c r="AO67" s="156">
        <f>IF(ISBLANK($A67),,ROUNDDOWN(I67*AQ6*1.024,))</f>
        <v>55</v>
      </c>
      <c r="AP67" s="156">
        <f>IF(ISBLANK($A67),,ROUNDDOWN(L67*AQ6*1.024,))</f>
        <v>0</v>
      </c>
      <c r="AQ67" s="156">
        <f>IF(ISBLANK($A67),,ROUNDDOWN(N67*AQ6*1.024,))</f>
        <v>0</v>
      </c>
      <c r="AR67" s="156">
        <f>IF(ISBLANK($A67),,ROUNDDOWN(P67*AQ6*1.024,))</f>
        <v>0</v>
      </c>
      <c r="AS67" s="156">
        <f>IF(ISBLANK($A67),,ROUNDDOWN(R67*AQ6*1.024,))</f>
        <v>0</v>
      </c>
      <c r="AT67" s="156">
        <f t="shared" si="10"/>
        <v>0</v>
      </c>
      <c r="AU67" s="156">
        <f>IF(ISBLANK($A67),,ROUNDDOWN(V67*AQ6*1.024,))</f>
        <v>0</v>
      </c>
      <c r="AV67" s="156">
        <f>IF(ISBLANK($A67),,ROUNDDOWN(X67*AQ6*1.024,))</f>
        <v>0</v>
      </c>
    </row>
    <row r="68" spans="1:48">
      <c r="A68" s="156" t="s">
        <v>435</v>
      </c>
      <c r="B68" s="156"/>
      <c r="C68" s="156" t="s">
        <v>426</v>
      </c>
      <c r="D68" s="156" t="s">
        <v>427</v>
      </c>
      <c r="E68" s="156" t="s">
        <v>436</v>
      </c>
      <c r="F68" s="152">
        <v>10</v>
      </c>
      <c r="G68" s="152">
        <v>10</v>
      </c>
      <c r="H68" s="152">
        <v>10</v>
      </c>
      <c r="I68" s="152">
        <v>40</v>
      </c>
      <c r="J68" s="152">
        <f t="shared" si="8"/>
        <v>0</v>
      </c>
      <c r="K68" s="154" t="s">
        <v>434</v>
      </c>
      <c r="L68" s="154"/>
      <c r="M68" s="154"/>
      <c r="N68" s="154"/>
      <c r="O68" s="154"/>
      <c r="P68" s="154"/>
      <c r="Q68" s="154"/>
      <c r="R68" s="154"/>
      <c r="S68" s="154"/>
      <c r="T68" s="152"/>
      <c r="U68" s="152"/>
      <c r="V68" s="152"/>
      <c r="W68" s="156"/>
      <c r="X68" s="156"/>
      <c r="Y68" s="156"/>
      <c r="Z68" s="152"/>
      <c r="AA68" s="152"/>
      <c r="AB68" s="152"/>
      <c r="AC68" s="152"/>
      <c r="AD68" s="152"/>
      <c r="AE68" s="152"/>
      <c r="AF68" s="152"/>
      <c r="AG68" s="152"/>
      <c r="AH68" s="152" t="s">
        <v>346</v>
      </c>
      <c r="AI68" s="152" t="s">
        <v>347</v>
      </c>
      <c r="AJ68" s="152"/>
      <c r="AK68" s="156"/>
      <c r="AL68" s="156"/>
      <c r="AM68" s="156">
        <f t="shared" si="9"/>
        <v>10.24</v>
      </c>
      <c r="AN68" s="156">
        <f t="shared" si="9"/>
        <v>10.24</v>
      </c>
      <c r="AO68" s="156">
        <f>IF(ISBLANK($A68),,ROUNDDOWN(I68*AQ6*1.024,))</f>
        <v>36</v>
      </c>
      <c r="AP68" s="156">
        <f>IF(ISBLANK($A68),,ROUNDDOWN(L68*AQ6*1.024,))</f>
        <v>0</v>
      </c>
      <c r="AQ68" s="156">
        <f>IF(ISBLANK($A68),,ROUNDDOWN(N68*AQ6*1.024,))</f>
        <v>0</v>
      </c>
      <c r="AR68" s="156">
        <f>IF(ISBLANK($A68),,ROUNDDOWN(P68*AQ6*1.024,))</f>
        <v>0</v>
      </c>
      <c r="AS68" s="156">
        <f>IF(ISBLANK($A68),,ROUNDDOWN(R68*AQ6*1.024,))</f>
        <v>0</v>
      </c>
      <c r="AT68" s="156">
        <f t="shared" si="10"/>
        <v>0</v>
      </c>
      <c r="AU68" s="156">
        <f>IF(ISBLANK($A68),,ROUNDDOWN(V68*AQ6*1.024,))</f>
        <v>0</v>
      </c>
      <c r="AV68" s="156">
        <f>IF(ISBLANK($A68),,ROUNDDOWN(X68*AQ6*1.024,))</f>
        <v>0</v>
      </c>
    </row>
    <row r="69" spans="1:48">
      <c r="A69" s="156" t="s">
        <v>437</v>
      </c>
      <c r="B69" s="156"/>
      <c r="C69" s="156" t="s">
        <v>426</v>
      </c>
      <c r="D69" s="156" t="s">
        <v>427</v>
      </c>
      <c r="E69" s="156" t="s">
        <v>438</v>
      </c>
      <c r="F69" s="152">
        <v>4</v>
      </c>
      <c r="G69" s="152">
        <v>16</v>
      </c>
      <c r="H69" s="152">
        <v>0</v>
      </c>
      <c r="I69" s="152">
        <v>550</v>
      </c>
      <c r="J69" s="152">
        <f t="shared" si="8"/>
        <v>16</v>
      </c>
      <c r="K69" s="154" t="s">
        <v>439</v>
      </c>
      <c r="L69" s="154"/>
      <c r="M69" s="154"/>
      <c r="N69" s="154"/>
      <c r="O69" s="154"/>
      <c r="P69" s="154"/>
      <c r="Q69" s="154"/>
      <c r="R69" s="154"/>
      <c r="S69" s="154"/>
      <c r="T69" s="152"/>
      <c r="U69" s="152"/>
      <c r="V69" s="152"/>
      <c r="W69" s="156"/>
      <c r="X69" s="156"/>
      <c r="Y69" s="156"/>
      <c r="Z69" s="152"/>
      <c r="AA69" s="152"/>
      <c r="AB69" s="152"/>
      <c r="AC69" s="152"/>
      <c r="AD69" s="152"/>
      <c r="AE69" s="152"/>
      <c r="AF69" s="152"/>
      <c r="AG69" s="152"/>
      <c r="AH69" s="152" t="s">
        <v>346</v>
      </c>
      <c r="AI69" s="152" t="s">
        <v>347</v>
      </c>
      <c r="AJ69" s="152"/>
      <c r="AK69" s="156"/>
      <c r="AL69" s="156"/>
      <c r="AM69" s="156">
        <f t="shared" si="9"/>
        <v>16.384</v>
      </c>
      <c r="AN69" s="156">
        <f t="shared" si="9"/>
        <v>0</v>
      </c>
      <c r="AO69" s="156">
        <f>IF(ISBLANK($A69),,ROUNDDOWN(I69*AQ6*1.024,))</f>
        <v>506</v>
      </c>
      <c r="AP69" s="156">
        <f>IF(ISBLANK($A69),,ROUNDDOWN(L69*AQ6*1.024,))</f>
        <v>0</v>
      </c>
      <c r="AQ69" s="156">
        <f>IF(ISBLANK($A69),,ROUNDDOWN(N69*AQ6*1.024,))</f>
        <v>0</v>
      </c>
      <c r="AR69" s="156">
        <f>IF(ISBLANK($A69),,ROUNDDOWN(P69*AQ6*1.024,))</f>
        <v>0</v>
      </c>
      <c r="AS69" s="156">
        <f>IF(ISBLANK($A69),,ROUNDDOWN(R69*AQ6*1.024,))</f>
        <v>0</v>
      </c>
      <c r="AT69" s="156">
        <f t="shared" si="10"/>
        <v>0</v>
      </c>
      <c r="AU69" s="156">
        <f>IF(ISBLANK($A69),,ROUNDDOWN(V69*AQ6*1.024,))</f>
        <v>0</v>
      </c>
      <c r="AV69" s="156">
        <f>IF(ISBLANK($A69),,ROUNDDOWN(X69*AQ6*1.024,))</f>
        <v>0</v>
      </c>
    </row>
    <row r="70" spans="1:48">
      <c r="A70" s="156" t="s">
        <v>440</v>
      </c>
      <c r="B70" s="156"/>
      <c r="C70" s="156" t="s">
        <v>426</v>
      </c>
      <c r="D70" s="156" t="s">
        <v>427</v>
      </c>
      <c r="E70" s="156" t="s">
        <v>441</v>
      </c>
      <c r="F70" s="152">
        <v>2</v>
      </c>
      <c r="G70" s="152">
        <v>4</v>
      </c>
      <c r="H70" s="152">
        <v>4</v>
      </c>
      <c r="I70" s="152">
        <v>40</v>
      </c>
      <c r="J70" s="152">
        <f t="shared" si="8"/>
        <v>0</v>
      </c>
      <c r="K70" s="154" t="s">
        <v>434</v>
      </c>
      <c r="L70" s="154"/>
      <c r="M70" s="154"/>
      <c r="N70" s="154"/>
      <c r="O70" s="154"/>
      <c r="P70" s="154"/>
      <c r="Q70" s="154"/>
      <c r="R70" s="154">
        <v>50</v>
      </c>
      <c r="S70" s="154" t="s">
        <v>442</v>
      </c>
      <c r="T70" s="152"/>
      <c r="U70" s="152"/>
      <c r="V70" s="152"/>
      <c r="W70" s="156"/>
      <c r="X70" s="156"/>
      <c r="Y70" s="156"/>
      <c r="Z70" s="152"/>
      <c r="AA70" s="152"/>
      <c r="AB70" s="152"/>
      <c r="AC70" s="152"/>
      <c r="AD70" s="152"/>
      <c r="AE70" s="152"/>
      <c r="AF70" s="152"/>
      <c r="AG70" s="152"/>
      <c r="AH70" s="152" t="s">
        <v>328</v>
      </c>
      <c r="AI70" s="152" t="s">
        <v>329</v>
      </c>
      <c r="AJ70" s="152"/>
      <c r="AK70" s="156"/>
      <c r="AL70" s="156"/>
      <c r="AM70" s="156">
        <f>IF(ISBLANK($A70),,G70*1.024)</f>
        <v>4.0960000000000001</v>
      </c>
      <c r="AN70" s="156">
        <f>IF(ISBLANK($A70),,H70*1.024)</f>
        <v>4.0960000000000001</v>
      </c>
      <c r="AO70" s="156">
        <f>IF(ISBLANK($A70),,ROUNDDOWN(I70*AQ6*1.024,))</f>
        <v>36</v>
      </c>
      <c r="AP70" s="156">
        <f>IF(ISBLANK($A70),,ROUNDDOWN(L70*AQ6*1.024,))</f>
        <v>0</v>
      </c>
      <c r="AQ70" s="156">
        <f>IF(ISBLANK($A70),,ROUNDDOWN(N70*AQ6*1.024,))</f>
        <v>0</v>
      </c>
      <c r="AR70" s="156">
        <f>IF(ISBLANK($A70),,ROUNDDOWN(P70*AQ6*1.024,))</f>
        <v>0</v>
      </c>
      <c r="AS70" s="156">
        <f>IF(ISBLANK($A70),,ROUNDDOWN(R70*AQ6*1.024,))</f>
        <v>46</v>
      </c>
      <c r="AT70" s="156">
        <f t="shared" si="10"/>
        <v>0</v>
      </c>
      <c r="AU70" s="156">
        <f>IF(ISBLANK($A70),,ROUNDDOWN(V70*AQ6*1.024,))</f>
        <v>0</v>
      </c>
      <c r="AV70" s="156">
        <f>IF(ISBLANK($A70),,ROUNDDOWN(X70*AQ6*1.024,))</f>
        <v>0</v>
      </c>
    </row>
    <row r="71" spans="1:48">
      <c r="A71" s="156" t="s">
        <v>443</v>
      </c>
      <c r="B71" s="156"/>
      <c r="C71" s="156" t="s">
        <v>444</v>
      </c>
      <c r="D71" s="156" t="s">
        <v>427</v>
      </c>
      <c r="E71" s="156" t="s">
        <v>45</v>
      </c>
      <c r="F71" s="152">
        <v>6</v>
      </c>
      <c r="G71" s="152">
        <v>20</v>
      </c>
      <c r="H71" s="152">
        <v>0</v>
      </c>
      <c r="I71" s="152">
        <v>80</v>
      </c>
      <c r="J71" s="154">
        <f>G71-H71</f>
        <v>20</v>
      </c>
      <c r="K71" s="154" t="s">
        <v>445</v>
      </c>
      <c r="L71" s="154"/>
      <c r="M71" s="154"/>
      <c r="N71" s="154"/>
      <c r="O71" s="154"/>
      <c r="P71" s="154"/>
      <c r="Q71" s="154"/>
      <c r="R71" s="154"/>
      <c r="S71" s="154"/>
      <c r="T71" s="152"/>
      <c r="U71" s="152"/>
      <c r="V71" s="152"/>
      <c r="W71" s="156"/>
      <c r="X71" s="156"/>
      <c r="Y71" s="156"/>
      <c r="Z71" s="152"/>
      <c r="AA71" s="152"/>
      <c r="AB71" s="152"/>
      <c r="AC71" s="152"/>
      <c r="AD71" s="152"/>
      <c r="AE71" s="152"/>
      <c r="AF71" s="152"/>
      <c r="AG71" s="152"/>
      <c r="AH71" s="152" t="s">
        <v>328</v>
      </c>
      <c r="AI71" s="152" t="s">
        <v>329</v>
      </c>
      <c r="AJ71" s="152"/>
      <c r="AK71" s="156"/>
      <c r="AL71" s="156"/>
      <c r="AM71" s="156">
        <f t="shared" si="9"/>
        <v>20.48</v>
      </c>
      <c r="AN71" s="156">
        <f t="shared" si="9"/>
        <v>0</v>
      </c>
      <c r="AO71" s="156">
        <f>IF(ISBLANK($A71),,ROUNDDOWN(I71*AQ6*1.024,))</f>
        <v>73</v>
      </c>
      <c r="AP71" s="156">
        <f>IF(ISBLANK($A71),,ROUNDDOWN(L71*AQ6*1.024,))</f>
        <v>0</v>
      </c>
      <c r="AQ71" s="156">
        <f>IF(ISBLANK($A71),,ROUNDDOWN(N71*AQ6*1.024,))</f>
        <v>0</v>
      </c>
      <c r="AR71" s="156">
        <f>IF(ISBLANK($A71),,ROUNDDOWN(P71*AQ6*1.024,))</f>
        <v>0</v>
      </c>
      <c r="AS71" s="156">
        <f>IF(ISBLANK($A71),,ROUNDDOWN(R71*AQ6*1.024,))</f>
        <v>0</v>
      </c>
      <c r="AT71" s="156">
        <f t="shared" si="10"/>
        <v>0</v>
      </c>
      <c r="AU71" s="156">
        <f>IF(ISBLANK($A71),,ROUNDDOWN(V71*AQ6*1.024,))</f>
        <v>0</v>
      </c>
      <c r="AV71" s="156">
        <f>IF(ISBLANK($A71),,ROUNDDOWN(X71*AQ6*1.024,))</f>
        <v>0</v>
      </c>
    </row>
    <row r="72" spans="1:48" s="13" customFormat="1">
      <c r="A72" s="13" t="s">
        <v>446</v>
      </c>
      <c r="C72" s="13" t="s">
        <v>444</v>
      </c>
      <c r="D72" s="13" t="s">
        <v>427</v>
      </c>
      <c r="E72" s="13" t="s">
        <v>45</v>
      </c>
      <c r="F72" s="8">
        <v>6</v>
      </c>
      <c r="G72" s="8">
        <v>20</v>
      </c>
      <c r="H72" s="8">
        <v>0</v>
      </c>
      <c r="I72" s="8">
        <v>80</v>
      </c>
      <c r="J72" s="36">
        <f>G72-H72</f>
        <v>20</v>
      </c>
      <c r="K72" s="36" t="s">
        <v>445</v>
      </c>
      <c r="L72" s="36"/>
      <c r="M72" s="36"/>
      <c r="N72" s="36"/>
      <c r="O72" s="36"/>
      <c r="P72" s="36"/>
      <c r="Q72" s="36"/>
      <c r="R72" s="36"/>
      <c r="S72" s="36"/>
      <c r="T72" s="8"/>
      <c r="U72" s="8"/>
      <c r="V72" s="8"/>
      <c r="Z72" s="8"/>
      <c r="AA72" s="8"/>
      <c r="AB72" s="8"/>
      <c r="AC72" s="8"/>
      <c r="AD72" s="8"/>
      <c r="AE72" s="8"/>
      <c r="AF72" s="8"/>
      <c r="AG72" s="8"/>
      <c r="AH72" s="8" t="s">
        <v>328</v>
      </c>
      <c r="AI72" s="8" t="s">
        <v>329</v>
      </c>
      <c r="AJ72" s="8"/>
      <c r="AM72" s="13">
        <f t="shared" si="9"/>
        <v>20.48</v>
      </c>
      <c r="AN72" s="13">
        <f t="shared" si="9"/>
        <v>0</v>
      </c>
      <c r="AO72" s="13">
        <f>IF(ISBLANK($A72),,ROUNDDOWN(I72*AQ6*1.024,))</f>
        <v>73</v>
      </c>
      <c r="AP72" s="13">
        <f>IF(ISBLANK($A72),,ROUNDDOWN(L72*AQ6*1.024,))</f>
        <v>0</v>
      </c>
      <c r="AQ72" s="13">
        <f>IF(ISBLANK($A72),,ROUNDDOWN(N72*AQ6*1.024,))</f>
        <v>0</v>
      </c>
      <c r="AR72" s="13">
        <f>IF(ISBLANK($A72),,ROUNDDOWN(P72*AQ6*1.024,))</f>
        <v>0</v>
      </c>
      <c r="AS72" s="13">
        <f>IF(ISBLANK($A72),,ROUNDDOWN(R72*AQ6*1.024,))</f>
        <v>0</v>
      </c>
      <c r="AT72" s="13">
        <f t="shared" si="10"/>
        <v>0</v>
      </c>
      <c r="AU72" s="13">
        <f>IF(ISBLANK($A72),,ROUNDDOWN(V72*AQ6*1.024,))</f>
        <v>0</v>
      </c>
      <c r="AV72" s="13">
        <f>IF(ISBLANK($A72),,ROUNDDOWN(X72*AQ6*1.024,))</f>
        <v>0</v>
      </c>
    </row>
    <row r="73" spans="1:48">
      <c r="A73" s="156"/>
      <c r="B73" s="156"/>
      <c r="C73" s="156"/>
      <c r="D73" s="156"/>
      <c r="E73" s="156"/>
      <c r="F73" s="152">
        <f>F61+SUM(F65:F72)</f>
        <v>281</v>
      </c>
      <c r="G73" s="161">
        <f>G61+SUM(G65:G72)</f>
        <v>687</v>
      </c>
      <c r="H73" s="161">
        <f>H61+SUM(H65:H72)</f>
        <v>246.75</v>
      </c>
      <c r="I73" s="161">
        <f>I61+SUM(I65:I72)</f>
        <v>7216</v>
      </c>
      <c r="J73" s="152"/>
      <c r="K73" s="152"/>
      <c r="L73" s="161">
        <f>L61+SUM(L65:L72)</f>
        <v>66</v>
      </c>
      <c r="M73" s="152"/>
      <c r="N73" s="161">
        <f>N61+SUM(N65:N72)</f>
        <v>2262</v>
      </c>
      <c r="O73" s="152"/>
      <c r="P73" s="161">
        <f>P61+SUM(P65:P72)</f>
        <v>2250</v>
      </c>
      <c r="Q73" s="152"/>
      <c r="R73" s="161">
        <f>R61+SUM(R65:R72)</f>
        <v>410</v>
      </c>
      <c r="S73" s="152"/>
      <c r="T73" s="161">
        <f>T61+SUM(T65:T72)</f>
        <v>300</v>
      </c>
      <c r="U73" s="152"/>
      <c r="V73" s="161">
        <f>V61+SUM(V65:V72)</f>
        <v>0</v>
      </c>
      <c r="W73" s="152"/>
      <c r="X73" s="161">
        <f>X61+SUM(X65:X72)</f>
        <v>6855</v>
      </c>
      <c r="Y73" s="152"/>
      <c r="Z73" s="161">
        <f>Z61+SUM(Z65:Z72)</f>
        <v>100</v>
      </c>
      <c r="AA73" s="152"/>
      <c r="AB73" s="161">
        <f>AB61+SUM(AB65:AB72)</f>
        <v>50</v>
      </c>
      <c r="AC73" s="152"/>
      <c r="AD73" s="161">
        <f>AD61+SUM(AD65:AD72)</f>
        <v>0</v>
      </c>
      <c r="AE73" s="152"/>
      <c r="AF73" s="161">
        <f>AF61+SUM(AF65:AF72)</f>
        <v>2500</v>
      </c>
      <c r="AG73" s="152"/>
      <c r="AH73" s="152"/>
      <c r="AI73" s="152" t="s">
        <v>657</v>
      </c>
      <c r="AJ73" s="152">
        <v>3</v>
      </c>
      <c r="AK73" s="156"/>
      <c r="AL73" s="156"/>
      <c r="AM73" s="156"/>
      <c r="AN73" s="156"/>
      <c r="AO73" s="156"/>
      <c r="AP73" s="156"/>
      <c r="AQ73" s="156"/>
      <c r="AR73" s="156"/>
      <c r="AS73" s="156"/>
      <c r="AT73" s="156"/>
      <c r="AU73" s="156"/>
      <c r="AV73" s="156"/>
    </row>
    <row r="83" spans="1:2">
      <c r="A83" s="156"/>
      <c r="B83" s="4" t="s">
        <v>472</v>
      </c>
    </row>
    <row r="84" spans="1:2">
      <c r="A84" s="20" t="s">
        <v>479</v>
      </c>
      <c r="B84" s="156">
        <v>1500</v>
      </c>
    </row>
    <row r="85" spans="1:2">
      <c r="A85" s="20" t="s">
        <v>501</v>
      </c>
      <c r="B85" s="156">
        <v>2062</v>
      </c>
    </row>
  </sheetData>
  <mergeCells count="5">
    <mergeCell ref="A1:E1"/>
    <mergeCell ref="A3:B3"/>
    <mergeCell ref="F3:G3"/>
    <mergeCell ref="A4:B4"/>
    <mergeCell ref="A5:B5"/>
  </mergeCells>
  <dataValidations disablePrompts="1" count="1">
    <dataValidation type="list" allowBlank="1" showInputMessage="1" showErrorMessage="1" sqref="N10" xr:uid="{ACA05770-D4BC-42B6-B293-DC4DE61CC34E}">
      <formula1>$B$84:$B$85</formula1>
    </dataValidation>
  </dataValidations>
  <hyperlinks>
    <hyperlink ref="F3:G3" location="Shortcuts!A1" display="Back to shortcuts" xr:uid="{B6B1DFE6-3A49-42FF-9914-9D60B4B9EC2A}"/>
  </hyperlink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23D23-4620-4BF2-B9FF-B0A57556111B}">
  <dimension ref="A1:BL83"/>
  <sheetViews>
    <sheetView tabSelected="1" topLeftCell="C1" zoomScale="85" zoomScaleNormal="85" zoomScalePageLayoutView="70" workbookViewId="0">
      <selection activeCell="Q11" sqref="Q11"/>
    </sheetView>
  </sheetViews>
  <sheetFormatPr defaultColWidth="8.5703125" defaultRowHeight="12.75"/>
  <cols>
    <col min="1" max="1" width="11.5703125" style="3" customWidth="1"/>
    <col min="2" max="2" width="14.85546875" style="3" customWidth="1"/>
    <col min="3" max="3" width="23.140625" style="3" customWidth="1"/>
    <col min="4" max="4" width="55.42578125" style="3" customWidth="1"/>
    <col min="5" max="5" width="13.5703125" style="3" customWidth="1"/>
    <col min="6" max="7" width="8.5703125" style="3"/>
    <col min="8" max="9" width="8.42578125" style="3" customWidth="1"/>
    <col min="10" max="10" width="6.140625" style="3" customWidth="1"/>
    <col min="11" max="11" width="15.42578125" style="3" customWidth="1"/>
    <col min="12" max="12" width="8.42578125" style="3" customWidth="1"/>
    <col min="13" max="13" width="8.5703125" style="3"/>
    <col min="14" max="14" width="6.140625" style="3" customWidth="1"/>
    <col min="15" max="15" width="15.42578125" style="3" customWidth="1"/>
    <col min="16" max="16" width="6.5703125" style="3" customWidth="1"/>
    <col min="17" max="17" width="8.5703125" style="3"/>
    <col min="18" max="18" width="6.140625" style="3" customWidth="1"/>
    <col min="19" max="19" width="15.42578125" style="3" customWidth="1"/>
    <col min="20" max="20" width="6.5703125" style="3" customWidth="1"/>
    <col min="21" max="21" width="8.5703125" style="3"/>
    <col min="22" max="22" width="6.140625" style="3" customWidth="1"/>
    <col min="23" max="23" width="11.42578125" style="3" customWidth="1"/>
    <col min="24" max="24" width="6.5703125" style="3" customWidth="1"/>
    <col min="25" max="25" width="8.5703125" style="3"/>
    <col min="26" max="26" width="6.140625" style="3" customWidth="1"/>
    <col min="27" max="27" width="15.42578125" style="3" customWidth="1"/>
    <col min="28" max="28" width="6.5703125" style="3" customWidth="1"/>
    <col min="29" max="29" width="8.5703125" style="3"/>
    <col min="30" max="30" width="6.140625" style="3" customWidth="1"/>
    <col min="31" max="31" width="15.42578125" style="3" customWidth="1"/>
    <col min="32" max="32" width="6.5703125" style="3" customWidth="1"/>
    <col min="33" max="33" width="9.42578125" style="3" customWidth="1"/>
    <col min="34" max="34" width="6.140625" style="3" customWidth="1"/>
    <col min="35" max="35" width="11.42578125" style="3" customWidth="1"/>
    <col min="36" max="36" width="6.140625" style="3" customWidth="1"/>
    <col min="37" max="37" width="7.42578125" style="3" customWidth="1"/>
    <col min="38" max="38" width="6.140625" style="3" customWidth="1"/>
    <col min="39" max="39" width="15.42578125" style="3" customWidth="1"/>
    <col min="40" max="40" width="6.5703125" style="3" customWidth="1"/>
    <col min="41" max="41" width="11.5703125" style="3" customWidth="1"/>
    <col min="42" max="46" width="6.5703125" style="3" customWidth="1"/>
    <col min="47" max="47" width="10.140625" style="3" bestFit="1" customWidth="1"/>
    <col min="48" max="48" width="6.5703125" style="3" customWidth="1"/>
    <col min="49" max="49" width="9.85546875" style="3" customWidth="1"/>
    <col min="50" max="52" width="6.5703125" style="3" customWidth="1"/>
    <col min="53" max="53" width="9.5703125" style="3" customWidth="1"/>
    <col min="54" max="54" width="12.42578125" style="3" customWidth="1"/>
    <col min="55" max="57" width="13.42578125" style="3" customWidth="1"/>
    <col min="58" max="58" width="18.42578125" style="3" customWidth="1"/>
    <col min="59" max="59" width="17.42578125" style="3" customWidth="1"/>
    <col min="60" max="60" width="18.5703125" style="3" customWidth="1"/>
    <col min="61" max="62" width="13.42578125" style="3" customWidth="1"/>
    <col min="63" max="63" width="22.5703125" style="3" customWidth="1"/>
    <col min="64" max="64" width="17.5703125" style="3" customWidth="1"/>
    <col min="65" max="74" width="8.5703125" style="3"/>
    <col min="75" max="75" width="10.42578125" style="3" customWidth="1"/>
    <col min="76" max="16384" width="8.5703125" style="3"/>
  </cols>
  <sheetData>
    <row r="1" spans="1:64">
      <c r="A1" s="215" t="s">
        <v>4</v>
      </c>
      <c r="B1" s="215"/>
      <c r="C1" s="215"/>
      <c r="D1" s="215"/>
      <c r="E1" s="156"/>
      <c r="F1" s="155" t="s">
        <v>710</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c r="BI1" s="156"/>
      <c r="BJ1" s="156"/>
      <c r="BK1" s="156"/>
      <c r="BL1" s="156"/>
    </row>
    <row r="3" spans="1:64" ht="15">
      <c r="A3" s="225" t="s">
        <v>632</v>
      </c>
      <c r="B3" s="225"/>
      <c r="C3" s="156"/>
      <c r="D3" s="156"/>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c r="AW3" s="156"/>
      <c r="AX3" s="156"/>
      <c r="AY3" s="156"/>
      <c r="AZ3" s="156"/>
      <c r="BA3" s="156"/>
      <c r="BB3" s="156"/>
      <c r="BC3" s="156"/>
      <c r="BD3" s="156"/>
      <c r="BE3" s="156"/>
      <c r="BF3" s="156"/>
      <c r="BG3" s="156"/>
      <c r="BH3" s="156"/>
      <c r="BI3" s="156"/>
      <c r="BJ3" s="156"/>
      <c r="BK3" s="156"/>
      <c r="BL3" s="156"/>
    </row>
    <row r="4" spans="1:64">
      <c r="A4" s="225" t="s">
        <v>303</v>
      </c>
      <c r="B4" s="225"/>
      <c r="C4" s="2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c r="BI4" s="156"/>
      <c r="BJ4" s="156"/>
      <c r="BK4" s="156"/>
      <c r="BL4" s="156"/>
    </row>
    <row r="5" spans="1:64">
      <c r="A5" s="225" t="s">
        <v>305</v>
      </c>
      <c r="B5" s="225"/>
      <c r="C5" s="156"/>
      <c r="D5" s="35" t="s">
        <v>307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c r="AW5" s="156"/>
      <c r="AX5" s="156"/>
      <c r="AY5" s="156"/>
      <c r="AZ5" s="156"/>
      <c r="BA5" s="156"/>
      <c r="BB5" s="156"/>
      <c r="BC5" s="156"/>
      <c r="BD5" s="156"/>
      <c r="BE5" s="156"/>
      <c r="BF5" s="156"/>
      <c r="BG5" s="156"/>
      <c r="BH5" s="156"/>
      <c r="BI5" s="156"/>
      <c r="BJ5" s="156"/>
      <c r="BK5" s="156"/>
      <c r="BL5" s="156"/>
    </row>
    <row r="6" spans="1:64">
      <c r="A6" s="156"/>
      <c r="B6" s="156"/>
      <c r="C6" s="156"/>
      <c r="D6" s="156" t="s">
        <v>558</v>
      </c>
      <c r="E6" s="156"/>
      <c r="F6" s="156"/>
      <c r="G6" s="156"/>
      <c r="H6" s="156">
        <f>130*1.024</f>
        <v>133.12</v>
      </c>
      <c r="I6" s="156">
        <v>130</v>
      </c>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156"/>
      <c r="AN6" s="156"/>
      <c r="AO6" s="156"/>
      <c r="AP6" s="156"/>
      <c r="AQ6" s="156"/>
      <c r="AR6" s="156"/>
      <c r="AS6" s="156"/>
      <c r="AT6" s="156"/>
      <c r="AU6" s="156"/>
      <c r="AV6" s="156"/>
      <c r="AW6" s="156"/>
      <c r="AX6" s="156"/>
      <c r="AY6" s="156"/>
      <c r="AZ6" s="156"/>
      <c r="BA6" s="156"/>
      <c r="BB6" s="156"/>
      <c r="BC6" s="156"/>
      <c r="BD6" s="156"/>
      <c r="BE6" s="156"/>
      <c r="BF6" s="156"/>
      <c r="BG6" s="156"/>
      <c r="BH6" s="156"/>
      <c r="BI6" s="156"/>
      <c r="BJ6" s="156"/>
      <c r="BK6" s="156"/>
      <c r="BL6" s="156"/>
    </row>
    <row r="7" spans="1:64" ht="63.75">
      <c r="A7" s="5" t="s">
        <v>161</v>
      </c>
      <c r="B7" s="5" t="s">
        <v>310</v>
      </c>
      <c r="C7" s="5" t="s">
        <v>312</v>
      </c>
      <c r="D7" s="5" t="s">
        <v>313</v>
      </c>
      <c r="E7" s="4" t="s">
        <v>559</v>
      </c>
      <c r="F7" s="4" t="s">
        <v>103</v>
      </c>
      <c r="G7" s="4" t="s">
        <v>109</v>
      </c>
      <c r="H7" s="4" t="s">
        <v>560</v>
      </c>
      <c r="I7" s="4" t="s">
        <v>315</v>
      </c>
      <c r="J7" s="4" t="s">
        <v>561</v>
      </c>
      <c r="K7" s="4" t="s">
        <v>562</v>
      </c>
      <c r="L7" s="4" t="s">
        <v>563</v>
      </c>
      <c r="M7" s="4" t="s">
        <v>118</v>
      </c>
      <c r="N7" s="4" t="s">
        <v>561</v>
      </c>
      <c r="O7" s="4" t="s">
        <v>562</v>
      </c>
      <c r="P7" s="4" t="s">
        <v>563</v>
      </c>
      <c r="Q7" s="4" t="s">
        <v>20</v>
      </c>
      <c r="R7" s="4" t="s">
        <v>561</v>
      </c>
      <c r="S7" s="4" t="s">
        <v>562</v>
      </c>
      <c r="T7" s="4" t="s">
        <v>563</v>
      </c>
      <c r="U7" s="4" t="s">
        <v>122</v>
      </c>
      <c r="V7" s="4" t="s">
        <v>561</v>
      </c>
      <c r="W7" s="4" t="s">
        <v>562</v>
      </c>
      <c r="X7" s="4" t="s">
        <v>563</v>
      </c>
      <c r="Y7" s="4" t="s">
        <v>130</v>
      </c>
      <c r="Z7" s="4" t="s">
        <v>561</v>
      </c>
      <c r="AA7" s="4" t="s">
        <v>562</v>
      </c>
      <c r="AB7" s="4" t="s">
        <v>563</v>
      </c>
      <c r="AC7" s="4" t="s">
        <v>137</v>
      </c>
      <c r="AD7" s="4" t="s">
        <v>561</v>
      </c>
      <c r="AE7" s="4" t="s">
        <v>562</v>
      </c>
      <c r="AF7" s="4" t="s">
        <v>563</v>
      </c>
      <c r="AG7" s="4" t="s">
        <v>126</v>
      </c>
      <c r="AH7" s="4" t="s">
        <v>561</v>
      </c>
      <c r="AI7" s="4" t="s">
        <v>562</v>
      </c>
      <c r="AJ7" s="4" t="s">
        <v>563</v>
      </c>
      <c r="AK7" s="4" t="s">
        <v>481</v>
      </c>
      <c r="AL7" s="4" t="s">
        <v>561</v>
      </c>
      <c r="AM7" s="4" t="s">
        <v>562</v>
      </c>
      <c r="AN7" s="4" t="s">
        <v>563</v>
      </c>
      <c r="AO7" s="95" t="s">
        <v>564</v>
      </c>
      <c r="AP7" s="4" t="s">
        <v>561</v>
      </c>
      <c r="AQ7" s="4" t="s">
        <v>562</v>
      </c>
      <c r="AR7" s="4" t="s">
        <v>563</v>
      </c>
      <c r="AS7" s="95" t="s">
        <v>140</v>
      </c>
      <c r="AT7" s="4" t="s">
        <v>561</v>
      </c>
      <c r="AU7" s="4" t="s">
        <v>562</v>
      </c>
      <c r="AV7" s="4" t="s">
        <v>563</v>
      </c>
      <c r="AW7" s="95" t="s">
        <v>565</v>
      </c>
      <c r="AX7" s="4" t="s">
        <v>561</v>
      </c>
      <c r="AY7" s="4" t="s">
        <v>562</v>
      </c>
      <c r="AZ7" s="4" t="s">
        <v>563</v>
      </c>
      <c r="BA7" s="4" t="s">
        <v>136</v>
      </c>
      <c r="BB7" s="4" t="s">
        <v>323</v>
      </c>
      <c r="BC7" s="4" t="s">
        <v>324</v>
      </c>
      <c r="BD7" s="4" t="s">
        <v>566</v>
      </c>
      <c r="BE7" s="4" t="s">
        <v>567</v>
      </c>
      <c r="BF7" s="4" t="s">
        <v>568</v>
      </c>
      <c r="BG7" s="4" t="s">
        <v>569</v>
      </c>
      <c r="BH7" s="95" t="s">
        <v>570</v>
      </c>
      <c r="BI7" s="4" t="s">
        <v>571</v>
      </c>
      <c r="BJ7" s="4" t="s">
        <v>572</v>
      </c>
      <c r="BK7" s="4" t="s">
        <v>573</v>
      </c>
      <c r="BL7" s="4" t="s">
        <v>574</v>
      </c>
    </row>
    <row r="8" spans="1:64">
      <c r="A8" s="11" t="s">
        <v>575</v>
      </c>
      <c r="B8" s="152"/>
      <c r="C8" s="156" t="s">
        <v>326</v>
      </c>
      <c r="D8" s="156" t="s">
        <v>576</v>
      </c>
      <c r="E8" s="152" t="s">
        <v>577</v>
      </c>
      <c r="F8" s="152">
        <v>4</v>
      </c>
      <c r="G8" s="152">
        <v>8</v>
      </c>
      <c r="H8" s="78">
        <v>20</v>
      </c>
      <c r="I8" s="31">
        <v>0</v>
      </c>
      <c r="J8" s="152" t="s">
        <v>578</v>
      </c>
      <c r="K8" s="156" t="s">
        <v>579</v>
      </c>
      <c r="L8" s="152">
        <v>4.7</v>
      </c>
      <c r="M8" s="152"/>
      <c r="N8" s="152"/>
      <c r="O8" s="152"/>
      <c r="P8" s="152"/>
      <c r="Q8" s="152"/>
      <c r="R8" s="152"/>
      <c r="S8" s="152"/>
      <c r="T8" s="152"/>
      <c r="U8" s="152"/>
      <c r="V8" s="152"/>
      <c r="W8" s="152"/>
      <c r="X8" s="152"/>
      <c r="Y8" s="152"/>
      <c r="Z8" s="152"/>
      <c r="AA8" s="152"/>
      <c r="AB8" s="152"/>
      <c r="AC8" s="152"/>
      <c r="AD8" s="152"/>
      <c r="AE8" s="152"/>
      <c r="AF8" s="152"/>
      <c r="AG8" s="78">
        <v>0</v>
      </c>
      <c r="AH8" s="152" t="s">
        <v>575</v>
      </c>
      <c r="AI8" s="152" t="s">
        <v>575</v>
      </c>
      <c r="AJ8" s="152" t="s">
        <v>575</v>
      </c>
      <c r="AK8" s="152"/>
      <c r="AL8" s="152"/>
      <c r="AM8" s="152"/>
      <c r="AN8" s="152"/>
      <c r="AO8" s="152"/>
      <c r="AP8" s="152"/>
      <c r="AQ8" s="152"/>
      <c r="AR8" s="152"/>
      <c r="AS8" s="152"/>
      <c r="AT8" s="152"/>
      <c r="AU8" s="152"/>
      <c r="AV8" s="152"/>
      <c r="AW8" s="152"/>
      <c r="AX8" s="152"/>
      <c r="AY8" s="152"/>
      <c r="AZ8" s="152"/>
      <c r="BA8" s="152">
        <v>1</v>
      </c>
      <c r="BB8" s="152" t="s">
        <v>329</v>
      </c>
      <c r="BC8" s="156"/>
      <c r="BD8" s="152" t="s">
        <v>329</v>
      </c>
      <c r="BE8" s="152">
        <v>2</v>
      </c>
      <c r="BF8" s="152" t="s">
        <v>329</v>
      </c>
      <c r="BG8" s="152"/>
      <c r="BH8" s="156"/>
      <c r="BI8" s="156"/>
      <c r="BJ8" s="156"/>
      <c r="BK8" s="156"/>
      <c r="BL8" s="156"/>
    </row>
    <row r="9" spans="1:64">
      <c r="A9" s="11" t="s">
        <v>325</v>
      </c>
      <c r="B9" s="156"/>
      <c r="C9" s="156" t="s">
        <v>326</v>
      </c>
      <c r="D9" s="11" t="s">
        <v>8</v>
      </c>
      <c r="E9" s="152" t="s">
        <v>580</v>
      </c>
      <c r="F9" s="152">
        <v>4</v>
      </c>
      <c r="G9" s="152">
        <v>4</v>
      </c>
      <c r="H9" s="78">
        <v>350</v>
      </c>
      <c r="I9" s="31">
        <v>4096</v>
      </c>
      <c r="J9" s="152" t="s">
        <v>581</v>
      </c>
      <c r="K9" s="156" t="s">
        <v>579</v>
      </c>
      <c r="L9" s="152">
        <v>5.9</v>
      </c>
      <c r="M9" s="152"/>
      <c r="N9" s="152"/>
      <c r="O9" s="152"/>
      <c r="P9" s="152"/>
      <c r="Q9" s="152"/>
      <c r="R9" s="152"/>
      <c r="S9" s="152"/>
      <c r="T9" s="152"/>
      <c r="U9" s="152"/>
      <c r="V9" s="152"/>
      <c r="W9" s="152"/>
      <c r="X9" s="152"/>
      <c r="Y9" s="152"/>
      <c r="Z9" s="152"/>
      <c r="AA9" s="152"/>
      <c r="AB9" s="152"/>
      <c r="AC9" s="152"/>
      <c r="AD9" s="152"/>
      <c r="AE9" s="152"/>
      <c r="AF9" s="152"/>
      <c r="AG9" s="78">
        <f>2*H9</f>
        <v>700</v>
      </c>
      <c r="AH9" s="152" t="s">
        <v>581</v>
      </c>
      <c r="AI9" s="156" t="s">
        <v>579</v>
      </c>
      <c r="AJ9" s="152" t="s">
        <v>575</v>
      </c>
      <c r="AK9" s="152"/>
      <c r="AL9" s="152"/>
      <c r="AM9" s="152"/>
      <c r="AN9" s="152"/>
      <c r="AO9" s="152"/>
      <c r="AP9" s="152"/>
      <c r="AQ9" s="152"/>
      <c r="AR9" s="152"/>
      <c r="AS9" s="152"/>
      <c r="AT9" s="152"/>
      <c r="AU9" s="152"/>
      <c r="AV9" s="152"/>
      <c r="AW9" s="152"/>
      <c r="AX9" s="152"/>
      <c r="AY9" s="152"/>
      <c r="AZ9" s="152"/>
      <c r="BA9" s="152">
        <v>2</v>
      </c>
      <c r="BB9" s="152" t="s">
        <v>329</v>
      </c>
      <c r="BC9" s="156"/>
      <c r="BD9" s="156"/>
      <c r="BE9" s="152">
        <v>2</v>
      </c>
      <c r="BF9" s="152"/>
      <c r="BG9" s="152"/>
      <c r="BH9" s="152" t="s">
        <v>329</v>
      </c>
      <c r="BI9" s="156"/>
      <c r="BJ9" s="156"/>
      <c r="BK9" s="156"/>
      <c r="BL9" s="156"/>
    </row>
    <row r="10" spans="1:64">
      <c r="A10" s="156" t="s">
        <v>331</v>
      </c>
      <c r="B10" s="152" t="s">
        <v>332</v>
      </c>
      <c r="C10" s="156" t="s">
        <v>326</v>
      </c>
      <c r="D10" s="156" t="s">
        <v>16</v>
      </c>
      <c r="E10" s="152" t="s">
        <v>582</v>
      </c>
      <c r="F10" s="152">
        <v>4</v>
      </c>
      <c r="G10" s="152">
        <v>6</v>
      </c>
      <c r="H10" s="78">
        <v>40.96</v>
      </c>
      <c r="I10" s="31">
        <v>4096</v>
      </c>
      <c r="J10" s="152" t="s">
        <v>581</v>
      </c>
      <c r="K10" s="156" t="s">
        <v>579</v>
      </c>
      <c r="L10" s="152">
        <v>2.6</v>
      </c>
      <c r="M10" s="152"/>
      <c r="N10" s="152"/>
      <c r="O10" s="152"/>
      <c r="P10" s="152"/>
      <c r="Q10" s="152"/>
      <c r="R10" s="152"/>
      <c r="S10" s="152"/>
      <c r="T10" s="152"/>
      <c r="U10" s="152"/>
      <c r="V10" s="152"/>
      <c r="W10" s="152"/>
      <c r="X10" s="152"/>
      <c r="Y10" s="152"/>
      <c r="Z10" s="152"/>
      <c r="AA10" s="152"/>
      <c r="AB10" s="152"/>
      <c r="AC10" s="152"/>
      <c r="AD10" s="152"/>
      <c r="AE10" s="152"/>
      <c r="AF10" s="152"/>
      <c r="AG10" s="78">
        <f>2*H10</f>
        <v>81.92</v>
      </c>
      <c r="AH10" s="152" t="s">
        <v>581</v>
      </c>
      <c r="AI10" s="156" t="s">
        <v>579</v>
      </c>
      <c r="AJ10" s="152" t="s">
        <v>575</v>
      </c>
      <c r="AK10" s="152"/>
      <c r="AL10" s="152"/>
      <c r="AM10" s="152"/>
      <c r="AN10" s="152"/>
      <c r="AO10" s="152"/>
      <c r="AP10" s="152"/>
      <c r="AQ10" s="152"/>
      <c r="AR10" s="152"/>
      <c r="AS10" s="152"/>
      <c r="AT10" s="152"/>
      <c r="AU10" s="152"/>
      <c r="AV10" s="152"/>
      <c r="AW10" s="152"/>
      <c r="AX10" s="152"/>
      <c r="AY10" s="152"/>
      <c r="AZ10" s="152"/>
      <c r="BA10" s="152">
        <v>2</v>
      </c>
      <c r="BB10" s="152" t="s">
        <v>329</v>
      </c>
      <c r="BC10" s="152"/>
      <c r="BD10" s="152"/>
      <c r="BE10" s="152">
        <v>2</v>
      </c>
      <c r="BF10" s="152"/>
      <c r="BG10" s="152"/>
      <c r="BH10" s="152" t="s">
        <v>329</v>
      </c>
      <c r="BI10" s="152"/>
      <c r="BJ10" s="152"/>
      <c r="BK10" s="152"/>
      <c r="BL10" s="152"/>
    </row>
    <row r="11" spans="1:64">
      <c r="A11" s="156" t="s">
        <v>336</v>
      </c>
      <c r="B11" s="152"/>
      <c r="C11" s="156" t="s">
        <v>326</v>
      </c>
      <c r="D11" s="156" t="s">
        <v>20</v>
      </c>
      <c r="E11" s="152" t="s">
        <v>583</v>
      </c>
      <c r="F11" s="152">
        <v>11</v>
      </c>
      <c r="G11" s="152">
        <v>70</v>
      </c>
      <c r="H11" s="78">
        <v>87.04</v>
      </c>
      <c r="I11" s="31">
        <v>16384</v>
      </c>
      <c r="J11" s="152" t="s">
        <v>581</v>
      </c>
      <c r="K11" s="156" t="s">
        <v>579</v>
      </c>
      <c r="L11" s="152">
        <v>2.6</v>
      </c>
      <c r="M11" s="152">
        <v>60.83</v>
      </c>
      <c r="N11" s="152" t="s">
        <v>581</v>
      </c>
      <c r="O11" s="156" t="s">
        <v>584</v>
      </c>
      <c r="P11" s="152">
        <f>50/1000</f>
        <v>0.05</v>
      </c>
      <c r="Q11" s="19">
        <v>1382.4</v>
      </c>
      <c r="R11" s="152" t="s">
        <v>581</v>
      </c>
      <c r="S11" s="156" t="s">
        <v>584</v>
      </c>
      <c r="T11" s="152">
        <f>50/1000</f>
        <v>0.05</v>
      </c>
      <c r="U11" s="152">
        <v>2073.6</v>
      </c>
      <c r="V11" s="152" t="s">
        <v>581</v>
      </c>
      <c r="W11" s="156" t="s">
        <v>579</v>
      </c>
      <c r="X11" s="152">
        <f>50/1000</f>
        <v>0.05</v>
      </c>
      <c r="Y11" s="152"/>
      <c r="Z11" s="152"/>
      <c r="AA11" s="152"/>
      <c r="AB11" s="152"/>
      <c r="AC11" s="152"/>
      <c r="AD11" s="152"/>
      <c r="AE11" s="152"/>
      <c r="AF11" s="152"/>
      <c r="AG11" s="78">
        <f>2*H11+6013.44</f>
        <v>6187.5199999999995</v>
      </c>
      <c r="AH11" s="152" t="s">
        <v>581</v>
      </c>
      <c r="AI11" s="156" t="s">
        <v>579</v>
      </c>
      <c r="AJ11" s="152" t="s">
        <v>575</v>
      </c>
      <c r="AK11" s="152"/>
      <c r="AL11" s="152"/>
      <c r="AM11" s="152"/>
      <c r="AN11" s="152"/>
      <c r="AO11" s="152"/>
      <c r="AP11" s="152"/>
      <c r="AQ11" s="152"/>
      <c r="AR11" s="152"/>
      <c r="AS11" s="152"/>
      <c r="AT11" s="152"/>
      <c r="AU11" s="152"/>
      <c r="AV11" s="152"/>
      <c r="AW11" s="152">
        <v>2097.152</v>
      </c>
      <c r="AX11" s="152" t="s">
        <v>581</v>
      </c>
      <c r="AY11" s="156" t="s">
        <v>579</v>
      </c>
      <c r="AZ11" s="152">
        <f>50/1000</f>
        <v>0.05</v>
      </c>
      <c r="BA11" s="152">
        <v>6</v>
      </c>
      <c r="BB11" s="152" t="s">
        <v>329</v>
      </c>
      <c r="BC11" s="152"/>
      <c r="BD11" s="152"/>
      <c r="BE11" s="152">
        <v>2</v>
      </c>
      <c r="BF11" s="152"/>
      <c r="BG11" s="152"/>
      <c r="BH11" s="152" t="s">
        <v>329</v>
      </c>
      <c r="BI11" s="152"/>
      <c r="BJ11" s="152"/>
      <c r="BK11" s="152"/>
      <c r="BL11" s="152"/>
    </row>
    <row r="12" spans="1:64">
      <c r="A12" s="156" t="s">
        <v>342</v>
      </c>
      <c r="B12" s="152" t="s">
        <v>332</v>
      </c>
      <c r="C12" s="156" t="s">
        <v>326</v>
      </c>
      <c r="D12" s="156" t="s">
        <v>24</v>
      </c>
      <c r="E12" s="152" t="s">
        <v>585</v>
      </c>
      <c r="F12" s="152">
        <v>6</v>
      </c>
      <c r="G12" s="152">
        <v>7</v>
      </c>
      <c r="H12" s="78">
        <v>46.08</v>
      </c>
      <c r="I12" s="31">
        <v>4096</v>
      </c>
      <c r="J12" s="152" t="s">
        <v>581</v>
      </c>
      <c r="K12" s="156" t="s">
        <v>579</v>
      </c>
      <c r="L12" s="152">
        <v>2.6</v>
      </c>
      <c r="M12" s="152"/>
      <c r="N12" s="152"/>
      <c r="O12" s="152"/>
      <c r="P12" s="152"/>
      <c r="Q12" s="152"/>
      <c r="R12" s="152"/>
      <c r="S12" s="152"/>
      <c r="T12" s="152"/>
      <c r="U12" s="152"/>
      <c r="V12" s="152"/>
      <c r="W12" s="152"/>
      <c r="X12" s="152"/>
      <c r="Y12" s="78">
        <v>330.7</v>
      </c>
      <c r="Z12" s="152" t="s">
        <v>581</v>
      </c>
      <c r="AA12" s="156" t="s">
        <v>579</v>
      </c>
      <c r="AB12" s="152">
        <v>0.1</v>
      </c>
      <c r="AC12" s="152">
        <v>276.48</v>
      </c>
      <c r="AD12" s="152" t="s">
        <v>581</v>
      </c>
      <c r="AE12" s="156" t="s">
        <v>579</v>
      </c>
      <c r="AF12" s="152" t="s">
        <v>575</v>
      </c>
      <c r="AG12" s="78">
        <v>488.45</v>
      </c>
      <c r="AH12" s="152" t="s">
        <v>581</v>
      </c>
      <c r="AI12" s="156" t="s">
        <v>579</v>
      </c>
      <c r="AJ12" s="152" t="s">
        <v>575</v>
      </c>
      <c r="AK12" s="152"/>
      <c r="AL12" s="152"/>
      <c r="AM12" s="152"/>
      <c r="AN12" s="152"/>
      <c r="AO12" s="152"/>
      <c r="AP12" s="152"/>
      <c r="AQ12" s="152"/>
      <c r="AR12" s="152"/>
      <c r="AS12" s="152"/>
      <c r="AT12" s="152"/>
      <c r="AU12" s="152"/>
      <c r="AV12" s="152"/>
      <c r="AW12" s="152"/>
      <c r="AX12" s="152"/>
      <c r="AY12" s="152"/>
      <c r="AZ12" s="152"/>
      <c r="BA12" s="152">
        <v>4</v>
      </c>
      <c r="BB12" s="152" t="s">
        <v>329</v>
      </c>
      <c r="BC12" s="152"/>
      <c r="BD12" s="152"/>
      <c r="BE12" s="152">
        <v>2</v>
      </c>
      <c r="BF12" s="152"/>
      <c r="BG12" s="152"/>
      <c r="BH12" s="152" t="s">
        <v>329</v>
      </c>
      <c r="BI12" s="152"/>
      <c r="BJ12" s="152"/>
      <c r="BK12" s="152"/>
      <c r="BL12" s="152"/>
    </row>
    <row r="13" spans="1:64">
      <c r="A13" s="156" t="s">
        <v>345</v>
      </c>
      <c r="B13" s="152"/>
      <c r="C13" s="156" t="s">
        <v>326</v>
      </c>
      <c r="D13" s="156" t="s">
        <v>28</v>
      </c>
      <c r="E13" s="152" t="s">
        <v>586</v>
      </c>
      <c r="F13" s="152">
        <v>4</v>
      </c>
      <c r="G13" s="152">
        <v>4</v>
      </c>
      <c r="H13" s="78">
        <v>30.72</v>
      </c>
      <c r="I13" s="31">
        <v>4096</v>
      </c>
      <c r="J13" s="152" t="s">
        <v>581</v>
      </c>
      <c r="K13" s="156" t="s">
        <v>579</v>
      </c>
      <c r="L13" s="152">
        <v>2.6</v>
      </c>
      <c r="M13" s="78"/>
      <c r="N13" s="152"/>
      <c r="O13" s="152"/>
      <c r="P13" s="152"/>
      <c r="Q13" s="152"/>
      <c r="R13" s="152"/>
      <c r="S13" s="152"/>
      <c r="T13" s="152"/>
      <c r="U13" s="152"/>
      <c r="V13" s="152"/>
      <c r="W13" s="152"/>
      <c r="X13" s="152"/>
      <c r="Y13" s="152"/>
      <c r="Z13" s="152"/>
      <c r="AA13" s="152"/>
      <c r="AB13" s="152"/>
      <c r="AC13" s="152"/>
      <c r="AD13" s="152"/>
      <c r="AE13" s="152"/>
      <c r="AF13" s="152"/>
      <c r="AG13" s="78">
        <f t="shared" ref="AG13:AG37" si="0">2*H13</f>
        <v>61.44</v>
      </c>
      <c r="AH13" s="152" t="s">
        <v>581</v>
      </c>
      <c r="AI13" s="156" t="s">
        <v>579</v>
      </c>
      <c r="AJ13" s="152" t="s">
        <v>575</v>
      </c>
      <c r="AK13" s="152"/>
      <c r="AL13" s="152"/>
      <c r="AM13" s="152"/>
      <c r="AN13" s="152"/>
      <c r="AO13" s="152"/>
      <c r="AP13" s="152"/>
      <c r="AQ13" s="152"/>
      <c r="AR13" s="152"/>
      <c r="AS13" s="152"/>
      <c r="AT13" s="152"/>
      <c r="AU13" s="152"/>
      <c r="AV13" s="152"/>
      <c r="AW13" s="152"/>
      <c r="AX13" s="152"/>
      <c r="AY13" s="152"/>
      <c r="AZ13" s="152"/>
      <c r="BA13" s="152">
        <v>2</v>
      </c>
      <c r="BB13" s="152" t="s">
        <v>329</v>
      </c>
      <c r="BC13" s="152" t="s">
        <v>329</v>
      </c>
      <c r="BD13" s="152"/>
      <c r="BE13" s="152">
        <v>2</v>
      </c>
      <c r="BF13" s="152"/>
      <c r="BG13" s="152"/>
      <c r="BH13" s="152" t="s">
        <v>329</v>
      </c>
      <c r="BI13" s="152"/>
      <c r="BJ13" s="152"/>
      <c r="BK13" s="152"/>
      <c r="BL13" s="152"/>
    </row>
    <row r="14" spans="1:64">
      <c r="A14" s="156" t="s">
        <v>348</v>
      </c>
      <c r="B14" s="152"/>
      <c r="C14" s="156" t="s">
        <v>326</v>
      </c>
      <c r="D14" s="156" t="s">
        <v>555</v>
      </c>
      <c r="E14" s="152" t="s">
        <v>587</v>
      </c>
      <c r="F14" s="152">
        <v>2</v>
      </c>
      <c r="G14" s="152">
        <v>3</v>
      </c>
      <c r="H14" s="78">
        <v>30.72</v>
      </c>
      <c r="I14" s="31">
        <v>4096</v>
      </c>
      <c r="J14" s="152" t="s">
        <v>581</v>
      </c>
      <c r="K14" s="156" t="s">
        <v>579</v>
      </c>
      <c r="L14" s="152">
        <v>2.6</v>
      </c>
      <c r="M14" s="152"/>
      <c r="N14" s="152"/>
      <c r="O14" s="152"/>
      <c r="P14" s="152"/>
      <c r="Q14" s="152"/>
      <c r="R14" s="152"/>
      <c r="S14" s="152"/>
      <c r="T14" s="152"/>
      <c r="U14" s="152"/>
      <c r="V14" s="152"/>
      <c r="W14" s="152"/>
      <c r="X14" s="152"/>
      <c r="Y14" s="152"/>
      <c r="Z14" s="152"/>
      <c r="AA14" s="152"/>
      <c r="AB14" s="152"/>
      <c r="AC14" s="152"/>
      <c r="AD14" s="152"/>
      <c r="AE14" s="152"/>
      <c r="AF14" s="152"/>
      <c r="AG14" s="78">
        <f t="shared" si="0"/>
        <v>61.44</v>
      </c>
      <c r="AH14" s="152" t="s">
        <v>581</v>
      </c>
      <c r="AI14" s="156" t="s">
        <v>579</v>
      </c>
      <c r="AJ14" s="152" t="s">
        <v>575</v>
      </c>
      <c r="AK14" s="152"/>
      <c r="AL14" s="152"/>
      <c r="AM14" s="152"/>
      <c r="AN14" s="152"/>
      <c r="AO14" s="152"/>
      <c r="AP14" s="152"/>
      <c r="AQ14" s="152"/>
      <c r="AR14" s="152"/>
      <c r="AS14" s="152"/>
      <c r="AT14" s="152"/>
      <c r="AU14" s="152"/>
      <c r="AV14" s="152"/>
      <c r="AW14" s="152"/>
      <c r="AX14" s="152"/>
      <c r="AY14" s="152"/>
      <c r="AZ14" s="152"/>
      <c r="BA14" s="152">
        <v>2</v>
      </c>
      <c r="BB14" s="152" t="s">
        <v>329</v>
      </c>
      <c r="BC14" s="152"/>
      <c r="BD14" s="152"/>
      <c r="BE14" s="152">
        <v>2</v>
      </c>
      <c r="BF14" s="152"/>
      <c r="BG14" s="152"/>
      <c r="BH14" s="152" t="s">
        <v>329</v>
      </c>
      <c r="BI14" s="152"/>
      <c r="BJ14" s="152"/>
      <c r="BK14" s="152"/>
      <c r="BL14" s="152"/>
    </row>
    <row r="15" spans="1:64">
      <c r="A15" s="156" t="s">
        <v>349</v>
      </c>
      <c r="B15" s="152"/>
      <c r="C15" s="156" t="s">
        <v>326</v>
      </c>
      <c r="D15" s="156" t="s">
        <v>482</v>
      </c>
      <c r="E15" s="152" t="s">
        <v>588</v>
      </c>
      <c r="F15" s="152">
        <v>3</v>
      </c>
      <c r="G15" s="152">
        <v>6</v>
      </c>
      <c r="H15" s="78">
        <v>40.96</v>
      </c>
      <c r="I15" s="31">
        <v>4096</v>
      </c>
      <c r="J15" s="152" t="s">
        <v>581</v>
      </c>
      <c r="K15" s="156" t="s">
        <v>579</v>
      </c>
      <c r="L15" s="152">
        <v>2.6</v>
      </c>
      <c r="M15" s="152"/>
      <c r="N15" s="152"/>
      <c r="O15" s="152"/>
      <c r="P15" s="152"/>
      <c r="Q15" s="152"/>
      <c r="R15" s="152"/>
      <c r="S15" s="152"/>
      <c r="T15" s="152"/>
      <c r="U15" s="152"/>
      <c r="V15" s="152"/>
      <c r="W15" s="152"/>
      <c r="X15" s="152"/>
      <c r="Y15" s="152"/>
      <c r="Z15" s="152"/>
      <c r="AA15" s="152"/>
      <c r="AB15" s="152"/>
      <c r="AC15" s="152"/>
      <c r="AD15" s="152"/>
      <c r="AE15" s="152"/>
      <c r="AF15" s="152"/>
      <c r="AG15" s="78">
        <f t="shared" si="0"/>
        <v>81.92</v>
      </c>
      <c r="AH15" s="152" t="s">
        <v>581</v>
      </c>
      <c r="AI15" s="156" t="s">
        <v>579</v>
      </c>
      <c r="AJ15" s="152" t="s">
        <v>575</v>
      </c>
      <c r="AK15" s="152"/>
      <c r="AL15" s="152"/>
      <c r="AM15" s="152"/>
      <c r="AN15" s="152"/>
      <c r="AO15" s="152"/>
      <c r="AP15" s="152"/>
      <c r="AQ15" s="152"/>
      <c r="AR15" s="152"/>
      <c r="AS15" s="152"/>
      <c r="AT15" s="152"/>
      <c r="AU15" s="152"/>
      <c r="AV15" s="152"/>
      <c r="AW15" s="152"/>
      <c r="AX15" s="152"/>
      <c r="AY15" s="152"/>
      <c r="AZ15" s="152"/>
      <c r="BA15" s="152">
        <v>2</v>
      </c>
      <c r="BB15" s="152" t="s">
        <v>329</v>
      </c>
      <c r="BC15" s="152"/>
      <c r="BD15" s="152"/>
      <c r="BE15" s="152">
        <v>2</v>
      </c>
      <c r="BF15" s="152"/>
      <c r="BG15" s="152"/>
      <c r="BH15" s="152" t="s">
        <v>329</v>
      </c>
      <c r="BI15" s="152"/>
      <c r="BJ15" s="152"/>
      <c r="BK15" s="152"/>
      <c r="BL15" s="152"/>
    </row>
    <row r="16" spans="1:64">
      <c r="A16" s="156" t="s">
        <v>351</v>
      </c>
      <c r="B16" s="152"/>
      <c r="C16" s="156" t="s">
        <v>326</v>
      </c>
      <c r="D16" s="156" t="s">
        <v>40</v>
      </c>
      <c r="E16" s="152" t="s">
        <v>589</v>
      </c>
      <c r="F16" s="152">
        <v>5</v>
      </c>
      <c r="G16" s="152">
        <v>5</v>
      </c>
      <c r="H16" s="78">
        <v>56.32</v>
      </c>
      <c r="I16" s="31">
        <v>4096</v>
      </c>
      <c r="J16" s="152" t="s">
        <v>581</v>
      </c>
      <c r="K16" s="156" t="s">
        <v>579</v>
      </c>
      <c r="L16" s="152">
        <v>2.6</v>
      </c>
      <c r="M16" s="152"/>
      <c r="N16" s="152"/>
      <c r="O16" s="152"/>
      <c r="P16" s="152"/>
      <c r="Q16" s="152"/>
      <c r="R16" s="152"/>
      <c r="S16" s="152"/>
      <c r="T16" s="152"/>
      <c r="U16" s="152"/>
      <c r="V16" s="152"/>
      <c r="W16" s="152"/>
      <c r="X16" s="152"/>
      <c r="Y16" s="152"/>
      <c r="Z16" s="152"/>
      <c r="AA16" s="152"/>
      <c r="AB16" s="152"/>
      <c r="AC16" s="152"/>
      <c r="AD16" s="152"/>
      <c r="AE16" s="152"/>
      <c r="AF16" s="152"/>
      <c r="AG16" s="78">
        <f t="shared" si="0"/>
        <v>112.64</v>
      </c>
      <c r="AH16" s="152" t="s">
        <v>581</v>
      </c>
      <c r="AI16" s="156" t="s">
        <v>579</v>
      </c>
      <c r="AJ16" s="152" t="s">
        <v>575</v>
      </c>
      <c r="AK16" s="152"/>
      <c r="AL16" s="152"/>
      <c r="AM16" s="152"/>
      <c r="AN16" s="152"/>
      <c r="AO16" s="152"/>
      <c r="AP16" s="152"/>
      <c r="AQ16" s="152"/>
      <c r="AR16" s="152"/>
      <c r="AS16" s="152"/>
      <c r="AT16" s="152"/>
      <c r="AU16" s="152"/>
      <c r="AV16" s="152"/>
      <c r="AW16" s="152"/>
      <c r="AX16" s="152"/>
      <c r="AY16" s="152"/>
      <c r="AZ16" s="152"/>
      <c r="BA16" s="152">
        <v>2</v>
      </c>
      <c r="BB16" s="152" t="s">
        <v>329</v>
      </c>
      <c r="BC16" s="152"/>
      <c r="BD16" s="152"/>
      <c r="BE16" s="152">
        <v>2</v>
      </c>
      <c r="BF16" s="152"/>
      <c r="BG16" s="152"/>
      <c r="BH16" s="152" t="s">
        <v>329</v>
      </c>
      <c r="BI16" s="152"/>
      <c r="BJ16" s="152"/>
      <c r="BK16" s="152"/>
      <c r="BL16" s="152"/>
    </row>
    <row r="17" spans="1:64">
      <c r="A17" s="156" t="s">
        <v>352</v>
      </c>
      <c r="B17" s="152"/>
      <c r="C17" s="156" t="s">
        <v>326</v>
      </c>
      <c r="D17" s="156" t="s">
        <v>43</v>
      </c>
      <c r="E17" s="152" t="s">
        <v>590</v>
      </c>
      <c r="F17" s="152">
        <v>4</v>
      </c>
      <c r="G17" s="152">
        <v>6</v>
      </c>
      <c r="H17" s="78">
        <v>30.72</v>
      </c>
      <c r="I17" s="31">
        <v>4096</v>
      </c>
      <c r="J17" s="152" t="s">
        <v>581</v>
      </c>
      <c r="K17" s="156" t="s">
        <v>579</v>
      </c>
      <c r="L17" s="152">
        <v>2.6</v>
      </c>
      <c r="M17" s="78"/>
      <c r="N17" s="152"/>
      <c r="O17" s="152"/>
      <c r="P17" s="152"/>
      <c r="Q17" s="152"/>
      <c r="R17" s="152"/>
      <c r="S17" s="152"/>
      <c r="T17" s="152"/>
      <c r="U17" s="152"/>
      <c r="V17" s="152"/>
      <c r="W17" s="152"/>
      <c r="X17" s="152"/>
      <c r="Y17" s="152"/>
      <c r="Z17" s="152"/>
      <c r="AA17" s="152"/>
      <c r="AB17" s="152"/>
      <c r="AC17" s="152"/>
      <c r="AD17" s="152"/>
      <c r="AE17" s="152"/>
      <c r="AF17" s="152"/>
      <c r="AG17" s="78">
        <f t="shared" si="0"/>
        <v>61.44</v>
      </c>
      <c r="AH17" s="152" t="s">
        <v>581</v>
      </c>
      <c r="AI17" s="156" t="s">
        <v>579</v>
      </c>
      <c r="AJ17" s="152" t="s">
        <v>575</v>
      </c>
      <c r="AK17" s="152"/>
      <c r="AL17" s="152"/>
      <c r="AM17" s="152"/>
      <c r="AN17" s="152"/>
      <c r="AO17" s="152"/>
      <c r="AP17" s="152"/>
      <c r="AQ17" s="152"/>
      <c r="AR17" s="152"/>
      <c r="AS17" s="152"/>
      <c r="AT17" s="152"/>
      <c r="AU17" s="152"/>
      <c r="AV17" s="152"/>
      <c r="AW17" s="152"/>
      <c r="AX17" s="152"/>
      <c r="AY17" s="152"/>
      <c r="AZ17" s="152"/>
      <c r="BA17" s="152">
        <v>2</v>
      </c>
      <c r="BB17" s="152" t="s">
        <v>329</v>
      </c>
      <c r="BC17" s="152"/>
      <c r="BD17" s="152"/>
      <c r="BE17" s="152">
        <v>2</v>
      </c>
      <c r="BF17" s="152"/>
      <c r="BG17" s="152"/>
      <c r="BH17" s="152" t="s">
        <v>329</v>
      </c>
      <c r="BI17" s="152"/>
      <c r="BJ17" s="152"/>
      <c r="BK17" s="152"/>
      <c r="BL17" s="152"/>
    </row>
    <row r="18" spans="1:64">
      <c r="A18" s="156" t="s">
        <v>353</v>
      </c>
      <c r="B18" s="152"/>
      <c r="C18" s="156" t="s">
        <v>326</v>
      </c>
      <c r="D18" s="156" t="s">
        <v>47</v>
      </c>
      <c r="E18" s="152" t="s">
        <v>586</v>
      </c>
      <c r="F18" s="152">
        <v>4</v>
      </c>
      <c r="G18" s="152">
        <v>4</v>
      </c>
      <c r="H18" s="78">
        <v>30.72</v>
      </c>
      <c r="I18" s="31">
        <v>4096</v>
      </c>
      <c r="J18" s="152" t="s">
        <v>581</v>
      </c>
      <c r="K18" s="156" t="s">
        <v>579</v>
      </c>
      <c r="L18" s="152">
        <v>2.6</v>
      </c>
      <c r="M18" s="152"/>
      <c r="N18" s="152"/>
      <c r="O18" s="152"/>
      <c r="P18" s="152"/>
      <c r="Q18" s="152"/>
      <c r="R18" s="152"/>
      <c r="S18" s="152"/>
      <c r="T18" s="152"/>
      <c r="U18" s="152"/>
      <c r="V18" s="152"/>
      <c r="W18" s="152"/>
      <c r="X18" s="152"/>
      <c r="Y18" s="152"/>
      <c r="Z18" s="152"/>
      <c r="AA18" s="152"/>
      <c r="AB18" s="152"/>
      <c r="AC18" s="152"/>
      <c r="AD18" s="152"/>
      <c r="AE18" s="152"/>
      <c r="AF18" s="152"/>
      <c r="AG18" s="78">
        <f t="shared" si="0"/>
        <v>61.44</v>
      </c>
      <c r="AH18" s="152" t="s">
        <v>581</v>
      </c>
      <c r="AI18" s="156" t="s">
        <v>579</v>
      </c>
      <c r="AJ18" s="152" t="s">
        <v>575</v>
      </c>
      <c r="AK18" s="152"/>
      <c r="AL18" s="152"/>
      <c r="AM18" s="152"/>
      <c r="AN18" s="152"/>
      <c r="AO18" s="152"/>
      <c r="AP18" s="152"/>
      <c r="AQ18" s="152"/>
      <c r="AR18" s="152"/>
      <c r="AS18" s="152"/>
      <c r="AT18" s="152"/>
      <c r="AU18" s="152"/>
      <c r="AV18" s="152"/>
      <c r="AW18" s="152"/>
      <c r="AX18" s="152"/>
      <c r="AY18" s="152"/>
      <c r="AZ18" s="152"/>
      <c r="BA18" s="152">
        <v>2</v>
      </c>
      <c r="BB18" s="152" t="s">
        <v>329</v>
      </c>
      <c r="BC18" s="152" t="s">
        <v>329</v>
      </c>
      <c r="BD18" s="152"/>
      <c r="BE18" s="152">
        <v>2</v>
      </c>
      <c r="BF18" s="152"/>
      <c r="BG18" s="152"/>
      <c r="BH18" s="152" t="s">
        <v>329</v>
      </c>
      <c r="BI18" s="152"/>
      <c r="BJ18" s="152"/>
      <c r="BK18" s="152"/>
      <c r="BL18" s="152"/>
    </row>
    <row r="19" spans="1:64">
      <c r="A19" s="156" t="s">
        <v>354</v>
      </c>
      <c r="B19" s="152"/>
      <c r="C19" s="156" t="s">
        <v>326</v>
      </c>
      <c r="D19" s="156" t="s">
        <v>355</v>
      </c>
      <c r="E19" s="152" t="s">
        <v>591</v>
      </c>
      <c r="F19" s="152">
        <v>8</v>
      </c>
      <c r="G19" s="152">
        <v>10</v>
      </c>
      <c r="H19" s="78">
        <v>102.4</v>
      </c>
      <c r="I19" s="31">
        <v>16384</v>
      </c>
      <c r="J19" s="152" t="s">
        <v>581</v>
      </c>
      <c r="K19" s="156" t="s">
        <v>579</v>
      </c>
      <c r="L19" s="152">
        <v>2.6</v>
      </c>
      <c r="M19" s="152"/>
      <c r="N19" s="152"/>
      <c r="O19" s="152"/>
      <c r="P19" s="152"/>
      <c r="Q19" s="152"/>
      <c r="R19" s="152"/>
      <c r="S19" s="152"/>
      <c r="T19" s="152"/>
      <c r="U19" s="152"/>
      <c r="V19" s="152"/>
      <c r="W19" s="152"/>
      <c r="X19" s="152"/>
      <c r="Y19" s="152"/>
      <c r="Z19" s="152"/>
      <c r="AA19" s="152"/>
      <c r="AB19" s="152"/>
      <c r="AC19" s="152"/>
      <c r="AD19" s="152"/>
      <c r="AE19" s="152"/>
      <c r="AF19" s="152"/>
      <c r="AG19" s="78">
        <f>2*(H19+AO19)</f>
        <v>307.20000000000005</v>
      </c>
      <c r="AH19" s="152" t="s">
        <v>581</v>
      </c>
      <c r="AI19" s="156" t="s">
        <v>579</v>
      </c>
      <c r="AJ19" s="152" t="s">
        <v>575</v>
      </c>
      <c r="AK19" s="152"/>
      <c r="AL19" s="152"/>
      <c r="AM19" s="152"/>
      <c r="AN19" s="152"/>
      <c r="AO19" s="152">
        <v>51.2</v>
      </c>
      <c r="AP19" s="152" t="s">
        <v>581</v>
      </c>
      <c r="AQ19" s="156" t="s">
        <v>579</v>
      </c>
      <c r="AR19" s="152">
        <f>50/1000</f>
        <v>0.05</v>
      </c>
      <c r="AS19" s="152"/>
      <c r="AT19" s="152"/>
      <c r="AU19" s="152"/>
      <c r="AV19" s="152"/>
      <c r="AW19" s="152"/>
      <c r="AX19" s="152"/>
      <c r="AY19" s="152"/>
      <c r="AZ19" s="152"/>
      <c r="BA19" s="152">
        <v>3</v>
      </c>
      <c r="BB19" s="152" t="s">
        <v>329</v>
      </c>
      <c r="BC19" s="152"/>
      <c r="BD19" s="152"/>
      <c r="BE19" s="152">
        <v>2</v>
      </c>
      <c r="BF19" s="152"/>
      <c r="BG19" s="152"/>
      <c r="BH19" s="152" t="s">
        <v>329</v>
      </c>
      <c r="BI19" s="152"/>
      <c r="BJ19" s="152"/>
      <c r="BK19" s="152"/>
      <c r="BL19" s="152"/>
    </row>
    <row r="20" spans="1:64">
      <c r="A20" s="156" t="s">
        <v>356</v>
      </c>
      <c r="B20" s="152"/>
      <c r="C20" s="156" t="s">
        <v>326</v>
      </c>
      <c r="D20" s="156" t="s">
        <v>55</v>
      </c>
      <c r="E20" s="152" t="s">
        <v>592</v>
      </c>
      <c r="F20" s="152">
        <v>6</v>
      </c>
      <c r="G20" s="152">
        <v>6</v>
      </c>
      <c r="H20" s="78">
        <v>133.12</v>
      </c>
      <c r="I20" s="31">
        <v>4096</v>
      </c>
      <c r="J20" s="152" t="s">
        <v>581</v>
      </c>
      <c r="K20" s="156" t="s">
        <v>579</v>
      </c>
      <c r="L20" s="152">
        <v>2.6</v>
      </c>
      <c r="M20" s="152"/>
      <c r="N20" s="152"/>
      <c r="O20" s="152"/>
      <c r="P20" s="152"/>
      <c r="Q20" s="152"/>
      <c r="R20" s="152"/>
      <c r="S20" s="152"/>
      <c r="T20" s="152"/>
      <c r="U20" s="152"/>
      <c r="V20" s="152"/>
      <c r="W20" s="152"/>
      <c r="X20" s="152"/>
      <c r="Y20" s="152"/>
      <c r="Z20" s="152"/>
      <c r="AA20" s="152"/>
      <c r="AB20" s="152"/>
      <c r="AC20" s="152"/>
      <c r="AD20" s="152"/>
      <c r="AE20" s="152"/>
      <c r="AF20" s="152"/>
      <c r="AG20" s="78">
        <f t="shared" si="0"/>
        <v>266.24</v>
      </c>
      <c r="AH20" s="152" t="s">
        <v>581</v>
      </c>
      <c r="AI20" s="156" t="s">
        <v>579</v>
      </c>
      <c r="AJ20" s="152" t="s">
        <v>575</v>
      </c>
      <c r="AK20" s="152"/>
      <c r="AL20" s="152"/>
      <c r="AM20" s="152"/>
      <c r="AN20" s="152"/>
      <c r="AO20" s="152"/>
      <c r="AP20" s="152"/>
      <c r="AQ20" s="152"/>
      <c r="AR20" s="152"/>
      <c r="AS20" s="152"/>
      <c r="AT20" s="152"/>
      <c r="AU20" s="152"/>
      <c r="AV20" s="152"/>
      <c r="AW20" s="152"/>
      <c r="AX20" s="152"/>
      <c r="AY20" s="152"/>
      <c r="AZ20" s="152"/>
      <c r="BA20" s="152">
        <v>2</v>
      </c>
      <c r="BB20" s="152" t="s">
        <v>329</v>
      </c>
      <c r="BC20" s="152"/>
      <c r="BD20" s="152"/>
      <c r="BE20" s="152">
        <v>2</v>
      </c>
      <c r="BF20" s="152"/>
      <c r="BG20" s="152"/>
      <c r="BH20" s="152" t="s">
        <v>329</v>
      </c>
      <c r="BI20" s="152"/>
      <c r="BJ20" s="152"/>
      <c r="BK20" s="152"/>
      <c r="BL20" s="152"/>
    </row>
    <row r="21" spans="1:64">
      <c r="A21" s="156" t="s">
        <v>357</v>
      </c>
      <c r="B21" s="152"/>
      <c r="C21" s="156" t="s">
        <v>326</v>
      </c>
      <c r="D21" s="156" t="s">
        <v>59</v>
      </c>
      <c r="E21" s="152" t="s">
        <v>618</v>
      </c>
      <c r="F21" s="152">
        <v>5</v>
      </c>
      <c r="G21" s="152">
        <v>6</v>
      </c>
      <c r="H21" s="78">
        <v>61.44</v>
      </c>
      <c r="I21" s="31">
        <v>4096</v>
      </c>
      <c r="J21" s="152" t="s">
        <v>581</v>
      </c>
      <c r="K21" s="156" t="s">
        <v>579</v>
      </c>
      <c r="L21" s="152">
        <v>2.6</v>
      </c>
      <c r="M21" s="152"/>
      <c r="N21" s="152"/>
      <c r="O21" s="152"/>
      <c r="P21" s="152"/>
      <c r="Q21" s="152"/>
      <c r="R21" s="152"/>
      <c r="S21" s="152"/>
      <c r="T21" s="152"/>
      <c r="U21" s="152"/>
      <c r="V21" s="152"/>
      <c r="W21" s="152"/>
      <c r="X21" s="152"/>
      <c r="Y21" s="152"/>
      <c r="Z21" s="152"/>
      <c r="AA21" s="152"/>
      <c r="AB21" s="152"/>
      <c r="AC21" s="152"/>
      <c r="AD21" s="152"/>
      <c r="AE21" s="152"/>
      <c r="AF21" s="152"/>
      <c r="AG21" s="78">
        <f t="shared" si="0"/>
        <v>122.88</v>
      </c>
      <c r="AH21" s="152" t="s">
        <v>581</v>
      </c>
      <c r="AI21" s="156" t="s">
        <v>579</v>
      </c>
      <c r="AJ21" s="152" t="s">
        <v>575</v>
      </c>
      <c r="AK21" s="152"/>
      <c r="AL21" s="152"/>
      <c r="AM21" s="152"/>
      <c r="AN21" s="152"/>
      <c r="AO21" s="152"/>
      <c r="AP21" s="152"/>
      <c r="AQ21" s="152"/>
      <c r="AR21" s="152"/>
      <c r="AS21" s="152"/>
      <c r="AT21" s="152"/>
      <c r="AU21" s="152"/>
      <c r="AV21" s="152"/>
      <c r="AW21" s="152"/>
      <c r="AX21" s="152"/>
      <c r="AY21" s="152"/>
      <c r="AZ21" s="152"/>
      <c r="BA21" s="152">
        <v>2</v>
      </c>
      <c r="BB21" s="152" t="s">
        <v>329</v>
      </c>
      <c r="BC21" s="152"/>
      <c r="BD21" s="152"/>
      <c r="BE21" s="152">
        <v>2</v>
      </c>
      <c r="BF21" s="152"/>
      <c r="BG21" s="152"/>
      <c r="BH21" s="152" t="s">
        <v>329</v>
      </c>
      <c r="BI21" s="152"/>
      <c r="BJ21" s="152"/>
      <c r="BK21" s="152"/>
      <c r="BL21" s="152"/>
    </row>
    <row r="22" spans="1:64">
      <c r="A22" s="156" t="s">
        <v>358</v>
      </c>
      <c r="B22" s="152"/>
      <c r="C22" s="156" t="s">
        <v>326</v>
      </c>
      <c r="D22" s="156" t="s">
        <v>59</v>
      </c>
      <c r="E22" s="152" t="s">
        <v>618</v>
      </c>
      <c r="F22" s="152">
        <v>5</v>
      </c>
      <c r="G22" s="152">
        <v>6</v>
      </c>
      <c r="H22" s="78">
        <v>61.44</v>
      </c>
      <c r="I22" s="31">
        <v>4096</v>
      </c>
      <c r="J22" s="152" t="s">
        <v>581</v>
      </c>
      <c r="K22" s="156" t="s">
        <v>579</v>
      </c>
      <c r="L22" s="152">
        <v>2.6</v>
      </c>
      <c r="M22" s="152"/>
      <c r="N22" s="152"/>
      <c r="O22" s="152"/>
      <c r="P22" s="152"/>
      <c r="Q22" s="152"/>
      <c r="R22" s="152"/>
      <c r="S22" s="152"/>
      <c r="T22" s="152"/>
      <c r="U22" s="152"/>
      <c r="V22" s="152"/>
      <c r="W22" s="152"/>
      <c r="X22" s="152"/>
      <c r="Y22" s="152"/>
      <c r="Z22" s="152"/>
      <c r="AA22" s="152"/>
      <c r="AB22" s="152"/>
      <c r="AC22" s="152"/>
      <c r="AD22" s="152"/>
      <c r="AE22" s="152"/>
      <c r="AF22" s="152"/>
      <c r="AG22" s="78">
        <f t="shared" si="0"/>
        <v>122.88</v>
      </c>
      <c r="AH22" s="152" t="s">
        <v>581</v>
      </c>
      <c r="AI22" s="156" t="s">
        <v>579</v>
      </c>
      <c r="AJ22" s="152" t="s">
        <v>575</v>
      </c>
      <c r="AK22" s="152"/>
      <c r="AL22" s="152"/>
      <c r="AM22" s="152"/>
      <c r="AN22" s="152"/>
      <c r="AO22" s="152"/>
      <c r="AP22" s="152"/>
      <c r="AQ22" s="152"/>
      <c r="AR22" s="152"/>
      <c r="AS22" s="152"/>
      <c r="AT22" s="152"/>
      <c r="AU22" s="152"/>
      <c r="AV22" s="152"/>
      <c r="AW22" s="152"/>
      <c r="AX22" s="152"/>
      <c r="AY22" s="152"/>
      <c r="AZ22" s="152"/>
      <c r="BA22" s="152">
        <v>2</v>
      </c>
      <c r="BB22" s="152" t="s">
        <v>329</v>
      </c>
      <c r="BC22" s="152"/>
      <c r="BD22" s="152"/>
      <c r="BE22" s="152">
        <v>2</v>
      </c>
      <c r="BF22" s="152"/>
      <c r="BG22" s="152"/>
      <c r="BH22" s="152" t="s">
        <v>329</v>
      </c>
      <c r="BI22" s="152"/>
      <c r="BJ22" s="152"/>
      <c r="BK22" s="152"/>
      <c r="BL22" s="152"/>
    </row>
    <row r="23" spans="1:64">
      <c r="A23" s="156" t="s">
        <v>359</v>
      </c>
      <c r="B23" s="152"/>
      <c r="C23" s="156" t="s">
        <v>326</v>
      </c>
      <c r="D23" s="156" t="s">
        <v>63</v>
      </c>
      <c r="E23" s="152" t="s">
        <v>593</v>
      </c>
      <c r="F23" s="152">
        <v>5</v>
      </c>
      <c r="G23" s="152">
        <v>13</v>
      </c>
      <c r="H23" s="78">
        <v>56.32</v>
      </c>
      <c r="I23" s="31">
        <v>16384</v>
      </c>
      <c r="J23" s="152" t="s">
        <v>581</v>
      </c>
      <c r="K23" s="156" t="s">
        <v>579</v>
      </c>
      <c r="L23" s="152">
        <v>2.6</v>
      </c>
      <c r="M23" s="152"/>
      <c r="N23" s="152"/>
      <c r="O23" s="152"/>
      <c r="P23" s="152"/>
      <c r="Q23" s="152"/>
      <c r="R23" s="152"/>
      <c r="S23" s="152"/>
      <c r="T23" s="152"/>
      <c r="U23" s="152"/>
      <c r="V23" s="152"/>
      <c r="W23" s="152"/>
      <c r="X23" s="152"/>
      <c r="Y23" s="152"/>
      <c r="Z23" s="152"/>
      <c r="AA23" s="152"/>
      <c r="AB23" s="152"/>
      <c r="AC23" s="152"/>
      <c r="AD23" s="152"/>
      <c r="AE23" s="152"/>
      <c r="AF23" s="152"/>
      <c r="AG23" s="78">
        <f t="shared" si="0"/>
        <v>112.64</v>
      </c>
      <c r="AH23" s="152" t="s">
        <v>581</v>
      </c>
      <c r="AI23" s="156" t="s">
        <v>579</v>
      </c>
      <c r="AJ23" s="152" t="s">
        <v>575</v>
      </c>
      <c r="AK23" s="152"/>
      <c r="AL23" s="152"/>
      <c r="AM23" s="152"/>
      <c r="AN23" s="152"/>
      <c r="AO23" s="152"/>
      <c r="AP23" s="152"/>
      <c r="AQ23" s="152"/>
      <c r="AR23" s="152"/>
      <c r="AS23" s="152">
        <v>87.04</v>
      </c>
      <c r="AT23" s="152" t="s">
        <v>581</v>
      </c>
      <c r="AU23" s="156" t="s">
        <v>579</v>
      </c>
      <c r="AV23" s="152">
        <f>50/1000</f>
        <v>0.05</v>
      </c>
      <c r="AW23" s="152"/>
      <c r="AX23" s="152"/>
      <c r="AY23" s="152"/>
      <c r="AZ23" s="152"/>
      <c r="BA23" s="152">
        <v>3</v>
      </c>
      <c r="BB23" s="152" t="s">
        <v>329</v>
      </c>
      <c r="BC23" s="152"/>
      <c r="BD23" s="152"/>
      <c r="BE23" s="152">
        <v>2</v>
      </c>
      <c r="BF23" s="152"/>
      <c r="BG23" s="152"/>
      <c r="BH23" s="152" t="s">
        <v>329</v>
      </c>
      <c r="BI23" s="152"/>
      <c r="BJ23" s="152"/>
      <c r="BK23" s="152"/>
      <c r="BL23" s="152"/>
    </row>
    <row r="24" spans="1:64">
      <c r="A24" s="156" t="s">
        <v>360</v>
      </c>
      <c r="B24" s="152"/>
      <c r="C24" s="156" t="s">
        <v>326</v>
      </c>
      <c r="D24" s="156" t="s">
        <v>67</v>
      </c>
      <c r="E24" s="152" t="s">
        <v>593</v>
      </c>
      <c r="F24" s="152">
        <v>5</v>
      </c>
      <c r="G24" s="152">
        <v>13</v>
      </c>
      <c r="H24" s="78">
        <v>56.32</v>
      </c>
      <c r="I24" s="31">
        <v>16384</v>
      </c>
      <c r="J24" s="152" t="s">
        <v>581</v>
      </c>
      <c r="K24" s="156" t="s">
        <v>579</v>
      </c>
      <c r="L24" s="152">
        <v>2.6</v>
      </c>
      <c r="M24" s="152"/>
      <c r="N24" s="152"/>
      <c r="O24" s="152"/>
      <c r="P24" s="152"/>
      <c r="Q24" s="152"/>
      <c r="R24" s="152"/>
      <c r="S24" s="152"/>
      <c r="T24" s="152"/>
      <c r="U24" s="152"/>
      <c r="V24" s="152"/>
      <c r="W24" s="152"/>
      <c r="X24" s="152"/>
      <c r="Y24" s="152"/>
      <c r="Z24" s="152"/>
      <c r="AA24" s="152"/>
      <c r="AB24" s="152"/>
      <c r="AC24" s="152"/>
      <c r="AD24" s="152"/>
      <c r="AE24" s="152"/>
      <c r="AF24" s="152"/>
      <c r="AG24" s="78">
        <f t="shared" si="0"/>
        <v>112.64</v>
      </c>
      <c r="AH24" s="152" t="s">
        <v>581</v>
      </c>
      <c r="AI24" s="156" t="s">
        <v>579</v>
      </c>
      <c r="AJ24" s="152" t="s">
        <v>575</v>
      </c>
      <c r="AK24" s="152"/>
      <c r="AL24" s="152"/>
      <c r="AM24" s="152"/>
      <c r="AN24" s="152"/>
      <c r="AO24" s="152"/>
      <c r="AP24" s="152"/>
      <c r="AQ24" s="152"/>
      <c r="AR24" s="152"/>
      <c r="AS24" s="152">
        <v>87.04</v>
      </c>
      <c r="AT24" s="152" t="s">
        <v>581</v>
      </c>
      <c r="AU24" s="156" t="s">
        <v>579</v>
      </c>
      <c r="AV24" s="152">
        <f>50/1000</f>
        <v>0.05</v>
      </c>
      <c r="AW24" s="152"/>
      <c r="AX24" s="152"/>
      <c r="AY24" s="152"/>
      <c r="AZ24" s="152"/>
      <c r="BA24" s="152">
        <v>3</v>
      </c>
      <c r="BB24" s="152" t="s">
        <v>329</v>
      </c>
      <c r="BC24" s="152"/>
      <c r="BD24" s="152"/>
      <c r="BE24" s="152">
        <v>2</v>
      </c>
      <c r="BF24" s="152"/>
      <c r="BG24" s="152"/>
      <c r="BH24" s="152" t="s">
        <v>329</v>
      </c>
      <c r="BI24" s="152"/>
      <c r="BJ24" s="152"/>
      <c r="BK24" s="152"/>
      <c r="BL24" s="152"/>
    </row>
    <row r="25" spans="1:64">
      <c r="A25" s="156" t="s">
        <v>361</v>
      </c>
      <c r="B25" s="152"/>
      <c r="C25" s="156" t="s">
        <v>326</v>
      </c>
      <c r="D25" s="156" t="s">
        <v>71</v>
      </c>
      <c r="E25" s="152" t="s">
        <v>594</v>
      </c>
      <c r="F25" s="152">
        <v>4</v>
      </c>
      <c r="G25" s="152">
        <v>7</v>
      </c>
      <c r="H25" s="78">
        <v>40.96</v>
      </c>
      <c r="I25" s="31">
        <v>4096</v>
      </c>
      <c r="J25" s="152" t="s">
        <v>581</v>
      </c>
      <c r="K25" s="156" t="s">
        <v>579</v>
      </c>
      <c r="L25" s="152">
        <v>2.6</v>
      </c>
      <c r="M25" s="152"/>
      <c r="N25" s="152"/>
      <c r="O25" s="152"/>
      <c r="P25" s="152"/>
      <c r="Q25" s="152"/>
      <c r="R25" s="152"/>
      <c r="S25" s="152"/>
      <c r="T25" s="152"/>
      <c r="U25" s="152"/>
      <c r="V25" s="152"/>
      <c r="W25" s="152"/>
      <c r="X25" s="152"/>
      <c r="Y25" s="152"/>
      <c r="Z25" s="152"/>
      <c r="AA25" s="152"/>
      <c r="AB25" s="152"/>
      <c r="AC25" s="152"/>
      <c r="AD25" s="152"/>
      <c r="AE25" s="152"/>
      <c r="AF25" s="152"/>
      <c r="AG25" s="78">
        <f t="shared" si="0"/>
        <v>81.92</v>
      </c>
      <c r="AH25" s="152" t="s">
        <v>581</v>
      </c>
      <c r="AI25" s="156" t="s">
        <v>579</v>
      </c>
      <c r="AJ25" s="152" t="s">
        <v>575</v>
      </c>
      <c r="AK25" s="152"/>
      <c r="AL25" s="152"/>
      <c r="AM25" s="152"/>
      <c r="AN25" s="152"/>
      <c r="AO25" s="152"/>
      <c r="AP25" s="152"/>
      <c r="AQ25" s="152"/>
      <c r="AR25" s="152"/>
      <c r="AS25" s="152"/>
      <c r="AT25" s="152"/>
      <c r="AU25" s="152"/>
      <c r="AV25" s="152"/>
      <c r="AW25" s="152"/>
      <c r="AX25" s="152"/>
      <c r="AY25" s="152"/>
      <c r="AZ25" s="152"/>
      <c r="BA25" s="152">
        <v>2</v>
      </c>
      <c r="BB25" s="152" t="s">
        <v>329</v>
      </c>
      <c r="BC25" s="152"/>
      <c r="BD25" s="152"/>
      <c r="BE25" s="152">
        <v>2</v>
      </c>
      <c r="BF25" s="152"/>
      <c r="BG25" s="152"/>
      <c r="BH25" s="152" t="s">
        <v>329</v>
      </c>
      <c r="BI25" s="152"/>
      <c r="BJ25" s="152"/>
      <c r="BK25" s="152"/>
      <c r="BL25" s="152"/>
    </row>
    <row r="26" spans="1:64">
      <c r="A26" s="156" t="s">
        <v>363</v>
      </c>
      <c r="B26" s="152"/>
      <c r="C26" s="156" t="s">
        <v>326</v>
      </c>
      <c r="D26" s="156" t="s">
        <v>71</v>
      </c>
      <c r="E26" s="152" t="s">
        <v>594</v>
      </c>
      <c r="F26" s="152">
        <v>4</v>
      </c>
      <c r="G26" s="152">
        <v>7</v>
      </c>
      <c r="H26" s="78">
        <v>40.96</v>
      </c>
      <c r="I26" s="31">
        <v>4096</v>
      </c>
      <c r="J26" s="152" t="s">
        <v>581</v>
      </c>
      <c r="K26" s="156" t="s">
        <v>579</v>
      </c>
      <c r="L26" s="152">
        <v>2.6</v>
      </c>
      <c r="M26" s="152"/>
      <c r="N26" s="152"/>
      <c r="O26" s="152"/>
      <c r="P26" s="152"/>
      <c r="Q26" s="152"/>
      <c r="R26" s="152"/>
      <c r="S26" s="152"/>
      <c r="T26" s="152"/>
      <c r="U26" s="152"/>
      <c r="V26" s="152"/>
      <c r="W26" s="152"/>
      <c r="X26" s="152"/>
      <c r="Y26" s="152"/>
      <c r="Z26" s="152"/>
      <c r="AA26" s="152"/>
      <c r="AB26" s="152"/>
      <c r="AC26" s="152"/>
      <c r="AD26" s="152"/>
      <c r="AE26" s="152"/>
      <c r="AF26" s="152"/>
      <c r="AG26" s="78">
        <f t="shared" si="0"/>
        <v>81.92</v>
      </c>
      <c r="AH26" s="152" t="s">
        <v>581</v>
      </c>
      <c r="AI26" s="156" t="s">
        <v>579</v>
      </c>
      <c r="AJ26" s="152" t="s">
        <v>575</v>
      </c>
      <c r="AK26" s="152"/>
      <c r="AL26" s="152"/>
      <c r="AM26" s="152"/>
      <c r="AN26" s="152"/>
      <c r="AO26" s="152"/>
      <c r="AP26" s="152"/>
      <c r="AQ26" s="152"/>
      <c r="AR26" s="152"/>
      <c r="AS26" s="152"/>
      <c r="AT26" s="152"/>
      <c r="AU26" s="152"/>
      <c r="AV26" s="152"/>
      <c r="AW26" s="152"/>
      <c r="AX26" s="152"/>
      <c r="AY26" s="152"/>
      <c r="AZ26" s="152"/>
      <c r="BA26" s="152">
        <v>2</v>
      </c>
      <c r="BB26" s="152" t="s">
        <v>329</v>
      </c>
      <c r="BC26" s="152"/>
      <c r="BD26" s="152"/>
      <c r="BE26" s="152">
        <v>2</v>
      </c>
      <c r="BF26" s="152"/>
      <c r="BG26" s="152"/>
      <c r="BH26" s="152" t="s">
        <v>329</v>
      </c>
      <c r="BI26" s="152"/>
      <c r="BJ26" s="152"/>
      <c r="BK26" s="152"/>
      <c r="BL26" s="152"/>
    </row>
    <row r="27" spans="1:64">
      <c r="A27" s="156" t="s">
        <v>484</v>
      </c>
      <c r="B27" s="152"/>
      <c r="C27" s="156" t="s">
        <v>326</v>
      </c>
      <c r="D27" s="156" t="s">
        <v>73</v>
      </c>
      <c r="E27" s="152" t="s">
        <v>595</v>
      </c>
      <c r="F27" s="152">
        <v>8</v>
      </c>
      <c r="G27" s="152">
        <v>33</v>
      </c>
      <c r="H27" s="78">
        <v>138.24</v>
      </c>
      <c r="I27" s="31">
        <v>16384</v>
      </c>
      <c r="J27" s="152" t="s">
        <v>581</v>
      </c>
      <c r="K27" s="156" t="s">
        <v>579</v>
      </c>
      <c r="L27" s="152">
        <v>2.6</v>
      </c>
      <c r="M27" s="152"/>
      <c r="N27" s="152"/>
      <c r="O27" s="152"/>
      <c r="P27" s="152"/>
      <c r="Q27" s="152"/>
      <c r="R27" s="152"/>
      <c r="S27" s="152"/>
      <c r="T27" s="152"/>
      <c r="U27" s="152"/>
      <c r="V27" s="152"/>
      <c r="W27" s="152"/>
      <c r="X27" s="152"/>
      <c r="Y27" s="152"/>
      <c r="Z27" s="152"/>
      <c r="AA27" s="152"/>
      <c r="AB27" s="152"/>
      <c r="AC27" s="152"/>
      <c r="AD27" s="152"/>
      <c r="AE27" s="152"/>
      <c r="AF27" s="152"/>
      <c r="AG27" s="78">
        <f t="shared" si="0"/>
        <v>276.48</v>
      </c>
      <c r="AH27" s="152" t="s">
        <v>581</v>
      </c>
      <c r="AI27" s="156" t="s">
        <v>579</v>
      </c>
      <c r="AJ27" s="152" t="s">
        <v>575</v>
      </c>
      <c r="AK27" s="152"/>
      <c r="AL27" s="152"/>
      <c r="AM27" s="152"/>
      <c r="AN27" s="152"/>
      <c r="AO27" s="152"/>
      <c r="AP27" s="152"/>
      <c r="AQ27" s="152"/>
      <c r="AR27" s="152"/>
      <c r="AS27" s="152"/>
      <c r="AT27" s="152"/>
      <c r="AU27" s="152"/>
      <c r="AV27" s="152"/>
      <c r="AW27" s="152"/>
      <c r="AX27" s="152"/>
      <c r="AY27" s="152"/>
      <c r="AZ27" s="152"/>
      <c r="BA27" s="152">
        <v>2</v>
      </c>
      <c r="BB27" s="152" t="s">
        <v>329</v>
      </c>
      <c r="BC27" s="152"/>
      <c r="BD27" s="152"/>
      <c r="BE27" s="152">
        <v>2</v>
      </c>
      <c r="BF27" s="152"/>
      <c r="BG27" s="152"/>
      <c r="BH27" s="152" t="s">
        <v>329</v>
      </c>
      <c r="BI27" s="152"/>
      <c r="BJ27" s="152"/>
      <c r="BK27" s="152"/>
      <c r="BL27" s="152"/>
    </row>
    <row r="28" spans="1:64">
      <c r="A28" s="156" t="s">
        <v>485</v>
      </c>
      <c r="B28" s="152"/>
      <c r="C28" s="156" t="s">
        <v>326</v>
      </c>
      <c r="D28" s="156" t="s">
        <v>73</v>
      </c>
      <c r="E28" s="152" t="s">
        <v>595</v>
      </c>
      <c r="F28" s="152">
        <v>8</v>
      </c>
      <c r="G28" s="152">
        <v>33</v>
      </c>
      <c r="H28" s="78">
        <v>138.24</v>
      </c>
      <c r="I28" s="31">
        <v>16384</v>
      </c>
      <c r="J28" s="152" t="s">
        <v>581</v>
      </c>
      <c r="K28" s="156" t="s">
        <v>579</v>
      </c>
      <c r="L28" s="152">
        <v>2.6</v>
      </c>
      <c r="M28" s="152"/>
      <c r="N28" s="152"/>
      <c r="O28" s="152"/>
      <c r="P28" s="152"/>
      <c r="Q28" s="152"/>
      <c r="R28" s="152"/>
      <c r="S28" s="152"/>
      <c r="T28" s="152"/>
      <c r="U28" s="152"/>
      <c r="V28" s="152"/>
      <c r="W28" s="152"/>
      <c r="X28" s="152"/>
      <c r="Y28" s="152"/>
      <c r="Z28" s="152"/>
      <c r="AA28" s="152"/>
      <c r="AB28" s="152"/>
      <c r="AC28" s="152"/>
      <c r="AD28" s="152"/>
      <c r="AE28" s="152"/>
      <c r="AF28" s="152"/>
      <c r="AG28" s="78">
        <f t="shared" si="0"/>
        <v>276.48</v>
      </c>
      <c r="AH28" s="152" t="s">
        <v>581</v>
      </c>
      <c r="AI28" s="156" t="s">
        <v>579</v>
      </c>
      <c r="AJ28" s="152" t="s">
        <v>575</v>
      </c>
      <c r="AK28" s="152"/>
      <c r="AL28" s="152"/>
      <c r="AM28" s="152"/>
      <c r="AN28" s="152"/>
      <c r="AO28" s="152"/>
      <c r="AP28" s="152"/>
      <c r="AQ28" s="152"/>
      <c r="AR28" s="152"/>
      <c r="AS28" s="152"/>
      <c r="AT28" s="152"/>
      <c r="AU28" s="152"/>
      <c r="AV28" s="152"/>
      <c r="AW28" s="152"/>
      <c r="AX28" s="152"/>
      <c r="AY28" s="152"/>
      <c r="AZ28" s="152"/>
      <c r="BA28" s="152">
        <v>2</v>
      </c>
      <c r="BB28" s="152" t="s">
        <v>329</v>
      </c>
      <c r="BC28" s="152"/>
      <c r="BD28" s="152"/>
      <c r="BE28" s="152">
        <v>2</v>
      </c>
      <c r="BF28" s="152"/>
      <c r="BG28" s="152"/>
      <c r="BH28" s="152" t="s">
        <v>329</v>
      </c>
      <c r="BI28" s="152"/>
      <c r="BJ28" s="152"/>
      <c r="BK28" s="152"/>
      <c r="BL28" s="152"/>
    </row>
    <row r="29" spans="1:64">
      <c r="A29" s="156" t="s">
        <v>486</v>
      </c>
      <c r="B29" s="152"/>
      <c r="C29" s="156" t="s">
        <v>326</v>
      </c>
      <c r="D29" s="156" t="s">
        <v>73</v>
      </c>
      <c r="E29" s="152" t="s">
        <v>595</v>
      </c>
      <c r="F29" s="152">
        <v>8</v>
      </c>
      <c r="G29" s="152">
        <v>33</v>
      </c>
      <c r="H29" s="78">
        <v>138.24</v>
      </c>
      <c r="I29" s="31">
        <v>16384</v>
      </c>
      <c r="J29" s="152" t="s">
        <v>581</v>
      </c>
      <c r="K29" s="156" t="s">
        <v>579</v>
      </c>
      <c r="L29" s="152">
        <v>2.6</v>
      </c>
      <c r="M29" s="152"/>
      <c r="N29" s="152"/>
      <c r="O29" s="152"/>
      <c r="P29" s="152"/>
      <c r="Q29" s="152"/>
      <c r="R29" s="152"/>
      <c r="S29" s="152"/>
      <c r="T29" s="152"/>
      <c r="U29" s="152"/>
      <c r="V29" s="152"/>
      <c r="W29" s="152"/>
      <c r="X29" s="152"/>
      <c r="Y29" s="152"/>
      <c r="Z29" s="152"/>
      <c r="AA29" s="152"/>
      <c r="AB29" s="152"/>
      <c r="AC29" s="152"/>
      <c r="AD29" s="152"/>
      <c r="AE29" s="152"/>
      <c r="AF29" s="152"/>
      <c r="AG29" s="78">
        <f t="shared" si="0"/>
        <v>276.48</v>
      </c>
      <c r="AH29" s="152" t="s">
        <v>581</v>
      </c>
      <c r="AI29" s="156" t="s">
        <v>579</v>
      </c>
      <c r="AJ29" s="152" t="s">
        <v>575</v>
      </c>
      <c r="AK29" s="152"/>
      <c r="AL29" s="152"/>
      <c r="AM29" s="152"/>
      <c r="AN29" s="152"/>
      <c r="AO29" s="152"/>
      <c r="AP29" s="152"/>
      <c r="AQ29" s="152"/>
      <c r="AR29" s="152"/>
      <c r="AS29" s="152"/>
      <c r="AT29" s="152"/>
      <c r="AU29" s="152"/>
      <c r="AV29" s="152"/>
      <c r="AW29" s="152"/>
      <c r="AX29" s="152"/>
      <c r="AY29" s="152"/>
      <c r="AZ29" s="152"/>
      <c r="BA29" s="152">
        <v>2</v>
      </c>
      <c r="BB29" s="152" t="s">
        <v>329</v>
      </c>
      <c r="BC29" s="152"/>
      <c r="BD29" s="152"/>
      <c r="BE29" s="152">
        <v>2</v>
      </c>
      <c r="BF29" s="152"/>
      <c r="BG29" s="152"/>
      <c r="BH29" s="152" t="s">
        <v>329</v>
      </c>
      <c r="BI29" s="152"/>
      <c r="BJ29" s="152"/>
      <c r="BK29" s="152"/>
      <c r="BL29" s="152"/>
    </row>
    <row r="30" spans="1:64">
      <c r="A30" s="156" t="s">
        <v>487</v>
      </c>
      <c r="B30" s="152"/>
      <c r="C30" s="156" t="s">
        <v>326</v>
      </c>
      <c r="D30" s="156" t="s">
        <v>73</v>
      </c>
      <c r="E30" s="152" t="s">
        <v>595</v>
      </c>
      <c r="F30" s="152">
        <v>8</v>
      </c>
      <c r="G30" s="152">
        <v>33</v>
      </c>
      <c r="H30" s="78">
        <v>138.24</v>
      </c>
      <c r="I30" s="31">
        <v>16384</v>
      </c>
      <c r="J30" s="152" t="s">
        <v>581</v>
      </c>
      <c r="K30" s="156" t="s">
        <v>579</v>
      </c>
      <c r="L30" s="152">
        <v>2.6</v>
      </c>
      <c r="M30" s="152"/>
      <c r="N30" s="152"/>
      <c r="O30" s="152"/>
      <c r="P30" s="152"/>
      <c r="Q30" s="152"/>
      <c r="R30" s="152"/>
      <c r="S30" s="152"/>
      <c r="T30" s="152"/>
      <c r="U30" s="152"/>
      <c r="V30" s="152"/>
      <c r="W30" s="152"/>
      <c r="X30" s="152"/>
      <c r="Y30" s="152"/>
      <c r="Z30" s="152"/>
      <c r="AA30" s="152"/>
      <c r="AB30" s="152"/>
      <c r="AC30" s="152"/>
      <c r="AD30" s="152"/>
      <c r="AE30" s="152"/>
      <c r="AF30" s="152"/>
      <c r="AG30" s="78">
        <f t="shared" si="0"/>
        <v>276.48</v>
      </c>
      <c r="AH30" s="152" t="s">
        <v>581</v>
      </c>
      <c r="AI30" s="156" t="s">
        <v>579</v>
      </c>
      <c r="AJ30" s="152" t="s">
        <v>575</v>
      </c>
      <c r="AK30" s="152"/>
      <c r="AL30" s="152"/>
      <c r="AM30" s="152"/>
      <c r="AN30" s="152"/>
      <c r="AO30" s="152"/>
      <c r="AP30" s="152"/>
      <c r="AQ30" s="152"/>
      <c r="AR30" s="152"/>
      <c r="AS30" s="152"/>
      <c r="AT30" s="152"/>
      <c r="AU30" s="152"/>
      <c r="AV30" s="152"/>
      <c r="AW30" s="152"/>
      <c r="AX30" s="152"/>
      <c r="AY30" s="152"/>
      <c r="AZ30" s="152"/>
      <c r="BA30" s="152">
        <v>2</v>
      </c>
      <c r="BB30" s="152" t="s">
        <v>329</v>
      </c>
      <c r="BC30" s="152"/>
      <c r="BD30" s="152"/>
      <c r="BE30" s="152">
        <v>2</v>
      </c>
      <c r="BF30" s="152"/>
      <c r="BG30" s="152"/>
      <c r="BH30" s="152" t="s">
        <v>329</v>
      </c>
      <c r="BI30" s="152"/>
      <c r="BJ30" s="152"/>
      <c r="BK30" s="152"/>
      <c r="BL30" s="152"/>
    </row>
    <row r="31" spans="1:64">
      <c r="A31" s="156" t="s">
        <v>488</v>
      </c>
      <c r="B31" s="152"/>
      <c r="C31" s="11" t="s">
        <v>362</v>
      </c>
      <c r="D31" s="156" t="s">
        <v>75</v>
      </c>
      <c r="E31" s="152" t="s">
        <v>596</v>
      </c>
      <c r="F31" s="152">
        <v>4</v>
      </c>
      <c r="G31" s="152">
        <v>4</v>
      </c>
      <c r="H31" s="78">
        <v>102.4</v>
      </c>
      <c r="I31" s="31">
        <v>0</v>
      </c>
      <c r="J31" s="152" t="s">
        <v>578</v>
      </c>
      <c r="K31" s="156" t="s">
        <v>579</v>
      </c>
      <c r="L31" s="152">
        <v>100</v>
      </c>
      <c r="M31" s="152"/>
      <c r="N31" s="152"/>
      <c r="O31" s="152"/>
      <c r="P31" s="152"/>
      <c r="Q31" s="152"/>
      <c r="R31" s="152"/>
      <c r="S31" s="152"/>
      <c r="T31" s="152"/>
      <c r="U31" s="152"/>
      <c r="V31" s="152"/>
      <c r="W31" s="152"/>
      <c r="X31" s="152"/>
      <c r="Y31" s="152"/>
      <c r="Z31" s="152"/>
      <c r="AA31" s="152"/>
      <c r="AB31" s="152"/>
      <c r="AC31" s="152"/>
      <c r="AD31" s="152"/>
      <c r="AE31" s="152"/>
      <c r="AF31" s="152"/>
      <c r="AG31" s="78">
        <f t="shared" si="0"/>
        <v>204.8</v>
      </c>
      <c r="AH31" s="152" t="s">
        <v>581</v>
      </c>
      <c r="AI31" s="156" t="s">
        <v>579</v>
      </c>
      <c r="AJ31" s="152" t="s">
        <v>575</v>
      </c>
      <c r="AK31" s="152"/>
      <c r="AL31" s="152"/>
      <c r="AM31" s="152"/>
      <c r="AN31" s="152"/>
      <c r="AO31" s="152"/>
      <c r="AP31" s="152"/>
      <c r="AQ31" s="152"/>
      <c r="AR31" s="152"/>
      <c r="AS31" s="152"/>
      <c r="AT31" s="152"/>
      <c r="AU31" s="152"/>
      <c r="AV31" s="152"/>
      <c r="AW31" s="152"/>
      <c r="AX31" s="152"/>
      <c r="AY31" s="152"/>
      <c r="AZ31" s="152"/>
      <c r="BA31" s="152">
        <v>4</v>
      </c>
      <c r="BB31" s="152" t="s">
        <v>329</v>
      </c>
      <c r="BC31" s="152"/>
      <c r="BD31" s="152"/>
      <c r="BE31" s="152">
        <v>2</v>
      </c>
      <c r="BF31" s="152"/>
      <c r="BG31" s="152"/>
      <c r="BH31" s="152" t="s">
        <v>329</v>
      </c>
      <c r="BI31" s="152"/>
      <c r="BJ31" s="152"/>
      <c r="BK31" s="152"/>
      <c r="BL31" s="152"/>
    </row>
    <row r="32" spans="1:64">
      <c r="A32" s="156" t="s">
        <v>489</v>
      </c>
      <c r="B32" s="152"/>
      <c r="C32" s="11" t="s">
        <v>362</v>
      </c>
      <c r="D32" s="156" t="s">
        <v>79</v>
      </c>
      <c r="E32" s="152" t="s">
        <v>597</v>
      </c>
      <c r="F32" s="152">
        <v>4</v>
      </c>
      <c r="G32" s="152">
        <v>16</v>
      </c>
      <c r="H32" s="78">
        <v>102.4</v>
      </c>
      <c r="I32" s="31">
        <v>0</v>
      </c>
      <c r="J32" s="152" t="s">
        <v>578</v>
      </c>
      <c r="K32" s="156" t="s">
        <v>579</v>
      </c>
      <c r="L32" s="152">
        <v>110</v>
      </c>
      <c r="M32" s="152"/>
      <c r="N32" s="152"/>
      <c r="O32" s="152"/>
      <c r="P32" s="152"/>
      <c r="Q32" s="152"/>
      <c r="R32" s="152"/>
      <c r="S32" s="152"/>
      <c r="T32" s="152"/>
      <c r="U32" s="152"/>
      <c r="V32" s="152"/>
      <c r="W32" s="152"/>
      <c r="X32" s="152"/>
      <c r="Y32" s="152"/>
      <c r="Z32" s="152"/>
      <c r="AA32" s="152"/>
      <c r="AB32" s="152"/>
      <c r="AC32" s="152"/>
      <c r="AD32" s="152"/>
      <c r="AE32" s="152"/>
      <c r="AF32" s="152"/>
      <c r="AG32" s="78">
        <f t="shared" si="0"/>
        <v>204.8</v>
      </c>
      <c r="AH32" s="152" t="s">
        <v>581</v>
      </c>
      <c r="AI32" s="156" t="s">
        <v>579</v>
      </c>
      <c r="AJ32" s="152" t="s">
        <v>575</v>
      </c>
      <c r="AK32" s="152"/>
      <c r="AL32" s="152"/>
      <c r="AM32" s="152"/>
      <c r="AN32" s="152"/>
      <c r="AO32" s="152"/>
      <c r="AP32" s="152"/>
      <c r="AQ32" s="152"/>
      <c r="AR32" s="152"/>
      <c r="AS32" s="152"/>
      <c r="AT32" s="152"/>
      <c r="AU32" s="152"/>
      <c r="AV32" s="152"/>
      <c r="AW32" s="152"/>
      <c r="AX32" s="152"/>
      <c r="AY32" s="152"/>
      <c r="AZ32" s="152"/>
      <c r="BA32" s="152">
        <v>4</v>
      </c>
      <c r="BB32" s="152" t="s">
        <v>329</v>
      </c>
      <c r="BC32" s="152"/>
      <c r="BD32" s="152"/>
      <c r="BE32" s="152">
        <v>2</v>
      </c>
      <c r="BF32" s="152"/>
      <c r="BG32" s="152"/>
      <c r="BH32" s="152" t="s">
        <v>329</v>
      </c>
      <c r="BI32" s="152"/>
      <c r="BJ32" s="152"/>
      <c r="BK32" s="152"/>
      <c r="BL32" s="152"/>
    </row>
    <row r="33" spans="1:64">
      <c r="A33" s="156" t="s">
        <v>364</v>
      </c>
      <c r="B33" s="152"/>
      <c r="C33" s="11" t="s">
        <v>362</v>
      </c>
      <c r="D33" s="156" t="s">
        <v>77</v>
      </c>
      <c r="E33" s="152" t="s">
        <v>598</v>
      </c>
      <c r="F33" s="152">
        <v>4</v>
      </c>
      <c r="G33" s="152">
        <v>14</v>
      </c>
      <c r="H33" s="78">
        <v>102.4</v>
      </c>
      <c r="I33" s="31">
        <v>0</v>
      </c>
      <c r="J33" s="152" t="s">
        <v>578</v>
      </c>
      <c r="K33" s="156" t="s">
        <v>579</v>
      </c>
      <c r="L33" s="152">
        <v>100</v>
      </c>
      <c r="M33" s="152"/>
      <c r="N33" s="152"/>
      <c r="O33" s="152"/>
      <c r="P33" s="152"/>
      <c r="Q33" s="152"/>
      <c r="R33" s="152"/>
      <c r="S33" s="152"/>
      <c r="T33" s="152"/>
      <c r="U33" s="152"/>
      <c r="V33" s="152"/>
      <c r="W33" s="152"/>
      <c r="X33" s="152"/>
      <c r="Y33" s="152"/>
      <c r="Z33" s="152"/>
      <c r="AA33" s="152"/>
      <c r="AB33" s="152"/>
      <c r="AC33" s="152"/>
      <c r="AD33" s="152"/>
      <c r="AE33" s="152"/>
      <c r="AF33" s="152"/>
      <c r="AG33" s="78">
        <f t="shared" si="0"/>
        <v>204.8</v>
      </c>
      <c r="AH33" s="152" t="s">
        <v>581</v>
      </c>
      <c r="AI33" s="156" t="s">
        <v>579</v>
      </c>
      <c r="AJ33" s="152" t="s">
        <v>575</v>
      </c>
      <c r="AK33" s="152"/>
      <c r="AL33" s="152"/>
      <c r="AM33" s="152"/>
      <c r="AN33" s="152"/>
      <c r="AO33" s="152"/>
      <c r="AP33" s="152"/>
      <c r="AQ33" s="152"/>
      <c r="AR33" s="152"/>
      <c r="AS33" s="152"/>
      <c r="AT33" s="152"/>
      <c r="AU33" s="152"/>
      <c r="AV33" s="152"/>
      <c r="AW33" s="152"/>
      <c r="AX33" s="152"/>
      <c r="AY33" s="152"/>
      <c r="AZ33" s="152"/>
      <c r="BA33" s="152">
        <v>4</v>
      </c>
      <c r="BB33" s="152" t="s">
        <v>329</v>
      </c>
      <c r="BC33" s="152"/>
      <c r="BD33" s="152"/>
      <c r="BE33" s="152">
        <v>2</v>
      </c>
      <c r="BF33" s="152"/>
      <c r="BG33" s="152"/>
      <c r="BH33" s="152" t="s">
        <v>329</v>
      </c>
      <c r="BI33" s="152"/>
      <c r="BJ33" s="152"/>
      <c r="BK33" s="152"/>
      <c r="BL33" s="152"/>
    </row>
    <row r="34" spans="1:64">
      <c r="A34" s="156" t="s">
        <v>365</v>
      </c>
      <c r="B34" s="152"/>
      <c r="C34" s="156" t="s">
        <v>326</v>
      </c>
      <c r="D34" s="156" t="s">
        <v>81</v>
      </c>
      <c r="E34" s="152" t="s">
        <v>599</v>
      </c>
      <c r="F34" s="152">
        <v>9</v>
      </c>
      <c r="G34" s="152">
        <v>12</v>
      </c>
      <c r="H34" s="78">
        <v>46.08</v>
      </c>
      <c r="I34" s="31">
        <v>16384</v>
      </c>
      <c r="J34" s="152" t="s">
        <v>581</v>
      </c>
      <c r="K34" s="156" t="s">
        <v>579</v>
      </c>
      <c r="L34" s="152">
        <v>2.6</v>
      </c>
      <c r="M34" s="152"/>
      <c r="N34" s="152"/>
      <c r="O34" s="152"/>
      <c r="P34" s="152"/>
      <c r="Q34" s="152"/>
      <c r="R34" s="152"/>
      <c r="S34" s="152"/>
      <c r="T34" s="152"/>
      <c r="U34" s="152"/>
      <c r="V34" s="152"/>
      <c r="W34" s="152"/>
      <c r="X34" s="152"/>
      <c r="Y34" s="152"/>
      <c r="Z34" s="152"/>
      <c r="AA34" s="152"/>
      <c r="AB34" s="152"/>
      <c r="AC34" s="152"/>
      <c r="AD34" s="152"/>
      <c r="AE34" s="152"/>
      <c r="AF34" s="152"/>
      <c r="AG34" s="78">
        <f>2*(H34+AK34)</f>
        <v>184.32</v>
      </c>
      <c r="AH34" s="152" t="s">
        <v>581</v>
      </c>
      <c r="AI34" s="156" t="s">
        <v>579</v>
      </c>
      <c r="AJ34" s="152" t="s">
        <v>575</v>
      </c>
      <c r="AK34" s="78">
        <v>46.08</v>
      </c>
      <c r="AL34" s="152" t="s">
        <v>581</v>
      </c>
      <c r="AM34" s="156" t="s">
        <v>579</v>
      </c>
      <c r="AN34" s="152">
        <f>50/1000</f>
        <v>0.05</v>
      </c>
      <c r="AO34" s="152"/>
      <c r="AP34" s="152"/>
      <c r="AQ34" s="152"/>
      <c r="AR34" s="152"/>
      <c r="AS34" s="152"/>
      <c r="AT34" s="152"/>
      <c r="AU34" s="152"/>
      <c r="AV34" s="152"/>
      <c r="AW34" s="152"/>
      <c r="AX34" s="152"/>
      <c r="AY34" s="152"/>
      <c r="AZ34" s="152"/>
      <c r="BA34" s="152">
        <v>3</v>
      </c>
      <c r="BB34" s="152" t="s">
        <v>329</v>
      </c>
      <c r="BC34" s="152"/>
      <c r="BD34" s="152"/>
      <c r="BE34" s="152">
        <v>2</v>
      </c>
      <c r="BF34" s="152"/>
      <c r="BG34" s="152"/>
      <c r="BH34" s="152" t="s">
        <v>329</v>
      </c>
      <c r="BI34" s="152"/>
      <c r="BJ34" s="152"/>
      <c r="BK34" s="152"/>
      <c r="BL34" s="152"/>
    </row>
    <row r="35" spans="1:64">
      <c r="A35" s="156" t="s">
        <v>367</v>
      </c>
      <c r="B35" s="152"/>
      <c r="C35" s="156" t="s">
        <v>326</v>
      </c>
      <c r="D35" s="156" t="s">
        <v>81</v>
      </c>
      <c r="E35" s="152" t="s">
        <v>599</v>
      </c>
      <c r="F35" s="152">
        <v>9</v>
      </c>
      <c r="G35" s="152">
        <v>12</v>
      </c>
      <c r="H35" s="78">
        <v>46.08</v>
      </c>
      <c r="I35" s="31">
        <v>16384</v>
      </c>
      <c r="J35" s="152" t="s">
        <v>581</v>
      </c>
      <c r="K35" s="156" t="s">
        <v>579</v>
      </c>
      <c r="L35" s="152">
        <v>2.6</v>
      </c>
      <c r="M35" s="152"/>
      <c r="N35" s="152"/>
      <c r="O35" s="152"/>
      <c r="P35" s="152"/>
      <c r="Q35" s="152"/>
      <c r="R35" s="152"/>
      <c r="S35" s="152"/>
      <c r="T35" s="152"/>
      <c r="U35" s="152"/>
      <c r="V35" s="152"/>
      <c r="W35" s="152"/>
      <c r="X35" s="152"/>
      <c r="Y35" s="152"/>
      <c r="Z35" s="152"/>
      <c r="AA35" s="152"/>
      <c r="AB35" s="152"/>
      <c r="AC35" s="152"/>
      <c r="AD35" s="152"/>
      <c r="AE35" s="152"/>
      <c r="AF35" s="152"/>
      <c r="AG35" s="78">
        <f>2*(H35+AK35)</f>
        <v>184.32</v>
      </c>
      <c r="AH35" s="152" t="s">
        <v>581</v>
      </c>
      <c r="AI35" s="156" t="s">
        <v>579</v>
      </c>
      <c r="AJ35" s="152" t="s">
        <v>575</v>
      </c>
      <c r="AK35" s="78">
        <v>46.08</v>
      </c>
      <c r="AL35" s="152" t="s">
        <v>581</v>
      </c>
      <c r="AM35" s="156" t="s">
        <v>579</v>
      </c>
      <c r="AN35" s="152">
        <f>50/1000</f>
        <v>0.05</v>
      </c>
      <c r="AO35" s="152"/>
      <c r="AP35" s="152"/>
      <c r="AQ35" s="152"/>
      <c r="AR35" s="152"/>
      <c r="AS35" s="152"/>
      <c r="AT35" s="152"/>
      <c r="AU35" s="152"/>
      <c r="AV35" s="152"/>
      <c r="AW35" s="152"/>
      <c r="AX35" s="152"/>
      <c r="AY35" s="152"/>
      <c r="AZ35" s="152"/>
      <c r="BA35" s="152">
        <v>3</v>
      </c>
      <c r="BB35" s="152" t="s">
        <v>329</v>
      </c>
      <c r="BC35" s="152"/>
      <c r="BD35" s="152"/>
      <c r="BE35" s="152">
        <v>2</v>
      </c>
      <c r="BF35" s="152"/>
      <c r="BG35" s="152"/>
      <c r="BH35" s="152" t="s">
        <v>329</v>
      </c>
      <c r="BI35" s="152"/>
      <c r="BJ35" s="152"/>
      <c r="BK35" s="152"/>
      <c r="BL35" s="152"/>
    </row>
    <row r="36" spans="1:64">
      <c r="A36" s="156" t="s">
        <v>368</v>
      </c>
      <c r="B36" s="152"/>
      <c r="C36" s="156" t="s">
        <v>326</v>
      </c>
      <c r="D36" s="156" t="s">
        <v>369</v>
      </c>
      <c r="E36" s="152" t="s">
        <v>600</v>
      </c>
      <c r="F36" s="152">
        <v>4</v>
      </c>
      <c r="G36" s="152">
        <v>4</v>
      </c>
      <c r="H36" s="78">
        <v>40.96</v>
      </c>
      <c r="I36" s="31">
        <v>4096</v>
      </c>
      <c r="J36" s="152" t="s">
        <v>581</v>
      </c>
      <c r="K36" s="156" t="s">
        <v>579</v>
      </c>
      <c r="L36" s="152">
        <v>2.6</v>
      </c>
      <c r="M36" s="152"/>
      <c r="N36" s="152"/>
      <c r="O36" s="152"/>
      <c r="P36" s="152"/>
      <c r="Q36" s="152"/>
      <c r="R36" s="152"/>
      <c r="S36" s="152"/>
      <c r="T36" s="152"/>
      <c r="U36" s="152"/>
      <c r="V36" s="152"/>
      <c r="W36" s="152"/>
      <c r="X36" s="152"/>
      <c r="Y36" s="152"/>
      <c r="Z36" s="152"/>
      <c r="AA36" s="152"/>
      <c r="AB36" s="152"/>
      <c r="AC36" s="152"/>
      <c r="AD36" s="152"/>
      <c r="AE36" s="152"/>
      <c r="AF36" s="152"/>
      <c r="AG36" s="78">
        <f t="shared" si="0"/>
        <v>81.92</v>
      </c>
      <c r="AH36" s="152" t="s">
        <v>581</v>
      </c>
      <c r="AI36" s="156" t="s">
        <v>579</v>
      </c>
      <c r="AJ36" s="152" t="s">
        <v>575</v>
      </c>
      <c r="AK36" s="152"/>
      <c r="AL36" s="152"/>
      <c r="AM36" s="152"/>
      <c r="AN36" s="152"/>
      <c r="AO36" s="152"/>
      <c r="AP36" s="152"/>
      <c r="AQ36" s="152"/>
      <c r="AR36" s="152"/>
      <c r="AS36" s="152"/>
      <c r="AT36" s="152"/>
      <c r="AU36" s="152"/>
      <c r="AV36" s="152"/>
      <c r="AW36" s="152"/>
      <c r="AX36" s="152"/>
      <c r="AY36" s="152"/>
      <c r="AZ36" s="152"/>
      <c r="BA36" s="152">
        <v>2</v>
      </c>
      <c r="BB36" s="152" t="s">
        <v>329</v>
      </c>
      <c r="BC36" s="152"/>
      <c r="BD36" s="152"/>
      <c r="BE36" s="152">
        <v>2</v>
      </c>
      <c r="BF36" s="152"/>
      <c r="BG36" s="152"/>
      <c r="BH36" s="152" t="s">
        <v>329</v>
      </c>
      <c r="BI36" s="152"/>
      <c r="BJ36" s="152"/>
      <c r="BK36" s="152"/>
      <c r="BL36" s="152"/>
    </row>
    <row r="37" spans="1:64">
      <c r="A37" s="156" t="s">
        <v>370</v>
      </c>
      <c r="B37" s="152"/>
      <c r="C37" s="156" t="s">
        <v>326</v>
      </c>
      <c r="D37" s="156" t="s">
        <v>371</v>
      </c>
      <c r="E37" s="152" t="s">
        <v>600</v>
      </c>
      <c r="F37" s="152">
        <v>4</v>
      </c>
      <c r="G37" s="152">
        <v>4</v>
      </c>
      <c r="H37" s="78">
        <v>40.96</v>
      </c>
      <c r="I37" s="90">
        <v>4096</v>
      </c>
      <c r="J37" s="152" t="s">
        <v>581</v>
      </c>
      <c r="K37" s="156" t="s">
        <v>579</v>
      </c>
      <c r="L37" s="8">
        <v>2.6</v>
      </c>
      <c r="M37" s="8"/>
      <c r="N37" s="8"/>
      <c r="O37" s="8"/>
      <c r="P37" s="8"/>
      <c r="Q37" s="8"/>
      <c r="R37" s="8"/>
      <c r="S37" s="8"/>
      <c r="T37" s="8"/>
      <c r="U37" s="8"/>
      <c r="V37" s="8"/>
      <c r="W37" s="8"/>
      <c r="X37" s="8"/>
      <c r="Y37" s="8"/>
      <c r="Z37" s="8"/>
      <c r="AA37" s="8"/>
      <c r="AB37" s="8"/>
      <c r="AC37" s="8"/>
      <c r="AD37" s="8"/>
      <c r="AE37" s="8"/>
      <c r="AF37" s="8"/>
      <c r="AG37" s="79">
        <f t="shared" si="0"/>
        <v>81.92</v>
      </c>
      <c r="AH37" s="8" t="s">
        <v>581</v>
      </c>
      <c r="AI37" s="13" t="s">
        <v>579</v>
      </c>
      <c r="AJ37" s="8" t="s">
        <v>575</v>
      </c>
      <c r="AK37" s="8"/>
      <c r="AL37" s="8"/>
      <c r="AM37" s="8"/>
      <c r="AN37" s="8"/>
      <c r="AO37" s="8"/>
      <c r="AP37" s="8"/>
      <c r="AQ37" s="8"/>
      <c r="AR37" s="8"/>
      <c r="AS37" s="8"/>
      <c r="AT37" s="8"/>
      <c r="AU37" s="8"/>
      <c r="AV37" s="8"/>
      <c r="AW37" s="8"/>
      <c r="AX37" s="8"/>
      <c r="AY37" s="8"/>
      <c r="AZ37" s="8"/>
      <c r="BA37" s="8">
        <v>2</v>
      </c>
      <c r="BB37" s="8" t="s">
        <v>329</v>
      </c>
      <c r="BC37" s="8"/>
      <c r="BD37" s="8"/>
      <c r="BE37" s="8">
        <v>2</v>
      </c>
      <c r="BF37" s="8"/>
      <c r="BG37" s="8"/>
      <c r="BH37" s="8" t="s">
        <v>329</v>
      </c>
      <c r="BI37" s="8"/>
      <c r="BJ37" s="8"/>
      <c r="BK37" s="8"/>
      <c r="BL37" s="8"/>
    </row>
    <row r="38" spans="1:64">
      <c r="A38" s="10"/>
      <c r="B38" s="10"/>
      <c r="C38" s="10"/>
      <c r="D38" s="10"/>
      <c r="E38" s="9"/>
      <c r="F38" s="9">
        <f>SUM(F8:F37)</f>
        <v>163</v>
      </c>
      <c r="G38" s="9">
        <f>SUM(G8:G37)</f>
        <v>389</v>
      </c>
      <c r="H38" s="80">
        <f>SUM(H8:H37)</f>
        <v>2351.4400000000005</v>
      </c>
      <c r="I38" s="34"/>
      <c r="J38" s="9"/>
      <c r="K38" s="152"/>
      <c r="L38" s="152">
        <f>SUM(L8:L37)</f>
        <v>385.60000000000014</v>
      </c>
      <c r="M38" s="78">
        <f>SUM(M8:M37)</f>
        <v>60.83</v>
      </c>
      <c r="N38" s="78"/>
      <c r="O38" s="78"/>
      <c r="P38" s="78">
        <f>SUM(P8:P37)</f>
        <v>0.05</v>
      </c>
      <c r="Q38" s="78">
        <f>SUM(Q8:Q37)</f>
        <v>1382.4</v>
      </c>
      <c r="R38" s="78"/>
      <c r="S38" s="78"/>
      <c r="T38" s="78">
        <f>SUM(T8:T37)</f>
        <v>0.05</v>
      </c>
      <c r="U38" s="78">
        <f>SUM(U8:U37)</f>
        <v>2073.6</v>
      </c>
      <c r="V38" s="78"/>
      <c r="W38" s="78"/>
      <c r="X38" s="78">
        <f>SUM(X8:X37)</f>
        <v>0.05</v>
      </c>
      <c r="Y38" s="78">
        <f>SUM(Y8:Y37)</f>
        <v>330.7</v>
      </c>
      <c r="Z38" s="78"/>
      <c r="AA38" s="78"/>
      <c r="AB38" s="78">
        <f>SUM(AB8:AB37)</f>
        <v>0.1</v>
      </c>
      <c r="AC38" s="78">
        <f>SUM(AC8:AC37)</f>
        <v>276.48</v>
      </c>
      <c r="AD38" s="78"/>
      <c r="AE38" s="78"/>
      <c r="AF38" s="78">
        <f>SUM(AF8:AF37)</f>
        <v>0</v>
      </c>
      <c r="AG38" s="78">
        <f>SUM(AG8:AG37)</f>
        <v>11359.329999999991</v>
      </c>
      <c r="AH38" s="78"/>
      <c r="AI38" s="78"/>
      <c r="AJ38" s="78"/>
      <c r="AK38" s="78">
        <f>SUM(AK8:AK35)</f>
        <v>92.16</v>
      </c>
      <c r="AL38" s="152"/>
      <c r="AM38" s="152"/>
      <c r="AN38" s="152">
        <f>SUM(AN8:AN37)</f>
        <v>0.1</v>
      </c>
      <c r="AO38" s="152">
        <v>51.2</v>
      </c>
      <c r="AP38" s="152"/>
      <c r="AQ38" s="152"/>
      <c r="AR38" s="152">
        <f>50/1000</f>
        <v>0.05</v>
      </c>
      <c r="AS38" s="152"/>
      <c r="AT38" s="152"/>
      <c r="AU38" s="152"/>
      <c r="AV38" s="152"/>
      <c r="AW38" s="152">
        <f>AW11</f>
        <v>2097.152</v>
      </c>
      <c r="AX38" s="152"/>
      <c r="AY38" s="152"/>
      <c r="AZ38" s="152">
        <v>0.05</v>
      </c>
      <c r="BA38" s="152">
        <f>SUM(BA8:BA37)</f>
        <v>76</v>
      </c>
      <c r="BB38" s="152">
        <f>COUNTIF(BB8:BB37,"x")</f>
        <v>30</v>
      </c>
      <c r="BC38" s="152">
        <v>2</v>
      </c>
      <c r="BD38" s="152">
        <v>1</v>
      </c>
      <c r="BE38" s="152">
        <f>SUM(BE9:BE37)</f>
        <v>58</v>
      </c>
      <c r="BF38" s="152">
        <v>1</v>
      </c>
      <c r="BG38" s="152">
        <f>COUNTIF(BG8:BG37,"x")</f>
        <v>0</v>
      </c>
      <c r="BH38" s="152">
        <f>COUNTIF(BH8:BH37,"x")</f>
        <v>29</v>
      </c>
      <c r="BI38" s="152" t="s">
        <v>601</v>
      </c>
      <c r="BJ38" s="152">
        <v>2</v>
      </c>
      <c r="BK38" s="152">
        <v>4</v>
      </c>
      <c r="BL38" s="152">
        <v>2</v>
      </c>
    </row>
    <row r="39" spans="1:64">
      <c r="A39" s="156"/>
      <c r="B39" s="156"/>
      <c r="C39" s="156"/>
      <c r="D39" s="156"/>
      <c r="E39" s="152"/>
      <c r="F39" s="152"/>
      <c r="G39" s="152"/>
      <c r="H39" s="152"/>
      <c r="I39" s="31"/>
      <c r="J39" s="152"/>
      <c r="K39" s="152"/>
      <c r="L39" s="152"/>
      <c r="M39" s="152"/>
      <c r="N39" s="152"/>
      <c r="O39" s="152"/>
      <c r="P39" s="152"/>
      <c r="Q39" s="152"/>
      <c r="R39" s="152"/>
      <c r="S39" s="152"/>
      <c r="T39" s="152"/>
      <c r="U39" s="152"/>
      <c r="V39" s="152"/>
      <c r="W39" s="152"/>
      <c r="X39" s="152"/>
      <c r="Y39" s="152"/>
      <c r="Z39" s="152"/>
      <c r="AA39" s="152"/>
      <c r="AB39" s="152"/>
      <c r="AC39" s="152"/>
      <c r="AD39" s="152"/>
      <c r="AE39" s="152"/>
      <c r="AF39" s="152"/>
      <c r="AG39" s="152"/>
      <c r="AH39" s="152"/>
      <c r="AI39" s="152"/>
      <c r="AJ39" s="152"/>
      <c r="AK39" s="156"/>
      <c r="AL39" s="156"/>
      <c r="AM39" s="156"/>
      <c r="AN39" s="156"/>
      <c r="AO39" s="156"/>
      <c r="AP39" s="156"/>
      <c r="AQ39" s="156"/>
      <c r="AR39" s="156"/>
      <c r="AS39" s="156"/>
      <c r="AT39" s="156"/>
      <c r="AU39" s="156"/>
      <c r="AV39" s="156"/>
      <c r="AW39" s="156"/>
      <c r="AX39" s="156"/>
      <c r="AY39" s="156"/>
      <c r="AZ39" s="156"/>
      <c r="BA39" s="152"/>
      <c r="BB39" s="156"/>
      <c r="BC39" s="156"/>
      <c r="BD39" s="156"/>
      <c r="BE39" s="156"/>
      <c r="BF39" s="156"/>
      <c r="BG39" s="156"/>
      <c r="BH39" s="156"/>
      <c r="BI39" s="156"/>
      <c r="BJ39" s="156"/>
      <c r="BK39" s="156"/>
      <c r="BL39" s="156"/>
    </row>
    <row r="40" spans="1:64">
      <c r="A40" s="7" t="s">
        <v>602</v>
      </c>
      <c r="B40" s="156"/>
      <c r="C40" s="156"/>
      <c r="D40" s="156"/>
      <c r="E40" s="156"/>
      <c r="F40" s="156"/>
      <c r="G40" s="156"/>
      <c r="H40" s="156"/>
      <c r="I40" s="45"/>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2"/>
      <c r="BB40" s="156"/>
      <c r="BC40" s="156"/>
      <c r="BD40" s="156"/>
      <c r="BE40" s="156"/>
      <c r="BF40" s="156"/>
      <c r="BG40" s="156"/>
      <c r="BH40" s="156"/>
      <c r="BI40" s="156"/>
      <c r="BJ40" s="156"/>
      <c r="BK40" s="156"/>
      <c r="BL40" s="156"/>
    </row>
    <row r="41" spans="1:64">
      <c r="A41" s="156"/>
      <c r="B41" s="156"/>
      <c r="C41" s="156"/>
      <c r="D41" s="156"/>
      <c r="E41" s="156"/>
      <c r="F41" s="156"/>
      <c r="G41" s="156"/>
      <c r="H41" s="156"/>
      <c r="I41" s="45"/>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2"/>
      <c r="BB41" s="156"/>
      <c r="BC41" s="156"/>
      <c r="BD41" s="156"/>
      <c r="BE41" s="156"/>
      <c r="BF41" s="156"/>
      <c r="BG41" s="156"/>
      <c r="BH41" s="156"/>
      <c r="BI41" s="156"/>
      <c r="BJ41" s="156"/>
      <c r="BK41" s="156"/>
      <c r="BL41" s="156"/>
    </row>
    <row r="42" spans="1:64">
      <c r="A42" s="156" t="s">
        <v>381</v>
      </c>
      <c r="B42" s="156"/>
      <c r="C42" s="156" t="s">
        <v>326</v>
      </c>
      <c r="D42" s="156" t="s">
        <v>10</v>
      </c>
      <c r="E42" s="152" t="s">
        <v>603</v>
      </c>
      <c r="F42" s="152">
        <v>8</v>
      </c>
      <c r="G42" s="152">
        <v>32</v>
      </c>
      <c r="H42" s="82">
        <v>71.680000000000007</v>
      </c>
      <c r="I42" s="31">
        <v>16384</v>
      </c>
      <c r="J42" s="152" t="s">
        <v>581</v>
      </c>
      <c r="K42" s="156" t="s">
        <v>579</v>
      </c>
      <c r="L42" s="152">
        <v>2.6</v>
      </c>
      <c r="M42" s="152"/>
      <c r="N42" s="152"/>
      <c r="O42" s="152"/>
      <c r="P42" s="152"/>
      <c r="Q42" s="152"/>
      <c r="R42" s="152"/>
      <c r="S42" s="152"/>
      <c r="T42" s="152"/>
      <c r="U42" s="152"/>
      <c r="V42" s="152"/>
      <c r="W42" s="152"/>
      <c r="X42" s="152"/>
      <c r="Y42" s="152"/>
      <c r="Z42" s="152"/>
      <c r="AA42" s="152"/>
      <c r="AB42" s="152"/>
      <c r="AC42" s="152"/>
      <c r="AD42" s="152"/>
      <c r="AE42" s="152"/>
      <c r="AF42" s="152"/>
      <c r="AG42" s="78">
        <f t="shared" ref="AG42:AG60" si="1">2*H42</f>
        <v>143.36000000000001</v>
      </c>
      <c r="AH42" s="152" t="s">
        <v>581</v>
      </c>
      <c r="AI42" s="156" t="s">
        <v>579</v>
      </c>
      <c r="AJ42" s="152" t="s">
        <v>575</v>
      </c>
      <c r="AK42" s="156"/>
      <c r="AL42" s="156"/>
      <c r="AM42" s="156"/>
      <c r="AN42" s="156"/>
      <c r="AO42" s="156"/>
      <c r="AP42" s="156"/>
      <c r="AQ42" s="156"/>
      <c r="AR42" s="156"/>
      <c r="AS42" s="156"/>
      <c r="AT42" s="156"/>
      <c r="AU42" s="156"/>
      <c r="AV42" s="156"/>
      <c r="AW42" s="156"/>
      <c r="AX42" s="156"/>
      <c r="AY42" s="156"/>
      <c r="AZ42" s="156"/>
      <c r="BA42" s="152">
        <v>2</v>
      </c>
      <c r="BB42" s="152" t="s">
        <v>329</v>
      </c>
      <c r="BC42" s="152"/>
      <c r="BD42" s="152"/>
      <c r="BE42" s="152">
        <v>2</v>
      </c>
      <c r="BF42" s="152"/>
      <c r="BG42" s="152" t="s">
        <v>329</v>
      </c>
      <c r="BH42" s="152" t="s">
        <v>329</v>
      </c>
      <c r="BI42" s="152"/>
      <c r="BJ42" s="152"/>
      <c r="BK42" s="152"/>
      <c r="BL42" s="152"/>
    </row>
    <row r="43" spans="1:64">
      <c r="A43" s="156" t="s">
        <v>382</v>
      </c>
      <c r="B43" s="156"/>
      <c r="C43" s="11" t="s">
        <v>362</v>
      </c>
      <c r="D43" s="156" t="s">
        <v>75</v>
      </c>
      <c r="E43" s="152" t="s">
        <v>596</v>
      </c>
      <c r="F43" s="152">
        <v>4</v>
      </c>
      <c r="G43" s="152">
        <v>4</v>
      </c>
      <c r="H43" s="78">
        <v>102.4</v>
      </c>
      <c r="I43" s="31">
        <v>0</v>
      </c>
      <c r="J43" s="152" t="s">
        <v>578</v>
      </c>
      <c r="K43" s="156" t="s">
        <v>579</v>
      </c>
      <c r="L43" s="152">
        <v>100</v>
      </c>
      <c r="M43" s="152"/>
      <c r="N43" s="152"/>
      <c r="O43" s="152"/>
      <c r="P43" s="152"/>
      <c r="Q43" s="152"/>
      <c r="R43" s="152"/>
      <c r="S43" s="152"/>
      <c r="T43" s="152"/>
      <c r="U43" s="152"/>
      <c r="V43" s="152"/>
      <c r="W43" s="152"/>
      <c r="X43" s="152"/>
      <c r="Y43" s="152"/>
      <c r="Z43" s="152"/>
      <c r="AA43" s="152"/>
      <c r="AB43" s="152"/>
      <c r="AC43" s="152"/>
      <c r="AD43" s="152"/>
      <c r="AE43" s="152"/>
      <c r="AF43" s="152"/>
      <c r="AG43" s="78">
        <f t="shared" si="1"/>
        <v>204.8</v>
      </c>
      <c r="AH43" s="152" t="s">
        <v>581</v>
      </c>
      <c r="AI43" s="156" t="s">
        <v>579</v>
      </c>
      <c r="AJ43" s="152" t="s">
        <v>575</v>
      </c>
      <c r="AK43" s="156"/>
      <c r="AL43" s="156"/>
      <c r="AM43" s="156"/>
      <c r="AN43" s="156"/>
      <c r="AO43" s="156"/>
      <c r="AP43" s="156"/>
      <c r="AQ43" s="156"/>
      <c r="AR43" s="156"/>
      <c r="AS43" s="156"/>
      <c r="AT43" s="156"/>
      <c r="AU43" s="156"/>
      <c r="AV43" s="156"/>
      <c r="AW43" s="156"/>
      <c r="AX43" s="156"/>
      <c r="AY43" s="156"/>
      <c r="AZ43" s="156"/>
      <c r="BA43" s="152">
        <v>4</v>
      </c>
      <c r="BB43" s="152" t="s">
        <v>329</v>
      </c>
      <c r="BC43" s="152"/>
      <c r="BD43" s="152"/>
      <c r="BE43" s="152">
        <v>2</v>
      </c>
      <c r="BF43" s="152"/>
      <c r="BG43" s="152" t="s">
        <v>329</v>
      </c>
      <c r="BH43" s="152" t="s">
        <v>329</v>
      </c>
      <c r="BI43" s="152"/>
      <c r="BJ43" s="152"/>
      <c r="BK43" s="152"/>
      <c r="BL43" s="152"/>
    </row>
    <row r="44" spans="1:64">
      <c r="A44" s="156" t="s">
        <v>383</v>
      </c>
      <c r="B44" s="156"/>
      <c r="C44" s="11" t="s">
        <v>362</v>
      </c>
      <c r="D44" s="156" t="s">
        <v>79</v>
      </c>
      <c r="E44" s="152" t="s">
        <v>597</v>
      </c>
      <c r="F44" s="152">
        <v>4</v>
      </c>
      <c r="G44" s="152">
        <v>16</v>
      </c>
      <c r="H44" s="78">
        <v>102.4</v>
      </c>
      <c r="I44" s="31">
        <v>0</v>
      </c>
      <c r="J44" s="152" t="s">
        <v>578</v>
      </c>
      <c r="K44" s="156" t="s">
        <v>579</v>
      </c>
      <c r="L44" s="152">
        <v>110</v>
      </c>
      <c r="M44" s="152"/>
      <c r="N44" s="152"/>
      <c r="O44" s="152"/>
      <c r="P44" s="152"/>
      <c r="Q44" s="152"/>
      <c r="R44" s="152"/>
      <c r="S44" s="152"/>
      <c r="T44" s="152"/>
      <c r="U44" s="152"/>
      <c r="V44" s="152"/>
      <c r="W44" s="152"/>
      <c r="X44" s="152"/>
      <c r="Y44" s="152"/>
      <c r="Z44" s="152"/>
      <c r="AA44" s="152"/>
      <c r="AB44" s="152"/>
      <c r="AC44" s="152"/>
      <c r="AD44" s="152"/>
      <c r="AE44" s="152"/>
      <c r="AF44" s="152"/>
      <c r="AG44" s="78">
        <f t="shared" si="1"/>
        <v>204.8</v>
      </c>
      <c r="AH44" s="152" t="s">
        <v>581</v>
      </c>
      <c r="AI44" s="156" t="s">
        <v>579</v>
      </c>
      <c r="AJ44" s="152" t="s">
        <v>575</v>
      </c>
      <c r="AK44" s="156"/>
      <c r="AL44" s="156"/>
      <c r="AM44" s="156"/>
      <c r="AN44" s="156"/>
      <c r="AO44" s="156"/>
      <c r="AP44" s="156"/>
      <c r="AQ44" s="156"/>
      <c r="AR44" s="156"/>
      <c r="AS44" s="156"/>
      <c r="AT44" s="156"/>
      <c r="AU44" s="156"/>
      <c r="AV44" s="156"/>
      <c r="AW44" s="156"/>
      <c r="AX44" s="156"/>
      <c r="AY44" s="156"/>
      <c r="AZ44" s="156"/>
      <c r="BA44" s="152">
        <v>4</v>
      </c>
      <c r="BB44" s="152" t="s">
        <v>329</v>
      </c>
      <c r="BC44" s="152"/>
      <c r="BD44" s="152"/>
      <c r="BE44" s="152">
        <v>2</v>
      </c>
      <c r="BF44" s="152"/>
      <c r="BG44" s="152" t="s">
        <v>329</v>
      </c>
      <c r="BH44" s="152" t="s">
        <v>329</v>
      </c>
      <c r="BI44" s="152"/>
      <c r="BJ44" s="152"/>
      <c r="BK44" s="152"/>
      <c r="BL44" s="152"/>
    </row>
    <row r="45" spans="1:64">
      <c r="A45" s="156" t="s">
        <v>384</v>
      </c>
      <c r="B45" s="156"/>
      <c r="C45" s="11" t="s">
        <v>362</v>
      </c>
      <c r="D45" s="156" t="s">
        <v>79</v>
      </c>
      <c r="E45" s="152" t="s">
        <v>597</v>
      </c>
      <c r="F45" s="152">
        <v>4</v>
      </c>
      <c r="G45" s="152">
        <v>16</v>
      </c>
      <c r="H45" s="78">
        <v>102.4</v>
      </c>
      <c r="I45" s="31">
        <v>0</v>
      </c>
      <c r="J45" s="152" t="s">
        <v>578</v>
      </c>
      <c r="K45" s="156" t="s">
        <v>579</v>
      </c>
      <c r="L45" s="152">
        <v>110</v>
      </c>
      <c r="M45" s="152"/>
      <c r="N45" s="152"/>
      <c r="O45" s="152"/>
      <c r="P45" s="152"/>
      <c r="Q45" s="152"/>
      <c r="R45" s="152"/>
      <c r="S45" s="152"/>
      <c r="T45" s="152"/>
      <c r="U45" s="152"/>
      <c r="V45" s="152"/>
      <c r="W45" s="152"/>
      <c r="X45" s="152"/>
      <c r="Y45" s="152"/>
      <c r="Z45" s="152"/>
      <c r="AA45" s="152"/>
      <c r="AB45" s="152"/>
      <c r="AC45" s="152"/>
      <c r="AD45" s="152"/>
      <c r="AE45" s="152"/>
      <c r="AF45" s="152"/>
      <c r="AG45" s="78">
        <f t="shared" si="1"/>
        <v>204.8</v>
      </c>
      <c r="AH45" s="152" t="s">
        <v>581</v>
      </c>
      <c r="AI45" s="156" t="s">
        <v>579</v>
      </c>
      <c r="AJ45" s="152" t="s">
        <v>575</v>
      </c>
      <c r="AK45" s="156"/>
      <c r="AL45" s="156"/>
      <c r="AM45" s="156"/>
      <c r="AN45" s="156"/>
      <c r="AO45" s="156"/>
      <c r="AP45" s="156"/>
      <c r="AQ45" s="156"/>
      <c r="AR45" s="156"/>
      <c r="AS45" s="156"/>
      <c r="AT45" s="156"/>
      <c r="AU45" s="156"/>
      <c r="AV45" s="156"/>
      <c r="AW45" s="156"/>
      <c r="AX45" s="156"/>
      <c r="AY45" s="156"/>
      <c r="AZ45" s="156"/>
      <c r="BA45" s="152">
        <v>4</v>
      </c>
      <c r="BB45" s="152" t="s">
        <v>329</v>
      </c>
      <c r="BC45" s="152"/>
      <c r="BD45" s="152"/>
      <c r="BE45" s="152">
        <v>2</v>
      </c>
      <c r="BF45" s="152"/>
      <c r="BG45" s="152" t="s">
        <v>329</v>
      </c>
      <c r="BH45" s="152" t="s">
        <v>329</v>
      </c>
      <c r="BI45" s="152"/>
      <c r="BJ45" s="152"/>
      <c r="BK45" s="152"/>
      <c r="BL45" s="152"/>
    </row>
    <row r="46" spans="1:64">
      <c r="A46" s="156" t="s">
        <v>494</v>
      </c>
      <c r="B46" s="156"/>
      <c r="C46" s="11" t="s">
        <v>362</v>
      </c>
      <c r="D46" s="156" t="s">
        <v>79</v>
      </c>
      <c r="E46" s="152" t="s">
        <v>597</v>
      </c>
      <c r="F46" s="152">
        <v>4</v>
      </c>
      <c r="G46" s="152">
        <v>16</v>
      </c>
      <c r="H46" s="78">
        <v>102.4</v>
      </c>
      <c r="I46" s="31">
        <v>0</v>
      </c>
      <c r="J46" s="152" t="s">
        <v>578</v>
      </c>
      <c r="K46" s="156" t="s">
        <v>579</v>
      </c>
      <c r="L46" s="152">
        <v>110</v>
      </c>
      <c r="M46" s="152"/>
      <c r="N46" s="152"/>
      <c r="O46" s="152"/>
      <c r="P46" s="152"/>
      <c r="Q46" s="152"/>
      <c r="R46" s="152"/>
      <c r="S46" s="152"/>
      <c r="T46" s="152"/>
      <c r="U46" s="152"/>
      <c r="V46" s="152"/>
      <c r="W46" s="152"/>
      <c r="X46" s="152"/>
      <c r="Y46" s="152"/>
      <c r="Z46" s="152"/>
      <c r="AA46" s="152"/>
      <c r="AB46" s="152"/>
      <c r="AC46" s="152"/>
      <c r="AD46" s="152"/>
      <c r="AE46" s="152"/>
      <c r="AF46" s="152"/>
      <c r="AG46" s="78">
        <f t="shared" si="1"/>
        <v>204.8</v>
      </c>
      <c r="AH46" s="152" t="s">
        <v>581</v>
      </c>
      <c r="AI46" s="156" t="s">
        <v>579</v>
      </c>
      <c r="AJ46" s="152" t="s">
        <v>575</v>
      </c>
      <c r="AK46" s="156"/>
      <c r="AL46" s="156"/>
      <c r="AM46" s="156"/>
      <c r="AN46" s="156"/>
      <c r="AO46" s="156"/>
      <c r="AP46" s="156"/>
      <c r="AQ46" s="156"/>
      <c r="AR46" s="156"/>
      <c r="AS46" s="156"/>
      <c r="AT46" s="156"/>
      <c r="AU46" s="156"/>
      <c r="AV46" s="156"/>
      <c r="AW46" s="156"/>
      <c r="AX46" s="156"/>
      <c r="AY46" s="156"/>
      <c r="AZ46" s="156"/>
      <c r="BA46" s="152">
        <v>4</v>
      </c>
      <c r="BB46" s="152" t="s">
        <v>329</v>
      </c>
      <c r="BC46" s="152"/>
      <c r="BD46" s="152"/>
      <c r="BE46" s="152">
        <v>2</v>
      </c>
      <c r="BF46" s="152"/>
      <c r="BG46" s="152" t="s">
        <v>329</v>
      </c>
      <c r="BH46" s="152" t="s">
        <v>329</v>
      </c>
      <c r="BI46" s="152"/>
      <c r="BJ46" s="152"/>
      <c r="BK46" s="152"/>
      <c r="BL46" s="152"/>
    </row>
    <row r="47" spans="1:64">
      <c r="A47" s="156" t="s">
        <v>495</v>
      </c>
      <c r="B47" s="156"/>
      <c r="C47" s="11" t="s">
        <v>362</v>
      </c>
      <c r="D47" s="156" t="s">
        <v>79</v>
      </c>
      <c r="E47" s="152" t="s">
        <v>597</v>
      </c>
      <c r="F47" s="152">
        <v>4</v>
      </c>
      <c r="G47" s="152">
        <v>16</v>
      </c>
      <c r="H47" s="78">
        <v>102.4</v>
      </c>
      <c r="I47" s="31">
        <v>0</v>
      </c>
      <c r="J47" s="152" t="s">
        <v>578</v>
      </c>
      <c r="K47" s="156" t="s">
        <v>579</v>
      </c>
      <c r="L47" s="152">
        <v>110</v>
      </c>
      <c r="M47" s="152"/>
      <c r="N47" s="152"/>
      <c r="O47" s="152"/>
      <c r="P47" s="152"/>
      <c r="Q47" s="152"/>
      <c r="R47" s="152"/>
      <c r="S47" s="152"/>
      <c r="T47" s="152"/>
      <c r="U47" s="152"/>
      <c r="V47" s="152"/>
      <c r="W47" s="152"/>
      <c r="X47" s="152"/>
      <c r="Y47" s="152"/>
      <c r="Z47" s="152"/>
      <c r="AA47" s="152"/>
      <c r="AB47" s="152"/>
      <c r="AC47" s="152"/>
      <c r="AD47" s="152"/>
      <c r="AE47" s="152"/>
      <c r="AF47" s="152"/>
      <c r="AG47" s="78">
        <f t="shared" si="1"/>
        <v>204.8</v>
      </c>
      <c r="AH47" s="152" t="s">
        <v>581</v>
      </c>
      <c r="AI47" s="156" t="s">
        <v>579</v>
      </c>
      <c r="AJ47" s="152" t="s">
        <v>575</v>
      </c>
      <c r="AK47" s="156"/>
      <c r="AL47" s="156"/>
      <c r="AM47" s="156"/>
      <c r="AN47" s="156"/>
      <c r="AO47" s="156"/>
      <c r="AP47" s="156"/>
      <c r="AQ47" s="156"/>
      <c r="AR47" s="156"/>
      <c r="AS47" s="156"/>
      <c r="AT47" s="156"/>
      <c r="AU47" s="156"/>
      <c r="AV47" s="156"/>
      <c r="AW47" s="156"/>
      <c r="AX47" s="156"/>
      <c r="AY47" s="156"/>
      <c r="AZ47" s="156"/>
      <c r="BA47" s="152">
        <v>4</v>
      </c>
      <c r="BB47" s="152" t="s">
        <v>329</v>
      </c>
      <c r="BC47" s="152"/>
      <c r="BD47" s="152"/>
      <c r="BE47" s="152">
        <v>2</v>
      </c>
      <c r="BF47" s="152"/>
      <c r="BG47" s="152" t="s">
        <v>329</v>
      </c>
      <c r="BH47" s="152" t="s">
        <v>329</v>
      </c>
      <c r="BI47" s="152"/>
      <c r="BJ47" s="152"/>
      <c r="BK47" s="152"/>
      <c r="BL47" s="152"/>
    </row>
    <row r="48" spans="1:64">
      <c r="A48" s="156" t="s">
        <v>385</v>
      </c>
      <c r="B48" s="156"/>
      <c r="C48" s="11" t="s">
        <v>362</v>
      </c>
      <c r="D48" s="156" t="s">
        <v>77</v>
      </c>
      <c r="E48" s="152" t="s">
        <v>598</v>
      </c>
      <c r="F48" s="152">
        <v>4</v>
      </c>
      <c r="G48" s="152">
        <v>14</v>
      </c>
      <c r="H48" s="78">
        <v>102.4</v>
      </c>
      <c r="I48" s="31">
        <v>0</v>
      </c>
      <c r="J48" s="152" t="s">
        <v>578</v>
      </c>
      <c r="K48" s="156" t="s">
        <v>579</v>
      </c>
      <c r="L48" s="152">
        <v>100</v>
      </c>
      <c r="M48" s="152"/>
      <c r="N48" s="152"/>
      <c r="O48" s="152"/>
      <c r="P48" s="152"/>
      <c r="Q48" s="152"/>
      <c r="R48" s="152"/>
      <c r="S48" s="152"/>
      <c r="T48" s="152"/>
      <c r="U48" s="152"/>
      <c r="V48" s="152"/>
      <c r="W48" s="152"/>
      <c r="X48" s="152"/>
      <c r="Y48" s="152"/>
      <c r="Z48" s="152"/>
      <c r="AA48" s="152"/>
      <c r="AB48" s="152"/>
      <c r="AC48" s="152"/>
      <c r="AD48" s="152"/>
      <c r="AE48" s="152"/>
      <c r="AF48" s="152"/>
      <c r="AG48" s="78">
        <f t="shared" si="1"/>
        <v>204.8</v>
      </c>
      <c r="AH48" s="152" t="s">
        <v>581</v>
      </c>
      <c r="AI48" s="156" t="s">
        <v>579</v>
      </c>
      <c r="AJ48" s="152" t="s">
        <v>575</v>
      </c>
      <c r="AK48" s="156"/>
      <c r="AL48" s="156"/>
      <c r="AM48" s="156"/>
      <c r="AN48" s="156"/>
      <c r="AO48" s="156"/>
      <c r="AP48" s="156"/>
      <c r="AQ48" s="156"/>
      <c r="AR48" s="156"/>
      <c r="AS48" s="156"/>
      <c r="AT48" s="156"/>
      <c r="AU48" s="156"/>
      <c r="AV48" s="156"/>
      <c r="AW48" s="156"/>
      <c r="AX48" s="156"/>
      <c r="AY48" s="156"/>
      <c r="AZ48" s="156"/>
      <c r="BA48" s="152">
        <v>4</v>
      </c>
      <c r="BB48" s="152" t="s">
        <v>329</v>
      </c>
      <c r="BC48" s="152"/>
      <c r="BD48" s="152"/>
      <c r="BE48" s="152">
        <v>2</v>
      </c>
      <c r="BF48" s="152"/>
      <c r="BG48" s="152" t="s">
        <v>329</v>
      </c>
      <c r="BH48" s="152" t="s">
        <v>329</v>
      </c>
      <c r="BI48" s="152"/>
      <c r="BJ48" s="152"/>
      <c r="BK48" s="152"/>
      <c r="BL48" s="152"/>
    </row>
    <row r="49" spans="1:64">
      <c r="A49" s="156" t="s">
        <v>386</v>
      </c>
      <c r="B49" s="156"/>
      <c r="C49" s="156" t="s">
        <v>326</v>
      </c>
      <c r="D49" s="156" t="s">
        <v>110</v>
      </c>
      <c r="E49" s="152" t="s">
        <v>604</v>
      </c>
      <c r="F49" s="152">
        <v>3</v>
      </c>
      <c r="G49" s="152">
        <v>10</v>
      </c>
      <c r="H49" s="78">
        <v>122.88</v>
      </c>
      <c r="I49" s="31">
        <v>16384</v>
      </c>
      <c r="J49" s="152" t="s">
        <v>581</v>
      </c>
      <c r="K49" s="156" t="s">
        <v>579</v>
      </c>
      <c r="L49" s="152">
        <v>2.6</v>
      </c>
      <c r="M49" s="152"/>
      <c r="N49" s="152"/>
      <c r="O49" s="152"/>
      <c r="P49" s="152"/>
      <c r="Q49" s="152"/>
      <c r="R49" s="152"/>
      <c r="S49" s="152"/>
      <c r="T49" s="152"/>
      <c r="U49" s="152"/>
      <c r="V49" s="152"/>
      <c r="W49" s="152"/>
      <c r="X49" s="152"/>
      <c r="Y49" s="152"/>
      <c r="Z49" s="152"/>
      <c r="AA49" s="152"/>
      <c r="AB49" s="152"/>
      <c r="AC49" s="152"/>
      <c r="AD49" s="152"/>
      <c r="AE49" s="152"/>
      <c r="AF49" s="152"/>
      <c r="AG49" s="78">
        <f t="shared" si="1"/>
        <v>245.76</v>
      </c>
      <c r="AH49" s="152" t="s">
        <v>581</v>
      </c>
      <c r="AI49" s="156" t="s">
        <v>579</v>
      </c>
      <c r="AJ49" s="152" t="s">
        <v>575</v>
      </c>
      <c r="AK49" s="156"/>
      <c r="AL49" s="156"/>
      <c r="AM49" s="156"/>
      <c r="AN49" s="156"/>
      <c r="AO49" s="156"/>
      <c r="AP49" s="156"/>
      <c r="AQ49" s="156"/>
      <c r="AR49" s="156"/>
      <c r="AS49" s="156"/>
      <c r="AT49" s="156"/>
      <c r="AU49" s="156"/>
      <c r="AV49" s="156"/>
      <c r="AW49" s="156"/>
      <c r="AX49" s="156"/>
      <c r="AY49" s="156"/>
      <c r="AZ49" s="156"/>
      <c r="BA49" s="152">
        <v>2</v>
      </c>
      <c r="BB49" s="152" t="s">
        <v>329</v>
      </c>
      <c r="BC49" s="152"/>
      <c r="BD49" s="152"/>
      <c r="BE49" s="152">
        <v>2</v>
      </c>
      <c r="BF49" s="152"/>
      <c r="BG49" s="152" t="s">
        <v>329</v>
      </c>
      <c r="BH49" s="152" t="s">
        <v>329</v>
      </c>
      <c r="BI49" s="152"/>
      <c r="BJ49" s="152"/>
      <c r="BK49" s="152"/>
      <c r="BL49" s="152"/>
    </row>
    <row r="50" spans="1:64">
      <c r="A50" s="156" t="s">
        <v>387</v>
      </c>
      <c r="B50" s="156"/>
      <c r="C50" s="156" t="s">
        <v>326</v>
      </c>
      <c r="D50" s="156" t="s">
        <v>110</v>
      </c>
      <c r="E50" s="152" t="s">
        <v>604</v>
      </c>
      <c r="F50" s="152">
        <v>3</v>
      </c>
      <c r="G50" s="152">
        <v>10</v>
      </c>
      <c r="H50" s="78">
        <v>122.88</v>
      </c>
      <c r="I50" s="31">
        <v>16384</v>
      </c>
      <c r="J50" s="152" t="s">
        <v>581</v>
      </c>
      <c r="K50" s="156" t="s">
        <v>579</v>
      </c>
      <c r="L50" s="152">
        <v>2.6</v>
      </c>
      <c r="M50" s="152"/>
      <c r="N50" s="152"/>
      <c r="O50" s="152"/>
      <c r="P50" s="152"/>
      <c r="Q50" s="152"/>
      <c r="R50" s="152"/>
      <c r="S50" s="152"/>
      <c r="T50" s="152"/>
      <c r="U50" s="152"/>
      <c r="V50" s="152"/>
      <c r="W50" s="152"/>
      <c r="X50" s="152"/>
      <c r="Y50" s="152"/>
      <c r="Z50" s="152"/>
      <c r="AA50" s="152"/>
      <c r="AB50" s="152"/>
      <c r="AC50" s="152"/>
      <c r="AD50" s="152"/>
      <c r="AE50" s="152"/>
      <c r="AF50" s="152"/>
      <c r="AG50" s="78">
        <f t="shared" si="1"/>
        <v>245.76</v>
      </c>
      <c r="AH50" s="152" t="s">
        <v>581</v>
      </c>
      <c r="AI50" s="156" t="s">
        <v>579</v>
      </c>
      <c r="AJ50" s="152" t="s">
        <v>575</v>
      </c>
      <c r="AK50" s="156"/>
      <c r="AL50" s="156"/>
      <c r="AM50" s="156"/>
      <c r="AN50" s="156"/>
      <c r="AO50" s="156"/>
      <c r="AP50" s="156"/>
      <c r="AQ50" s="156"/>
      <c r="AR50" s="156"/>
      <c r="AS50" s="156"/>
      <c r="AT50" s="156"/>
      <c r="AU50" s="156"/>
      <c r="AV50" s="156"/>
      <c r="AW50" s="156"/>
      <c r="AX50" s="156"/>
      <c r="AY50" s="156"/>
      <c r="AZ50" s="156"/>
      <c r="BA50" s="152">
        <v>2</v>
      </c>
      <c r="BB50" s="152" t="s">
        <v>329</v>
      </c>
      <c r="BC50" s="152"/>
      <c r="BD50" s="152"/>
      <c r="BE50" s="152">
        <v>2</v>
      </c>
      <c r="BF50" s="152"/>
      <c r="BG50" s="152" t="s">
        <v>329</v>
      </c>
      <c r="BH50" s="152" t="s">
        <v>329</v>
      </c>
      <c r="BI50" s="152"/>
      <c r="BJ50" s="152"/>
      <c r="BK50" s="152"/>
      <c r="BL50" s="152"/>
    </row>
    <row r="51" spans="1:64">
      <c r="A51" s="156" t="s">
        <v>496</v>
      </c>
      <c r="B51" s="156"/>
      <c r="C51" s="156" t="s">
        <v>326</v>
      </c>
      <c r="D51" s="156" t="s">
        <v>110</v>
      </c>
      <c r="E51" s="152" t="s">
        <v>604</v>
      </c>
      <c r="F51" s="152">
        <v>3</v>
      </c>
      <c r="G51" s="152">
        <v>10</v>
      </c>
      <c r="H51" s="78">
        <v>122.88</v>
      </c>
      <c r="I51" s="31">
        <v>16384</v>
      </c>
      <c r="J51" s="152" t="s">
        <v>581</v>
      </c>
      <c r="K51" s="156" t="s">
        <v>579</v>
      </c>
      <c r="L51" s="152">
        <v>2.6</v>
      </c>
      <c r="M51" s="152"/>
      <c r="N51" s="152"/>
      <c r="O51" s="152"/>
      <c r="P51" s="152"/>
      <c r="Q51" s="152"/>
      <c r="R51" s="152"/>
      <c r="S51" s="152"/>
      <c r="T51" s="152"/>
      <c r="U51" s="152"/>
      <c r="V51" s="152"/>
      <c r="W51" s="152"/>
      <c r="X51" s="152"/>
      <c r="Y51" s="152"/>
      <c r="Z51" s="152"/>
      <c r="AA51" s="152"/>
      <c r="AB51" s="152"/>
      <c r="AC51" s="152"/>
      <c r="AD51" s="152"/>
      <c r="AE51" s="152"/>
      <c r="AF51" s="152"/>
      <c r="AG51" s="78">
        <f t="shared" si="1"/>
        <v>245.76</v>
      </c>
      <c r="AH51" s="152" t="s">
        <v>581</v>
      </c>
      <c r="AI51" s="156" t="s">
        <v>579</v>
      </c>
      <c r="AJ51" s="152" t="s">
        <v>575</v>
      </c>
      <c r="AK51" s="156"/>
      <c r="AL51" s="156"/>
      <c r="AM51" s="156"/>
      <c r="AN51" s="156"/>
      <c r="AO51" s="156"/>
      <c r="AP51" s="156"/>
      <c r="AQ51" s="156"/>
      <c r="AR51" s="156"/>
      <c r="AS51" s="156"/>
      <c r="AT51" s="156"/>
      <c r="AU51" s="156"/>
      <c r="AV51" s="156"/>
      <c r="AW51" s="156"/>
      <c r="AX51" s="156"/>
      <c r="AY51" s="156"/>
      <c r="AZ51" s="156"/>
      <c r="BA51" s="152">
        <v>2</v>
      </c>
      <c r="BB51" s="152" t="s">
        <v>329</v>
      </c>
      <c r="BC51" s="152"/>
      <c r="BD51" s="152"/>
      <c r="BE51" s="152">
        <v>2</v>
      </c>
      <c r="BF51" s="152"/>
      <c r="BG51" s="152" t="s">
        <v>329</v>
      </c>
      <c r="BH51" s="152" t="s">
        <v>329</v>
      </c>
      <c r="BI51" s="152"/>
      <c r="BJ51" s="152"/>
      <c r="BK51" s="152"/>
      <c r="BL51" s="152"/>
    </row>
    <row r="52" spans="1:64">
      <c r="A52" s="156" t="s">
        <v>497</v>
      </c>
      <c r="B52" s="156"/>
      <c r="C52" s="156" t="s">
        <v>326</v>
      </c>
      <c r="D52" s="156" t="s">
        <v>110</v>
      </c>
      <c r="E52" s="152" t="s">
        <v>604</v>
      </c>
      <c r="F52" s="152">
        <v>3</v>
      </c>
      <c r="G52" s="152">
        <v>10</v>
      </c>
      <c r="H52" s="78">
        <v>122.88</v>
      </c>
      <c r="I52" s="31">
        <v>16384</v>
      </c>
      <c r="J52" s="152" t="s">
        <v>581</v>
      </c>
      <c r="K52" s="156" t="s">
        <v>579</v>
      </c>
      <c r="L52" s="152">
        <v>2.6</v>
      </c>
      <c r="M52" s="152"/>
      <c r="N52" s="152"/>
      <c r="O52" s="152"/>
      <c r="P52" s="152"/>
      <c r="Q52" s="152"/>
      <c r="R52" s="152"/>
      <c r="S52" s="152"/>
      <c r="T52" s="152"/>
      <c r="U52" s="152"/>
      <c r="V52" s="152"/>
      <c r="W52" s="152"/>
      <c r="X52" s="152"/>
      <c r="Y52" s="152"/>
      <c r="Z52" s="152"/>
      <c r="AA52" s="152"/>
      <c r="AB52" s="152"/>
      <c r="AC52" s="152"/>
      <c r="AD52" s="152"/>
      <c r="AE52" s="152"/>
      <c r="AF52" s="152"/>
      <c r="AG52" s="78">
        <f t="shared" si="1"/>
        <v>245.76</v>
      </c>
      <c r="AH52" s="152" t="s">
        <v>581</v>
      </c>
      <c r="AI52" s="156" t="s">
        <v>579</v>
      </c>
      <c r="AJ52" s="152" t="s">
        <v>575</v>
      </c>
      <c r="AK52" s="156"/>
      <c r="AL52" s="156"/>
      <c r="AM52" s="156"/>
      <c r="AN52" s="156"/>
      <c r="AO52" s="156"/>
      <c r="AP52" s="156"/>
      <c r="AQ52" s="156"/>
      <c r="AR52" s="156"/>
      <c r="AS52" s="156"/>
      <c r="AT52" s="156"/>
      <c r="AU52" s="156"/>
      <c r="AV52" s="156"/>
      <c r="AW52" s="156"/>
      <c r="AX52" s="156"/>
      <c r="AY52" s="156"/>
      <c r="AZ52" s="156"/>
      <c r="BA52" s="152">
        <v>2</v>
      </c>
      <c r="BB52" s="152" t="s">
        <v>329</v>
      </c>
      <c r="BC52" s="152"/>
      <c r="BD52" s="152"/>
      <c r="BE52" s="152">
        <v>2</v>
      </c>
      <c r="BF52" s="152"/>
      <c r="BG52" s="152" t="s">
        <v>329</v>
      </c>
      <c r="BH52" s="152" t="s">
        <v>329</v>
      </c>
      <c r="BI52" s="152"/>
      <c r="BJ52" s="152"/>
      <c r="BK52" s="152"/>
      <c r="BL52" s="152"/>
    </row>
    <row r="53" spans="1:64">
      <c r="A53" s="156" t="s">
        <v>388</v>
      </c>
      <c r="B53" s="156"/>
      <c r="C53" s="156" t="s">
        <v>326</v>
      </c>
      <c r="D53" s="156" t="s">
        <v>30</v>
      </c>
      <c r="E53" s="152" t="s">
        <v>605</v>
      </c>
      <c r="F53" s="152">
        <v>4</v>
      </c>
      <c r="G53" s="152">
        <v>4</v>
      </c>
      <c r="H53" s="78">
        <v>40.96</v>
      </c>
      <c r="I53" s="31">
        <v>4096</v>
      </c>
      <c r="J53" s="152" t="s">
        <v>581</v>
      </c>
      <c r="K53" s="156" t="s">
        <v>579</v>
      </c>
      <c r="L53" s="152">
        <v>100</v>
      </c>
      <c r="M53" s="152"/>
      <c r="N53" s="152"/>
      <c r="O53" s="152"/>
      <c r="P53" s="152"/>
      <c r="Q53" s="152"/>
      <c r="R53" s="152"/>
      <c r="S53" s="152"/>
      <c r="T53" s="152"/>
      <c r="U53" s="152"/>
      <c r="V53" s="152"/>
      <c r="W53" s="152"/>
      <c r="X53" s="152"/>
      <c r="Y53" s="152"/>
      <c r="Z53" s="152"/>
      <c r="AA53" s="152"/>
      <c r="AB53" s="152"/>
      <c r="AC53" s="152"/>
      <c r="AD53" s="152"/>
      <c r="AE53" s="152"/>
      <c r="AF53" s="152"/>
      <c r="AG53" s="78">
        <f t="shared" si="1"/>
        <v>81.92</v>
      </c>
      <c r="AH53" s="152" t="s">
        <v>581</v>
      </c>
      <c r="AI53" s="156" t="s">
        <v>579</v>
      </c>
      <c r="AJ53" s="152" t="s">
        <v>575</v>
      </c>
      <c r="AK53" s="156"/>
      <c r="AL53" s="156"/>
      <c r="AM53" s="156"/>
      <c r="AN53" s="156"/>
      <c r="AO53" s="156"/>
      <c r="AP53" s="156"/>
      <c r="AQ53" s="156"/>
      <c r="AR53" s="156"/>
      <c r="AS53" s="156"/>
      <c r="AT53" s="156"/>
      <c r="AU53" s="156"/>
      <c r="AV53" s="156"/>
      <c r="AW53" s="156"/>
      <c r="AX53" s="156"/>
      <c r="AY53" s="156"/>
      <c r="AZ53" s="156"/>
      <c r="BA53" s="152">
        <v>2</v>
      </c>
      <c r="BB53" s="152" t="s">
        <v>329</v>
      </c>
      <c r="BC53" s="152"/>
      <c r="BD53" s="152"/>
      <c r="BE53" s="152">
        <v>2</v>
      </c>
      <c r="BF53" s="152"/>
      <c r="BG53" s="152" t="s">
        <v>329</v>
      </c>
      <c r="BH53" s="152" t="s">
        <v>329</v>
      </c>
      <c r="BI53" s="152"/>
      <c r="BJ53" s="152"/>
      <c r="BK53" s="152"/>
      <c r="BL53" s="152"/>
    </row>
    <row r="54" spans="1:64">
      <c r="A54" s="156" t="s">
        <v>389</v>
      </c>
      <c r="B54" s="156"/>
      <c r="C54" s="156" t="s">
        <v>326</v>
      </c>
      <c r="D54" s="156" t="s">
        <v>22</v>
      </c>
      <c r="E54" s="152" t="s">
        <v>605</v>
      </c>
      <c r="F54" s="152">
        <v>4</v>
      </c>
      <c r="G54" s="152">
        <v>4</v>
      </c>
      <c r="H54" s="78">
        <v>30.72</v>
      </c>
      <c r="I54" s="31">
        <v>4096</v>
      </c>
      <c r="J54" s="152" t="s">
        <v>581</v>
      </c>
      <c r="K54" s="156" t="s">
        <v>579</v>
      </c>
      <c r="L54" s="152">
        <v>100</v>
      </c>
      <c r="M54" s="152"/>
      <c r="N54" s="152"/>
      <c r="O54" s="152"/>
      <c r="P54" s="152"/>
      <c r="Q54" s="152"/>
      <c r="R54" s="152"/>
      <c r="S54" s="152"/>
      <c r="T54" s="152"/>
      <c r="U54" s="152"/>
      <c r="V54" s="152"/>
      <c r="W54" s="152"/>
      <c r="X54" s="152"/>
      <c r="Y54" s="152"/>
      <c r="Z54" s="152"/>
      <c r="AA54" s="152"/>
      <c r="AB54" s="152"/>
      <c r="AC54" s="152"/>
      <c r="AD54" s="152"/>
      <c r="AE54" s="152"/>
      <c r="AF54" s="152"/>
      <c r="AG54" s="78">
        <f t="shared" si="1"/>
        <v>61.44</v>
      </c>
      <c r="AH54" s="152" t="s">
        <v>581</v>
      </c>
      <c r="AI54" s="156" t="s">
        <v>579</v>
      </c>
      <c r="AJ54" s="152" t="s">
        <v>575</v>
      </c>
      <c r="AK54" s="156"/>
      <c r="AL54" s="156"/>
      <c r="AM54" s="156"/>
      <c r="AN54" s="156"/>
      <c r="AO54" s="156"/>
      <c r="AP54" s="156"/>
      <c r="AQ54" s="156"/>
      <c r="AR54" s="156"/>
      <c r="AS54" s="156"/>
      <c r="AT54" s="156"/>
      <c r="AU54" s="156"/>
      <c r="AV54" s="156"/>
      <c r="AW54" s="156"/>
      <c r="AX54" s="156"/>
      <c r="AY54" s="156"/>
      <c r="AZ54" s="156"/>
      <c r="BA54" s="152">
        <v>2</v>
      </c>
      <c r="BB54" s="152" t="s">
        <v>329</v>
      </c>
      <c r="BC54" s="152"/>
      <c r="BD54" s="152"/>
      <c r="BE54" s="152">
        <v>2</v>
      </c>
      <c r="BF54" s="152"/>
      <c r="BG54" s="152" t="s">
        <v>329</v>
      </c>
      <c r="BH54" s="152" t="s">
        <v>329</v>
      </c>
      <c r="BI54" s="152"/>
      <c r="BJ54" s="152"/>
      <c r="BK54" s="152"/>
      <c r="BL54" s="152"/>
    </row>
    <row r="55" spans="1:64">
      <c r="A55" s="156" t="s">
        <v>390</v>
      </c>
      <c r="B55" s="156"/>
      <c r="C55" s="156" t="s">
        <v>326</v>
      </c>
      <c r="D55" s="156" t="s">
        <v>26</v>
      </c>
      <c r="E55" s="152" t="s">
        <v>605</v>
      </c>
      <c r="F55" s="152">
        <v>4</v>
      </c>
      <c r="G55" s="152">
        <v>4</v>
      </c>
      <c r="H55" s="78">
        <v>30.72</v>
      </c>
      <c r="I55" s="31">
        <v>4096</v>
      </c>
      <c r="J55" s="152" t="s">
        <v>581</v>
      </c>
      <c r="K55" s="156" t="s">
        <v>579</v>
      </c>
      <c r="L55" s="152">
        <v>2.6</v>
      </c>
      <c r="M55" s="152"/>
      <c r="N55" s="152"/>
      <c r="O55" s="152"/>
      <c r="P55" s="152"/>
      <c r="Q55" s="152"/>
      <c r="R55" s="152"/>
      <c r="S55" s="152"/>
      <c r="T55" s="152"/>
      <c r="U55" s="152"/>
      <c r="V55" s="152"/>
      <c r="W55" s="152"/>
      <c r="X55" s="152"/>
      <c r="Y55" s="152"/>
      <c r="Z55" s="152"/>
      <c r="AA55" s="152"/>
      <c r="AB55" s="152"/>
      <c r="AC55" s="152"/>
      <c r="AD55" s="152"/>
      <c r="AE55" s="152"/>
      <c r="AF55" s="152"/>
      <c r="AG55" s="78">
        <f t="shared" si="1"/>
        <v>61.44</v>
      </c>
      <c r="AH55" s="152" t="s">
        <v>581</v>
      </c>
      <c r="AI55" s="156" t="s">
        <v>579</v>
      </c>
      <c r="AJ55" s="152" t="s">
        <v>575</v>
      </c>
      <c r="AK55" s="156"/>
      <c r="AL55" s="156"/>
      <c r="AM55" s="156"/>
      <c r="AN55" s="156"/>
      <c r="AO55" s="156"/>
      <c r="AP55" s="156"/>
      <c r="AQ55" s="156"/>
      <c r="AR55" s="156"/>
      <c r="AS55" s="156"/>
      <c r="AT55" s="156"/>
      <c r="AU55" s="156"/>
      <c r="AV55" s="156"/>
      <c r="AW55" s="156"/>
      <c r="AX55" s="156"/>
      <c r="AY55" s="156"/>
      <c r="AZ55" s="156"/>
      <c r="BA55" s="152">
        <v>2</v>
      </c>
      <c r="BB55" s="152" t="s">
        <v>329</v>
      </c>
      <c r="BC55" s="152"/>
      <c r="BD55" s="152"/>
      <c r="BE55" s="152">
        <v>2</v>
      </c>
      <c r="BF55" s="152"/>
      <c r="BG55" s="152" t="s">
        <v>329</v>
      </c>
      <c r="BH55" s="152" t="s">
        <v>329</v>
      </c>
      <c r="BI55" s="152"/>
      <c r="BJ55" s="152"/>
      <c r="BK55" s="152"/>
      <c r="BL55" s="152"/>
    </row>
    <row r="56" spans="1:64" ht="15">
      <c r="A56" s="156" t="s">
        <v>391</v>
      </c>
      <c r="B56" s="156"/>
      <c r="C56" s="156" t="s">
        <v>326</v>
      </c>
      <c r="D56" s="156" t="s">
        <v>38</v>
      </c>
      <c r="E56" s="152" t="s">
        <v>606</v>
      </c>
      <c r="F56" s="152">
        <v>4</v>
      </c>
      <c r="G56" s="152">
        <v>5</v>
      </c>
      <c r="H56" s="154">
        <v>112.64</v>
      </c>
      <c r="I56" s="31">
        <v>4096</v>
      </c>
      <c r="J56" s="152" t="s">
        <v>581</v>
      </c>
      <c r="K56" s="156" t="s">
        <v>579</v>
      </c>
      <c r="L56" s="152">
        <v>2.6</v>
      </c>
      <c r="M56" s="152"/>
      <c r="N56" s="152"/>
      <c r="O56" s="152"/>
      <c r="P56" s="152"/>
      <c r="Q56" s="1"/>
      <c r="R56" s="1"/>
      <c r="S56" s="1"/>
      <c r="T56" s="1"/>
      <c r="U56" s="152"/>
      <c r="V56" s="152"/>
      <c r="W56" s="152"/>
      <c r="X56" s="152"/>
      <c r="Y56" s="152"/>
      <c r="Z56" s="152"/>
      <c r="AA56" s="152"/>
      <c r="AB56" s="152"/>
      <c r="AC56" s="152"/>
      <c r="AD56" s="152"/>
      <c r="AE56" s="152"/>
      <c r="AF56" s="152"/>
      <c r="AG56" s="78">
        <f t="shared" si="1"/>
        <v>225.28</v>
      </c>
      <c r="AH56" s="152" t="s">
        <v>581</v>
      </c>
      <c r="AI56" s="156" t="s">
        <v>579</v>
      </c>
      <c r="AJ56" s="152" t="s">
        <v>575</v>
      </c>
      <c r="AK56" s="152"/>
      <c r="AL56" s="152"/>
      <c r="AM56" s="152"/>
      <c r="AN56" s="152"/>
      <c r="AO56" s="152"/>
      <c r="AP56" s="152"/>
      <c r="AQ56" s="152"/>
      <c r="AR56" s="152"/>
      <c r="AS56" s="152"/>
      <c r="AT56" s="152"/>
      <c r="AU56" s="152"/>
      <c r="AV56" s="152"/>
      <c r="AW56" s="152"/>
      <c r="AX56" s="152"/>
      <c r="AY56" s="152"/>
      <c r="AZ56" s="152"/>
      <c r="BA56" s="152">
        <v>2</v>
      </c>
      <c r="BB56" s="152" t="s">
        <v>329</v>
      </c>
      <c r="BC56" s="152" t="s">
        <v>329</v>
      </c>
      <c r="BD56" s="152"/>
      <c r="BE56" s="152">
        <v>2</v>
      </c>
      <c r="BF56" s="152"/>
      <c r="BG56" s="152" t="s">
        <v>329</v>
      </c>
      <c r="BH56" s="152" t="s">
        <v>329</v>
      </c>
      <c r="BI56" s="152"/>
      <c r="BJ56" s="152"/>
      <c r="BK56" s="152"/>
      <c r="BL56" s="152"/>
    </row>
    <row r="57" spans="1:64" ht="15">
      <c r="A57" s="156" t="s">
        <v>392</v>
      </c>
      <c r="B57" s="156"/>
      <c r="C57" s="156" t="s">
        <v>326</v>
      </c>
      <c r="D57" s="156" t="s">
        <v>49</v>
      </c>
      <c r="E57" s="152" t="s">
        <v>607</v>
      </c>
      <c r="F57" s="152">
        <v>2</v>
      </c>
      <c r="G57" s="152">
        <v>2</v>
      </c>
      <c r="H57" s="154">
        <v>15.36</v>
      </c>
      <c r="I57" s="31">
        <v>4096</v>
      </c>
      <c r="J57" s="152" t="s">
        <v>581</v>
      </c>
      <c r="K57" s="156" t="s">
        <v>579</v>
      </c>
      <c r="L57" s="152">
        <v>2.6</v>
      </c>
      <c r="M57" s="152"/>
      <c r="N57" s="152"/>
      <c r="O57" s="152"/>
      <c r="P57" s="152"/>
      <c r="Q57" s="1"/>
      <c r="R57" s="1"/>
      <c r="S57" s="1"/>
      <c r="T57" s="1"/>
      <c r="U57" s="152"/>
      <c r="V57" s="152"/>
      <c r="W57" s="152"/>
      <c r="X57" s="152"/>
      <c r="Y57" s="152"/>
      <c r="Z57" s="152"/>
      <c r="AA57" s="152"/>
      <c r="AB57" s="152"/>
      <c r="AC57" s="152"/>
      <c r="AD57" s="152"/>
      <c r="AE57" s="152"/>
      <c r="AF57" s="152"/>
      <c r="AG57" s="78">
        <f t="shared" si="1"/>
        <v>30.72</v>
      </c>
      <c r="AH57" s="152" t="s">
        <v>581</v>
      </c>
      <c r="AI57" s="156" t="s">
        <v>579</v>
      </c>
      <c r="AJ57" s="152" t="s">
        <v>575</v>
      </c>
      <c r="AK57" s="156"/>
      <c r="AL57" s="156"/>
      <c r="AM57" s="156"/>
      <c r="AN57" s="156"/>
      <c r="AO57" s="156"/>
      <c r="AP57" s="156"/>
      <c r="AQ57" s="156"/>
      <c r="AR57" s="156"/>
      <c r="AS57" s="156"/>
      <c r="AT57" s="156"/>
      <c r="AU57" s="156"/>
      <c r="AV57" s="156"/>
      <c r="AW57" s="156"/>
      <c r="AX57" s="156"/>
      <c r="AY57" s="156"/>
      <c r="AZ57" s="156"/>
      <c r="BA57" s="152">
        <v>2</v>
      </c>
      <c r="BB57" s="152" t="s">
        <v>329</v>
      </c>
      <c r="BC57" s="152"/>
      <c r="BD57" s="152"/>
      <c r="BE57" s="152">
        <v>2</v>
      </c>
      <c r="BF57" s="152"/>
      <c r="BG57" s="152" t="s">
        <v>329</v>
      </c>
      <c r="BH57" s="152" t="s">
        <v>329</v>
      </c>
      <c r="BI57" s="152"/>
      <c r="BJ57" s="152"/>
      <c r="BK57" s="152"/>
      <c r="BL57" s="156"/>
    </row>
    <row r="58" spans="1:64" ht="15">
      <c r="A58" s="156" t="s">
        <v>393</v>
      </c>
      <c r="B58" s="156"/>
      <c r="C58" s="156" t="s">
        <v>326</v>
      </c>
      <c r="D58" s="156" t="s">
        <v>49</v>
      </c>
      <c r="E58" s="152" t="s">
        <v>607</v>
      </c>
      <c r="F58" s="152">
        <v>2</v>
      </c>
      <c r="G58" s="152">
        <v>2</v>
      </c>
      <c r="H58" s="154">
        <v>15.36</v>
      </c>
      <c r="I58" s="31">
        <v>4096</v>
      </c>
      <c r="J58" s="152" t="s">
        <v>581</v>
      </c>
      <c r="K58" s="156" t="s">
        <v>579</v>
      </c>
      <c r="L58" s="152">
        <v>2.6</v>
      </c>
      <c r="M58" s="152"/>
      <c r="N58" s="152"/>
      <c r="O58" s="152"/>
      <c r="P58" s="152"/>
      <c r="Q58" s="1"/>
      <c r="R58" s="1"/>
      <c r="S58" s="1"/>
      <c r="T58" s="1"/>
      <c r="U58" s="152"/>
      <c r="V58" s="152"/>
      <c r="W58" s="152"/>
      <c r="X58" s="152"/>
      <c r="Y58" s="152"/>
      <c r="Z58" s="152"/>
      <c r="AA58" s="152"/>
      <c r="AB58" s="152"/>
      <c r="AC58" s="152"/>
      <c r="AD58" s="152"/>
      <c r="AE58" s="152"/>
      <c r="AF58" s="152"/>
      <c r="AG58" s="78">
        <f t="shared" si="1"/>
        <v>30.72</v>
      </c>
      <c r="AH58" s="152" t="s">
        <v>581</v>
      </c>
      <c r="AI58" s="156" t="s">
        <v>579</v>
      </c>
      <c r="AJ58" s="152" t="s">
        <v>575</v>
      </c>
      <c r="AK58" s="156"/>
      <c r="AL58" s="156"/>
      <c r="AM58" s="156"/>
      <c r="AN58" s="156"/>
      <c r="AO58" s="156"/>
      <c r="AP58" s="156"/>
      <c r="AQ58" s="156"/>
      <c r="AR58" s="156"/>
      <c r="AS58" s="156"/>
      <c r="AT58" s="156"/>
      <c r="AU58" s="156"/>
      <c r="AV58" s="156"/>
      <c r="AW58" s="156"/>
      <c r="AX58" s="156"/>
      <c r="AY58" s="156"/>
      <c r="AZ58" s="156"/>
      <c r="BA58" s="152">
        <v>2</v>
      </c>
      <c r="BB58" s="152" t="s">
        <v>329</v>
      </c>
      <c r="BC58" s="152"/>
      <c r="BD58" s="152"/>
      <c r="BE58" s="152">
        <v>2</v>
      </c>
      <c r="BF58" s="152"/>
      <c r="BG58" s="152" t="s">
        <v>329</v>
      </c>
      <c r="BH58" s="152" t="s">
        <v>329</v>
      </c>
      <c r="BI58" s="152"/>
      <c r="BJ58" s="152"/>
      <c r="BK58" s="152"/>
      <c r="BL58" s="156"/>
    </row>
    <row r="59" spans="1:64" ht="15">
      <c r="A59" s="156" t="s">
        <v>394</v>
      </c>
      <c r="B59" s="156"/>
      <c r="C59" s="156" t="s">
        <v>326</v>
      </c>
      <c r="D59" s="156" t="s">
        <v>53</v>
      </c>
      <c r="E59" s="152" t="s">
        <v>619</v>
      </c>
      <c r="F59" s="152">
        <v>6</v>
      </c>
      <c r="G59" s="152">
        <v>5</v>
      </c>
      <c r="H59" s="154">
        <v>40.96</v>
      </c>
      <c r="I59" s="31">
        <v>4096</v>
      </c>
      <c r="J59" s="152" t="s">
        <v>581</v>
      </c>
      <c r="K59" s="156" t="s">
        <v>579</v>
      </c>
      <c r="L59" s="152">
        <v>2.6</v>
      </c>
      <c r="M59" s="152"/>
      <c r="N59" s="152"/>
      <c r="O59" s="152"/>
      <c r="P59" s="152"/>
      <c r="Q59" s="1"/>
      <c r="R59" s="1"/>
      <c r="S59" s="1"/>
      <c r="T59" s="1"/>
      <c r="U59" s="152"/>
      <c r="V59" s="152"/>
      <c r="W59" s="152"/>
      <c r="X59" s="152"/>
      <c r="Y59" s="152"/>
      <c r="Z59" s="152"/>
      <c r="AA59" s="152"/>
      <c r="AB59" s="152"/>
      <c r="AC59" s="152"/>
      <c r="AD59" s="152"/>
      <c r="AE59" s="152"/>
      <c r="AF59" s="152"/>
      <c r="AG59" s="78">
        <f t="shared" si="1"/>
        <v>81.92</v>
      </c>
      <c r="AH59" s="152" t="s">
        <v>581</v>
      </c>
      <c r="AI59" s="156" t="s">
        <v>579</v>
      </c>
      <c r="AJ59" s="152" t="s">
        <v>575</v>
      </c>
      <c r="AK59" s="156"/>
      <c r="AL59" s="156"/>
      <c r="AM59" s="156"/>
      <c r="AN59" s="156"/>
      <c r="AO59" s="156"/>
      <c r="AP59" s="156"/>
      <c r="AQ59" s="156"/>
      <c r="AR59" s="156"/>
      <c r="AS59" s="156"/>
      <c r="AT59" s="156"/>
      <c r="AU59" s="156"/>
      <c r="AV59" s="156"/>
      <c r="AW59" s="156"/>
      <c r="AX59" s="156"/>
      <c r="AY59" s="156"/>
      <c r="AZ59" s="156"/>
      <c r="BA59" s="152">
        <v>2</v>
      </c>
      <c r="BB59" s="152" t="s">
        <v>329</v>
      </c>
      <c r="BC59" s="152"/>
      <c r="BD59" s="152"/>
      <c r="BE59" s="152">
        <v>2</v>
      </c>
      <c r="BF59" s="152"/>
      <c r="BG59" s="152" t="s">
        <v>329</v>
      </c>
      <c r="BH59" s="152" t="s">
        <v>329</v>
      </c>
      <c r="BI59" s="152"/>
      <c r="BJ59" s="152"/>
      <c r="BK59" s="152"/>
      <c r="BL59" s="156"/>
    </row>
    <row r="60" spans="1:64" ht="15">
      <c r="A60" s="156" t="s">
        <v>395</v>
      </c>
      <c r="B60" s="156"/>
      <c r="C60" s="156" t="s">
        <v>326</v>
      </c>
      <c r="D60" s="156" t="s">
        <v>57</v>
      </c>
      <c r="E60" s="13" t="s">
        <v>609</v>
      </c>
      <c r="F60" s="152">
        <v>2</v>
      </c>
      <c r="G60" s="152">
        <v>2</v>
      </c>
      <c r="H60" s="78">
        <v>30.72</v>
      </c>
      <c r="I60" s="31">
        <v>4096</v>
      </c>
      <c r="J60" s="152" t="s">
        <v>581</v>
      </c>
      <c r="K60" s="156" t="s">
        <v>579</v>
      </c>
      <c r="L60" s="152">
        <v>2.6</v>
      </c>
      <c r="M60" s="152"/>
      <c r="N60" s="152"/>
      <c r="O60" s="152"/>
      <c r="P60" s="152"/>
      <c r="Q60" s="1"/>
      <c r="R60" s="1"/>
      <c r="S60" s="1"/>
      <c r="T60" s="1"/>
      <c r="U60" s="152"/>
      <c r="V60" s="152"/>
      <c r="W60" s="152"/>
      <c r="X60" s="152"/>
      <c r="Y60" s="152"/>
      <c r="Z60" s="152"/>
      <c r="AA60" s="152"/>
      <c r="AB60" s="152"/>
      <c r="AC60" s="152"/>
      <c r="AD60" s="152"/>
      <c r="AE60" s="152"/>
      <c r="AF60" s="152"/>
      <c r="AG60" s="78">
        <f t="shared" si="1"/>
        <v>61.44</v>
      </c>
      <c r="AH60" s="152" t="s">
        <v>581</v>
      </c>
      <c r="AI60" s="13" t="s">
        <v>579</v>
      </c>
      <c r="AJ60" s="8" t="s">
        <v>575</v>
      </c>
      <c r="AK60" s="13"/>
      <c r="AL60" s="13"/>
      <c r="AM60" s="13"/>
      <c r="AN60" s="13"/>
      <c r="AO60" s="13"/>
      <c r="AP60" s="13"/>
      <c r="AQ60" s="13"/>
      <c r="AR60" s="13"/>
      <c r="AS60" s="13"/>
      <c r="AT60" s="13"/>
      <c r="AU60" s="13"/>
      <c r="AV60" s="13"/>
      <c r="AW60" s="13"/>
      <c r="AX60" s="13"/>
      <c r="AY60" s="13"/>
      <c r="AZ60" s="13"/>
      <c r="BA60" s="8">
        <v>2</v>
      </c>
      <c r="BB60" s="8" t="s">
        <v>329</v>
      </c>
      <c r="BC60" s="8"/>
      <c r="BD60" s="8"/>
      <c r="BE60" s="8">
        <v>2</v>
      </c>
      <c r="BF60" s="8"/>
      <c r="BG60" s="8" t="s">
        <v>329</v>
      </c>
      <c r="BH60" s="8" t="s">
        <v>329</v>
      </c>
      <c r="BI60" s="8"/>
      <c r="BJ60" s="8"/>
      <c r="BK60" s="8"/>
      <c r="BL60" s="13"/>
    </row>
    <row r="61" spans="1:64">
      <c r="A61" s="10"/>
      <c r="B61" s="10"/>
      <c r="C61" s="10"/>
      <c r="D61" s="10"/>
      <c r="E61" s="152"/>
      <c r="F61" s="9">
        <f>SUM(F42:F60)+F38</f>
        <v>235</v>
      </c>
      <c r="G61" s="9">
        <f>SUM(G42:G60)+G38</f>
        <v>571</v>
      </c>
      <c r="H61" s="80">
        <f>SUM(H42:H60)+H38</f>
        <v>3846.4800000000005</v>
      </c>
      <c r="I61" s="34"/>
      <c r="J61" s="80"/>
      <c r="K61" s="80"/>
      <c r="L61" s="80">
        <f>L38+SUM(L42:L60)</f>
        <v>1254.2000000000003</v>
      </c>
      <c r="M61" s="80">
        <f>SUM(M42:M60)+M38</f>
        <v>60.83</v>
      </c>
      <c r="N61" s="80"/>
      <c r="O61" s="80"/>
      <c r="P61" s="80">
        <f>P38+SUM(P42:P60)</f>
        <v>0.05</v>
      </c>
      <c r="Q61" s="80">
        <f>SUM(Q42:Q60)+Q38</f>
        <v>1382.4</v>
      </c>
      <c r="R61" s="80"/>
      <c r="S61" s="80"/>
      <c r="T61" s="80">
        <f>T38+SUM(T42:T60)</f>
        <v>0.05</v>
      </c>
      <c r="U61" s="80">
        <f>SUM(U42:U60)+U38</f>
        <v>2073.6</v>
      </c>
      <c r="V61" s="80"/>
      <c r="W61" s="80"/>
      <c r="X61" s="80">
        <f>X38+SUM(X42:X60)</f>
        <v>0.05</v>
      </c>
      <c r="Y61" s="80">
        <f>SUM(Y42:Y60)+Y38</f>
        <v>330.7</v>
      </c>
      <c r="Z61" s="80"/>
      <c r="AA61" s="80"/>
      <c r="AB61" s="80">
        <f>AB38+SUM(AB42:AB60)</f>
        <v>0.1</v>
      </c>
      <c r="AC61" s="80">
        <f>AC38+SUM(AC42:AC60)</f>
        <v>276.48</v>
      </c>
      <c r="AD61" s="80"/>
      <c r="AE61" s="80"/>
      <c r="AF61" s="80">
        <f>AF38+SUM(AF42:AF60)</f>
        <v>0</v>
      </c>
      <c r="AG61" s="80">
        <f>SUM(AG42:AG60)+AG38</f>
        <v>14349.409999999991</v>
      </c>
      <c r="AH61" s="80"/>
      <c r="AI61" s="78"/>
      <c r="AJ61" s="78"/>
      <c r="AK61" s="78">
        <f>SUM(AK42:AK60)+AK38</f>
        <v>92.16</v>
      </c>
      <c r="AL61" s="152"/>
      <c r="AM61" s="152"/>
      <c r="AN61" s="152">
        <f>AN38+SUM(AN42:AN60)</f>
        <v>0.1</v>
      </c>
      <c r="AO61" s="152"/>
      <c r="AP61" s="152"/>
      <c r="AQ61" s="152"/>
      <c r="AR61" s="152"/>
      <c r="AS61" s="152"/>
      <c r="AT61" s="152"/>
      <c r="AU61" s="152"/>
      <c r="AV61" s="152"/>
      <c r="AW61" s="152"/>
      <c r="AX61" s="152"/>
      <c r="AY61" s="152"/>
      <c r="AZ61" s="152"/>
      <c r="BA61" s="152">
        <f>BA38+SUM(BA42:BA60)</f>
        <v>126</v>
      </c>
      <c r="BB61" s="152">
        <f>BB38+COUNTIF(BB42:BB60,"x")</f>
        <v>49</v>
      </c>
      <c r="BC61" s="152">
        <f>3</f>
        <v>3</v>
      </c>
      <c r="BD61" s="152">
        <v>1</v>
      </c>
      <c r="BE61" s="152">
        <f>BE38+SUM(BE42:BE60)</f>
        <v>96</v>
      </c>
      <c r="BF61" s="152">
        <v>1</v>
      </c>
      <c r="BG61" s="152">
        <f>BG38+COUNTIF(BG42:BG60,"x")</f>
        <v>19</v>
      </c>
      <c r="BH61" s="152">
        <f>BH38+COUNTIF(BH42:BH60,"x")</f>
        <v>48</v>
      </c>
      <c r="BI61" s="152" t="s">
        <v>601</v>
      </c>
      <c r="BJ61" s="152">
        <v>2</v>
      </c>
      <c r="BK61" s="152">
        <v>4</v>
      </c>
      <c r="BL61" s="152">
        <v>2</v>
      </c>
    </row>
    <row r="62" spans="1:64">
      <c r="A62" s="156"/>
      <c r="B62" s="156"/>
      <c r="C62" s="156"/>
      <c r="D62" s="156"/>
      <c r="E62" s="152"/>
      <c r="F62" s="156"/>
      <c r="G62" s="156"/>
      <c r="H62" s="156"/>
      <c r="I62" s="45"/>
      <c r="J62" s="156"/>
      <c r="K62" s="156"/>
      <c r="L62" s="156"/>
      <c r="M62" s="156"/>
      <c r="N62" s="156"/>
      <c r="O62" s="156"/>
      <c r="P62" s="156"/>
      <c r="Q62" s="156"/>
      <c r="R62" s="156"/>
      <c r="S62" s="156"/>
      <c r="T62" s="156"/>
      <c r="U62" s="156"/>
      <c r="V62" s="156"/>
      <c r="W62" s="156"/>
      <c r="X62" s="156"/>
      <c r="Y62" s="156"/>
      <c r="Z62" s="156"/>
      <c r="AA62" s="156"/>
      <c r="AB62" s="156"/>
      <c r="AC62" s="156"/>
      <c r="AD62" s="156"/>
      <c r="AE62" s="156"/>
      <c r="AF62" s="156"/>
      <c r="AG62" s="81"/>
      <c r="AH62" s="156"/>
      <c r="AI62" s="156"/>
      <c r="AJ62" s="156"/>
      <c r="AK62" s="156"/>
      <c r="AL62" s="156"/>
      <c r="AM62" s="156"/>
      <c r="AN62" s="156"/>
      <c r="AO62" s="156"/>
      <c r="AP62" s="156"/>
      <c r="AQ62" s="156"/>
      <c r="AR62" s="156"/>
      <c r="AS62" s="156"/>
      <c r="AT62" s="156"/>
      <c r="AU62" s="156"/>
      <c r="AV62" s="156"/>
      <c r="AW62" s="156"/>
      <c r="AX62" s="156"/>
      <c r="AY62" s="156"/>
      <c r="AZ62" s="156"/>
      <c r="BA62" s="152"/>
      <c r="BB62" s="156"/>
      <c r="BC62" s="156"/>
      <c r="BD62" s="156"/>
      <c r="BE62" s="156"/>
      <c r="BF62" s="156"/>
      <c r="BG62" s="156"/>
      <c r="BH62" s="156"/>
      <c r="BI62" s="156"/>
      <c r="BJ62" s="156"/>
      <c r="BK62" s="156"/>
      <c r="BL62" s="156"/>
    </row>
    <row r="63" spans="1:64" ht="15">
      <c r="A63" s="7" t="s">
        <v>610</v>
      </c>
      <c r="B63" s="156"/>
      <c r="C63" s="156"/>
      <c r="D63" s="156"/>
      <c r="E63" s="1"/>
      <c r="F63" s="156"/>
      <c r="G63" s="156"/>
      <c r="H63" s="156"/>
      <c r="I63" s="45"/>
      <c r="J63" s="156"/>
      <c r="K63" s="156"/>
      <c r="L63" s="156"/>
      <c r="M63" s="156"/>
      <c r="N63" s="156"/>
      <c r="O63" s="156"/>
      <c r="P63" s="156"/>
      <c r="Q63" s="156"/>
      <c r="R63" s="156"/>
      <c r="S63" s="156"/>
      <c r="T63" s="156"/>
      <c r="U63" s="156"/>
      <c r="V63" s="156"/>
      <c r="W63" s="156"/>
      <c r="X63" s="156"/>
      <c r="Y63" s="156"/>
      <c r="Z63" s="156"/>
      <c r="AA63" s="156"/>
      <c r="AB63" s="156"/>
      <c r="AC63" s="156"/>
      <c r="AD63" s="156"/>
      <c r="AE63" s="156"/>
      <c r="AF63" s="156"/>
      <c r="AG63" s="81"/>
      <c r="AH63" s="156"/>
      <c r="AI63" s="156"/>
      <c r="AJ63" s="156"/>
      <c r="AK63" s="156"/>
      <c r="AL63" s="156"/>
      <c r="AM63" s="156"/>
      <c r="AN63" s="156"/>
      <c r="AO63" s="156"/>
      <c r="AP63" s="156"/>
      <c r="AQ63" s="156"/>
      <c r="AR63" s="156"/>
      <c r="AS63" s="156"/>
      <c r="AT63" s="156"/>
      <c r="AU63" s="156"/>
      <c r="AV63" s="156"/>
      <c r="AW63" s="156"/>
      <c r="AX63" s="156"/>
      <c r="AY63" s="156"/>
      <c r="AZ63" s="156"/>
      <c r="BA63" s="152"/>
      <c r="BB63" s="156"/>
      <c r="BC63" s="156"/>
      <c r="BD63" s="156"/>
      <c r="BE63" s="156"/>
      <c r="BF63" s="156"/>
      <c r="BG63" s="156"/>
      <c r="BH63" s="156"/>
      <c r="BI63" s="156"/>
      <c r="BJ63" s="156"/>
      <c r="BK63" s="156"/>
      <c r="BL63" s="156"/>
    </row>
    <row r="64" spans="1:64">
      <c r="A64" s="156"/>
      <c r="B64" s="156"/>
      <c r="C64" s="156"/>
      <c r="D64" s="156"/>
      <c r="E64" s="152"/>
      <c r="F64" s="152"/>
      <c r="G64" s="152"/>
      <c r="H64" s="152"/>
      <c r="I64" s="31"/>
      <c r="J64" s="152"/>
      <c r="K64" s="152"/>
      <c r="L64" s="152"/>
      <c r="M64" s="152"/>
      <c r="N64" s="152"/>
      <c r="O64" s="152"/>
      <c r="P64" s="152"/>
      <c r="Q64" s="152"/>
      <c r="R64" s="152"/>
      <c r="S64" s="152"/>
      <c r="T64" s="152"/>
      <c r="U64" s="156"/>
      <c r="V64" s="156"/>
      <c r="W64" s="156"/>
      <c r="X64" s="156"/>
      <c r="Y64" s="156"/>
      <c r="Z64" s="156"/>
      <c r="AA64" s="156"/>
      <c r="AB64" s="156"/>
      <c r="AC64" s="156"/>
      <c r="AD64" s="156"/>
      <c r="AE64" s="156"/>
      <c r="AF64" s="156"/>
      <c r="AG64" s="81"/>
      <c r="AH64" s="156"/>
      <c r="AI64" s="156"/>
      <c r="AJ64" s="156"/>
      <c r="AK64" s="156"/>
      <c r="AL64" s="156"/>
      <c r="AM64" s="156"/>
      <c r="AN64" s="156"/>
      <c r="AO64" s="156"/>
      <c r="AP64" s="156"/>
      <c r="AQ64" s="156"/>
      <c r="AR64" s="156"/>
      <c r="AS64" s="156"/>
      <c r="AT64" s="156"/>
      <c r="AU64" s="156"/>
      <c r="AV64" s="156"/>
      <c r="AW64" s="156"/>
      <c r="AX64" s="156"/>
      <c r="AY64" s="156"/>
      <c r="AZ64" s="156"/>
      <c r="BA64" s="152"/>
      <c r="BB64" s="156"/>
      <c r="BC64" s="156"/>
      <c r="BD64" s="156"/>
      <c r="BE64" s="156"/>
      <c r="BF64" s="156"/>
      <c r="BG64" s="156"/>
      <c r="BH64" s="156"/>
      <c r="BI64" s="156"/>
      <c r="BJ64" s="156"/>
      <c r="BK64" s="156"/>
      <c r="BL64" s="156"/>
    </row>
    <row r="65" spans="1:64">
      <c r="A65" s="156" t="s">
        <v>425</v>
      </c>
      <c r="B65" s="156"/>
      <c r="C65" s="156" t="s">
        <v>427</v>
      </c>
      <c r="D65" s="156" t="s">
        <v>8</v>
      </c>
      <c r="E65" s="152" t="s">
        <v>611</v>
      </c>
      <c r="F65" s="152">
        <v>2</v>
      </c>
      <c r="G65" s="152">
        <v>4</v>
      </c>
      <c r="H65" s="154">
        <v>71.900000000000006</v>
      </c>
      <c r="I65" s="31">
        <v>4096</v>
      </c>
      <c r="J65" s="152" t="s">
        <v>581</v>
      </c>
      <c r="K65" s="156" t="s">
        <v>579</v>
      </c>
      <c r="L65" s="152">
        <v>2.6</v>
      </c>
      <c r="M65" s="152"/>
      <c r="N65" s="152"/>
      <c r="O65" s="152"/>
      <c r="P65" s="152"/>
      <c r="Q65" s="152"/>
      <c r="R65" s="152"/>
      <c r="S65" s="152"/>
      <c r="T65" s="152"/>
      <c r="U65" s="152"/>
      <c r="V65" s="152"/>
      <c r="W65" s="152"/>
      <c r="X65" s="152"/>
      <c r="Y65" s="152"/>
      <c r="Z65" s="152"/>
      <c r="AA65" s="152"/>
      <c r="AB65" s="152"/>
      <c r="AC65" s="152"/>
      <c r="AD65" s="152"/>
      <c r="AE65" s="152"/>
      <c r="AF65" s="152"/>
      <c r="AG65" s="78">
        <f>2*H65</f>
        <v>143.80000000000001</v>
      </c>
      <c r="AH65" s="152" t="s">
        <v>581</v>
      </c>
      <c r="AI65" s="156" t="s">
        <v>579</v>
      </c>
      <c r="AJ65" s="152" t="s">
        <v>575</v>
      </c>
      <c r="AK65" s="152"/>
      <c r="AL65" s="152"/>
      <c r="AM65" s="152"/>
      <c r="AN65" s="152"/>
      <c r="AO65" s="152"/>
      <c r="AP65" s="152"/>
      <c r="AQ65" s="152"/>
      <c r="AR65" s="152"/>
      <c r="AS65" s="152"/>
      <c r="AT65" s="152"/>
      <c r="AU65" s="152"/>
      <c r="AV65" s="152"/>
      <c r="AW65" s="152"/>
      <c r="AX65" s="152"/>
      <c r="AY65" s="152"/>
      <c r="AZ65" s="152"/>
      <c r="BA65" s="152">
        <v>2</v>
      </c>
      <c r="BB65" s="152" t="s">
        <v>329</v>
      </c>
      <c r="BC65" s="152"/>
      <c r="BD65" s="152"/>
      <c r="BE65" s="152">
        <v>2</v>
      </c>
      <c r="BF65" s="152"/>
      <c r="BG65" s="152" t="s">
        <v>329</v>
      </c>
      <c r="BH65" s="152" t="s">
        <v>329</v>
      </c>
      <c r="BI65" s="152"/>
      <c r="BJ65" s="152"/>
      <c r="BK65" s="152"/>
      <c r="BL65" s="152"/>
    </row>
    <row r="66" spans="1:64">
      <c r="A66" s="156" t="s">
        <v>429</v>
      </c>
      <c r="B66" s="156"/>
      <c r="C66" s="156" t="s">
        <v>427</v>
      </c>
      <c r="D66" s="156" t="s">
        <v>430</v>
      </c>
      <c r="E66" s="152" t="s">
        <v>612</v>
      </c>
      <c r="F66" s="152">
        <v>6</v>
      </c>
      <c r="G66" s="152">
        <v>10</v>
      </c>
      <c r="H66" s="78">
        <v>102.4</v>
      </c>
      <c r="I66" s="31">
        <v>16384</v>
      </c>
      <c r="J66" s="152" t="s">
        <v>581</v>
      </c>
      <c r="K66" s="156" t="s">
        <v>579</v>
      </c>
      <c r="L66" s="152">
        <v>2.6</v>
      </c>
      <c r="M66" s="152"/>
      <c r="N66" s="152"/>
      <c r="O66" s="152"/>
      <c r="P66" s="152"/>
      <c r="Q66" s="154">
        <v>204.8</v>
      </c>
      <c r="R66" s="154" t="s">
        <v>581</v>
      </c>
      <c r="S66" s="156" t="s">
        <v>579</v>
      </c>
      <c r="T66" s="154" t="s">
        <v>575</v>
      </c>
      <c r="U66" s="154"/>
      <c r="V66" s="154"/>
      <c r="W66" s="154"/>
      <c r="X66" s="154"/>
      <c r="Y66" s="156"/>
      <c r="Z66" s="156"/>
      <c r="AA66" s="156"/>
      <c r="AB66" s="154" t="s">
        <v>575</v>
      </c>
      <c r="AC66" s="152"/>
      <c r="AD66" s="152"/>
      <c r="AE66" s="152"/>
      <c r="AF66" s="152"/>
      <c r="AG66" s="78">
        <f>2*H66+Q66*2</f>
        <v>614.40000000000009</v>
      </c>
      <c r="AH66" s="152" t="s">
        <v>581</v>
      </c>
      <c r="AI66" s="156" t="s">
        <v>579</v>
      </c>
      <c r="AJ66" s="152" t="s">
        <v>575</v>
      </c>
      <c r="AK66" s="152"/>
      <c r="AL66" s="152"/>
      <c r="AM66" s="152"/>
      <c r="AN66" s="152"/>
      <c r="AO66" s="152"/>
      <c r="AP66" s="152"/>
      <c r="AQ66" s="152"/>
      <c r="AR66" s="152"/>
      <c r="AS66" s="152"/>
      <c r="AT66" s="152"/>
      <c r="AU66" s="152"/>
      <c r="AV66" s="152"/>
      <c r="AW66" s="152"/>
      <c r="AX66" s="152"/>
      <c r="AY66" s="152"/>
      <c r="AZ66" s="152"/>
      <c r="BA66" s="152">
        <v>3</v>
      </c>
      <c r="BB66" s="152" t="s">
        <v>329</v>
      </c>
      <c r="BC66" s="152"/>
      <c r="BD66" s="152"/>
      <c r="BE66" s="152">
        <v>2</v>
      </c>
      <c r="BF66" s="152"/>
      <c r="BG66" s="152" t="s">
        <v>329</v>
      </c>
      <c r="BH66" s="152" t="s">
        <v>329</v>
      </c>
      <c r="BI66" s="152"/>
      <c r="BJ66" s="152"/>
      <c r="BK66" s="152"/>
      <c r="BL66" s="152"/>
    </row>
    <row r="67" spans="1:64">
      <c r="A67" s="156" t="s">
        <v>432</v>
      </c>
      <c r="B67" s="156"/>
      <c r="C67" s="156" t="s">
        <v>427</v>
      </c>
      <c r="D67" s="156" t="s">
        <v>433</v>
      </c>
      <c r="E67" s="152" t="s">
        <v>613</v>
      </c>
      <c r="F67" s="152">
        <v>8</v>
      </c>
      <c r="G67" s="152">
        <v>16</v>
      </c>
      <c r="H67" s="154">
        <v>61.44</v>
      </c>
      <c r="I67" s="31">
        <v>4096</v>
      </c>
      <c r="J67" s="152" t="s">
        <v>581</v>
      </c>
      <c r="K67" s="156" t="s">
        <v>579</v>
      </c>
      <c r="L67" s="152">
        <v>2.6</v>
      </c>
      <c r="M67" s="152"/>
      <c r="N67" s="152"/>
      <c r="O67" s="152"/>
      <c r="P67" s="152"/>
      <c r="Q67" s="154"/>
      <c r="R67" s="154"/>
      <c r="S67" s="154"/>
      <c r="T67" s="154"/>
      <c r="U67" s="154"/>
      <c r="V67" s="154"/>
      <c r="W67" s="154"/>
      <c r="X67" s="154"/>
      <c r="Y67" s="154"/>
      <c r="Z67" s="154"/>
      <c r="AA67" s="154"/>
      <c r="AB67" s="154"/>
      <c r="AC67" s="152"/>
      <c r="AD67" s="152"/>
      <c r="AE67" s="152"/>
      <c r="AF67" s="152"/>
      <c r="AG67" s="78">
        <f>2*H67</f>
        <v>122.88</v>
      </c>
      <c r="AH67" s="152" t="s">
        <v>581</v>
      </c>
      <c r="AI67" s="156" t="s">
        <v>579</v>
      </c>
      <c r="AJ67" s="152" t="s">
        <v>575</v>
      </c>
      <c r="AK67" s="152"/>
      <c r="AL67" s="152"/>
      <c r="AM67" s="152"/>
      <c r="AN67" s="152"/>
      <c r="AO67" s="152"/>
      <c r="AP67" s="152"/>
      <c r="AQ67" s="152"/>
      <c r="AR67" s="152"/>
      <c r="AS67" s="152"/>
      <c r="AT67" s="152"/>
      <c r="AU67" s="152"/>
      <c r="AV67" s="152"/>
      <c r="AW67" s="152"/>
      <c r="AX67" s="152"/>
      <c r="AY67" s="152"/>
      <c r="AZ67" s="152"/>
      <c r="BA67" s="152">
        <v>2</v>
      </c>
      <c r="BB67" s="152" t="s">
        <v>329</v>
      </c>
      <c r="BC67" s="152"/>
      <c r="BD67" s="152"/>
      <c r="BE67" s="152">
        <v>2</v>
      </c>
      <c r="BF67" s="152"/>
      <c r="BG67" s="152" t="s">
        <v>329</v>
      </c>
      <c r="BH67" s="152" t="s">
        <v>329</v>
      </c>
      <c r="BI67" s="152"/>
      <c r="BJ67" s="152"/>
      <c r="BK67" s="152"/>
      <c r="BL67" s="152"/>
    </row>
    <row r="68" spans="1:64">
      <c r="A68" s="156" t="s">
        <v>435</v>
      </c>
      <c r="B68" s="156"/>
      <c r="C68" s="156" t="s">
        <v>427</v>
      </c>
      <c r="D68" s="156" t="s">
        <v>436</v>
      </c>
      <c r="E68" s="152" t="s">
        <v>614</v>
      </c>
      <c r="F68" s="152">
        <v>10</v>
      </c>
      <c r="G68" s="152">
        <v>10</v>
      </c>
      <c r="H68" s="78">
        <v>30.72</v>
      </c>
      <c r="I68" s="31">
        <v>4096</v>
      </c>
      <c r="J68" s="152" t="s">
        <v>581</v>
      </c>
      <c r="K68" s="156" t="s">
        <v>579</v>
      </c>
      <c r="L68" s="152">
        <v>2.6</v>
      </c>
      <c r="M68" s="152"/>
      <c r="N68" s="152"/>
      <c r="O68" s="152"/>
      <c r="P68" s="152"/>
      <c r="Q68" s="154"/>
      <c r="R68" s="154"/>
      <c r="S68" s="154"/>
      <c r="T68" s="154"/>
      <c r="U68" s="154"/>
      <c r="V68" s="154"/>
      <c r="W68" s="154"/>
      <c r="X68" s="154"/>
      <c r="Y68" s="154"/>
      <c r="Z68" s="154"/>
      <c r="AA68" s="154"/>
      <c r="AB68" s="154"/>
      <c r="AC68" s="152"/>
      <c r="AD68" s="152"/>
      <c r="AE68" s="152"/>
      <c r="AF68" s="152"/>
      <c r="AG68" s="78">
        <f>2*H68</f>
        <v>61.44</v>
      </c>
      <c r="AH68" s="152" t="s">
        <v>581</v>
      </c>
      <c r="AI68" s="156" t="s">
        <v>579</v>
      </c>
      <c r="AJ68" s="152" t="s">
        <v>575</v>
      </c>
      <c r="AK68" s="152"/>
      <c r="AL68" s="152"/>
      <c r="AM68" s="152"/>
      <c r="AN68" s="152"/>
      <c r="AO68" s="152"/>
      <c r="AP68" s="152"/>
      <c r="AQ68" s="152"/>
      <c r="AR68" s="152"/>
      <c r="AS68" s="152"/>
      <c r="AT68" s="152"/>
      <c r="AU68" s="152"/>
      <c r="AV68" s="152"/>
      <c r="AW68" s="152"/>
      <c r="AX68" s="152"/>
      <c r="AY68" s="152"/>
      <c r="AZ68" s="152"/>
      <c r="BA68" s="152">
        <v>2</v>
      </c>
      <c r="BB68" s="152" t="s">
        <v>329</v>
      </c>
      <c r="BC68" s="152"/>
      <c r="BD68" s="152"/>
      <c r="BE68" s="152">
        <v>2</v>
      </c>
      <c r="BF68" s="152"/>
      <c r="BG68" s="152" t="s">
        <v>329</v>
      </c>
      <c r="BH68" s="152" t="s">
        <v>329</v>
      </c>
      <c r="BI68" s="152"/>
      <c r="BJ68" s="152"/>
      <c r="BK68" s="152"/>
      <c r="BL68" s="152"/>
    </row>
    <row r="69" spans="1:64">
      <c r="A69" s="156" t="s">
        <v>437</v>
      </c>
      <c r="B69" s="156"/>
      <c r="C69" s="156" t="s">
        <v>427</v>
      </c>
      <c r="D69" s="156" t="s">
        <v>438</v>
      </c>
      <c r="E69" s="152" t="s">
        <v>615</v>
      </c>
      <c r="F69" s="152">
        <v>4</v>
      </c>
      <c r="G69" s="152">
        <v>16</v>
      </c>
      <c r="H69" s="154">
        <v>563.20000000000005</v>
      </c>
      <c r="I69" s="31">
        <v>4096</v>
      </c>
      <c r="J69" s="152" t="s">
        <v>581</v>
      </c>
      <c r="K69" s="156" t="s">
        <v>579</v>
      </c>
      <c r="L69" s="152">
        <v>2.6</v>
      </c>
      <c r="M69" s="152"/>
      <c r="N69" s="152"/>
      <c r="O69" s="152"/>
      <c r="P69" s="152"/>
      <c r="Q69" s="156"/>
      <c r="R69" s="154"/>
      <c r="S69" s="156"/>
      <c r="T69" s="154"/>
      <c r="U69" s="154"/>
      <c r="V69" s="154"/>
      <c r="W69" s="154"/>
      <c r="X69" s="154"/>
      <c r="Y69" s="154"/>
      <c r="Z69" s="154"/>
      <c r="AA69" s="154"/>
      <c r="AB69" s="154"/>
      <c r="AC69" s="152"/>
      <c r="AD69" s="152"/>
      <c r="AE69" s="152"/>
      <c r="AF69" s="152"/>
      <c r="AG69" s="78">
        <f>2*H69+Q69</f>
        <v>1126.4000000000001</v>
      </c>
      <c r="AH69" s="152" t="s">
        <v>581</v>
      </c>
      <c r="AI69" s="156" t="s">
        <v>579</v>
      </c>
      <c r="AJ69" s="152" t="s">
        <v>575</v>
      </c>
      <c r="AK69" s="152"/>
      <c r="AL69" s="152"/>
      <c r="AM69" s="152"/>
      <c r="AN69" s="152"/>
      <c r="AO69" s="152"/>
      <c r="AP69" s="152"/>
      <c r="AQ69" s="152"/>
      <c r="AR69" s="152"/>
      <c r="AS69" s="152"/>
      <c r="AT69" s="152"/>
      <c r="AU69" s="152"/>
      <c r="AV69" s="152"/>
      <c r="AW69" s="152"/>
      <c r="AX69" s="152"/>
      <c r="AY69" s="152"/>
      <c r="AZ69" s="152"/>
      <c r="BA69" s="152">
        <v>2</v>
      </c>
      <c r="BB69" s="152" t="s">
        <v>329</v>
      </c>
      <c r="BC69" s="152"/>
      <c r="BD69" s="152"/>
      <c r="BE69" s="152">
        <v>2</v>
      </c>
      <c r="BF69" s="152"/>
      <c r="BG69" s="152" t="s">
        <v>329</v>
      </c>
      <c r="BH69" s="152" t="s">
        <v>329</v>
      </c>
      <c r="BI69" s="152"/>
      <c r="BJ69" s="152"/>
      <c r="BK69" s="152"/>
      <c r="BL69" s="152"/>
    </row>
    <row r="70" spans="1:64">
      <c r="A70" s="13" t="s">
        <v>440</v>
      </c>
      <c r="B70" s="13"/>
      <c r="C70" s="13" t="s">
        <v>427</v>
      </c>
      <c r="D70" s="13" t="s">
        <v>441</v>
      </c>
      <c r="E70" s="8" t="s">
        <v>616</v>
      </c>
      <c r="F70" s="8">
        <v>2</v>
      </c>
      <c r="G70" s="8">
        <v>4</v>
      </c>
      <c r="H70" s="79">
        <v>40.96</v>
      </c>
      <c r="I70" s="90">
        <v>4096</v>
      </c>
      <c r="J70" s="8" t="s">
        <v>581</v>
      </c>
      <c r="K70" s="156" t="s">
        <v>579</v>
      </c>
      <c r="L70" s="8">
        <v>2.6</v>
      </c>
      <c r="M70" s="8"/>
      <c r="N70" s="8"/>
      <c r="O70" s="8"/>
      <c r="P70" s="8"/>
      <c r="Q70" s="36"/>
      <c r="R70" s="36"/>
      <c r="S70" s="13"/>
      <c r="T70" s="36"/>
      <c r="U70" s="36"/>
      <c r="V70" s="36"/>
      <c r="W70" s="36"/>
      <c r="X70" s="36"/>
      <c r="Y70" s="36">
        <v>51.2</v>
      </c>
      <c r="Z70" s="36" t="s">
        <v>581</v>
      </c>
      <c r="AA70" s="13" t="s">
        <v>579</v>
      </c>
      <c r="AB70" s="36"/>
      <c r="AC70" s="8"/>
      <c r="AD70" s="8"/>
      <c r="AE70" s="8"/>
      <c r="AF70" s="8"/>
      <c r="AG70" s="79">
        <f>H70*2+Y70*2</f>
        <v>184.32</v>
      </c>
      <c r="AH70" s="8" t="s">
        <v>581</v>
      </c>
      <c r="AI70" s="13" t="s">
        <v>579</v>
      </c>
      <c r="AJ70" s="8" t="s">
        <v>575</v>
      </c>
      <c r="AK70" s="8"/>
      <c r="AL70" s="8"/>
      <c r="AM70" s="8"/>
      <c r="AN70" s="8"/>
      <c r="AO70" s="8"/>
      <c r="AP70" s="8"/>
      <c r="AQ70" s="8"/>
      <c r="AR70" s="8"/>
      <c r="AS70" s="8"/>
      <c r="AT70" s="8"/>
      <c r="AU70" s="8"/>
      <c r="AV70" s="8"/>
      <c r="AW70" s="8"/>
      <c r="AX70" s="8"/>
      <c r="AY70" s="8"/>
      <c r="AZ70" s="8"/>
      <c r="BA70" s="8">
        <v>3</v>
      </c>
      <c r="BB70" s="8" t="s">
        <v>329</v>
      </c>
      <c r="BC70" s="8"/>
      <c r="BD70" s="8"/>
      <c r="BE70" s="8">
        <v>2</v>
      </c>
      <c r="BF70" s="8"/>
      <c r="BG70" s="8" t="s">
        <v>329</v>
      </c>
      <c r="BH70" s="8" t="s">
        <v>329</v>
      </c>
      <c r="BI70" s="8"/>
      <c r="BJ70" s="8"/>
      <c r="BK70" s="8"/>
      <c r="BL70" s="8"/>
    </row>
    <row r="71" spans="1:64">
      <c r="A71" s="156"/>
      <c r="B71" s="156"/>
      <c r="C71" s="156"/>
      <c r="D71" s="156"/>
      <c r="E71" s="156"/>
      <c r="F71" s="152">
        <f>F61+SUM(F65:F70)</f>
        <v>267</v>
      </c>
      <c r="G71" s="152">
        <f>G61+SUM(G65:G70)</f>
        <v>631</v>
      </c>
      <c r="H71" s="78">
        <f>H61+SUM(H65:H70)</f>
        <v>4717.1000000000004</v>
      </c>
      <c r="I71" s="78"/>
      <c r="J71" s="78"/>
      <c r="K71" s="78"/>
      <c r="L71" s="78">
        <f>L61+SUM(L65:L70)</f>
        <v>1269.8000000000002</v>
      </c>
      <c r="M71" s="78">
        <f>M61+SUM(M65:M70)</f>
        <v>60.83</v>
      </c>
      <c r="N71" s="78"/>
      <c r="O71" s="78"/>
      <c r="P71" s="78">
        <f>P61+SUM(P65:P70)</f>
        <v>0.05</v>
      </c>
      <c r="Q71" s="78">
        <f>Q61+SUM(Q65:Q70)</f>
        <v>1587.2</v>
      </c>
      <c r="R71" s="78"/>
      <c r="S71" s="78"/>
      <c r="T71" s="78">
        <f>T61+SUM(T65:T70)</f>
        <v>0.05</v>
      </c>
      <c r="U71" s="78">
        <f>U61+SUM(U65:U70)</f>
        <v>2073.6</v>
      </c>
      <c r="V71" s="78"/>
      <c r="W71" s="78"/>
      <c r="X71" s="78">
        <f>X61+SUM(X65:X70)</f>
        <v>0.05</v>
      </c>
      <c r="Y71" s="78">
        <f>Y61+SUM(Y65:Y70)</f>
        <v>381.9</v>
      </c>
      <c r="Z71" s="78"/>
      <c r="AA71" s="78"/>
      <c r="AB71" s="78">
        <f>AB61+SUM(AB65:AB70)</f>
        <v>0.1</v>
      </c>
      <c r="AC71" s="78">
        <f>AC61+SUM(AC65:AC70)</f>
        <v>276.48</v>
      </c>
      <c r="AD71" s="78"/>
      <c r="AE71" s="78"/>
      <c r="AF71" s="78">
        <f>AF61+SUM(AF65:AF70)</f>
        <v>0</v>
      </c>
      <c r="AG71" s="78">
        <f>AG61+SUM(AG65:AG70)</f>
        <v>16602.649999999991</v>
      </c>
      <c r="AH71" s="152"/>
      <c r="AI71" s="152"/>
      <c r="AJ71" s="152"/>
      <c r="AK71" s="78">
        <f>SUM(AK65:AK70)+AK61</f>
        <v>92.16</v>
      </c>
      <c r="AL71" s="152"/>
      <c r="AM71" s="152"/>
      <c r="AN71" s="152">
        <f>AN61+SUM(AN65:AN70)</f>
        <v>0.1</v>
      </c>
      <c r="AO71" s="152"/>
      <c r="AP71" s="152"/>
      <c r="AQ71" s="152"/>
      <c r="AR71" s="152"/>
      <c r="AS71" s="152"/>
      <c r="AT71" s="152"/>
      <c r="AU71" s="152"/>
      <c r="AV71" s="152"/>
      <c r="AW71" s="152"/>
      <c r="AX71" s="152"/>
      <c r="AY71" s="152"/>
      <c r="AZ71" s="152"/>
      <c r="BA71" s="152">
        <f>BA61+SUM(BA65:BA70)</f>
        <v>140</v>
      </c>
      <c r="BB71" s="152">
        <f>BB61+COUNTIF(BB65:BB70,"x")</f>
        <v>55</v>
      </c>
      <c r="BC71" s="152">
        <v>3</v>
      </c>
      <c r="BD71" s="152">
        <v>1</v>
      </c>
      <c r="BE71" s="152">
        <f>BE61+SUM(BE65:BE70)</f>
        <v>108</v>
      </c>
      <c r="BF71" s="152">
        <v>1</v>
      </c>
      <c r="BG71" s="152">
        <f>BG61+COUNTIF(BG65:BG70,"x")</f>
        <v>25</v>
      </c>
      <c r="BH71" s="152">
        <f>BH61+COUNTIF(BH65:BH70,"x")</f>
        <v>54</v>
      </c>
      <c r="BI71" s="152" t="s">
        <v>601</v>
      </c>
      <c r="BJ71" s="152">
        <v>2</v>
      </c>
      <c r="BK71" s="152">
        <v>4</v>
      </c>
      <c r="BL71" s="152">
        <v>2</v>
      </c>
    </row>
    <row r="81" spans="1:2">
      <c r="A81" s="156"/>
      <c r="B81" s="4" t="s">
        <v>472</v>
      </c>
    </row>
    <row r="82" spans="1:2">
      <c r="A82" s="20" t="s">
        <v>479</v>
      </c>
      <c r="B82" s="81">
        <v>1382.4</v>
      </c>
    </row>
    <row r="83" spans="1:2">
      <c r="A83" s="20" t="s">
        <v>501</v>
      </c>
      <c r="B83" s="81">
        <v>1900.33</v>
      </c>
    </row>
  </sheetData>
  <mergeCells count="5">
    <mergeCell ref="A1:D1"/>
    <mergeCell ref="A3:B3"/>
    <mergeCell ref="F3:G3"/>
    <mergeCell ref="A4:B4"/>
    <mergeCell ref="A5:B5"/>
  </mergeCells>
  <dataValidations count="1">
    <dataValidation type="list" allowBlank="1" showInputMessage="1" showErrorMessage="1" sqref="Q11" xr:uid="{4DAEB349-7135-4A21-BCA8-DE2205E50708}">
      <formula1>$B$82:$B$83</formula1>
    </dataValidation>
  </dataValidations>
  <hyperlinks>
    <hyperlink ref="F3:G3" location="Shortcuts!A1" display="Back to shortcuts" xr:uid="{B19C6579-CCC0-4B51-87B4-CF7A330B1164}"/>
  </hyperlink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48D60-A730-4B67-A4CC-A9FD8A1B691B}">
  <dimension ref="A1:AV108"/>
  <sheetViews>
    <sheetView zoomScale="85" zoomScaleNormal="85" zoomScalePageLayoutView="70" workbookViewId="0">
      <selection activeCell="A12" sqref="A12"/>
    </sheetView>
  </sheetViews>
  <sheetFormatPr defaultColWidth="8.5703125" defaultRowHeight="12.75"/>
  <cols>
    <col min="1" max="1" width="16.140625" style="3" customWidth="1"/>
    <col min="2" max="2" width="15" style="3" customWidth="1"/>
    <col min="3" max="3" width="15.5703125" style="3" customWidth="1"/>
    <col min="4" max="4" width="23.140625" style="3" customWidth="1"/>
    <col min="5" max="5" width="55.42578125" style="3" customWidth="1"/>
    <col min="6" max="7" width="8.5703125" style="3"/>
    <col min="8" max="8" width="21.42578125" style="3" customWidth="1"/>
    <col min="9" max="10" width="8.5703125" style="3"/>
    <col min="11" max="11" width="17.85546875" style="3" customWidth="1"/>
    <col min="12" max="12" width="8.5703125" style="3"/>
    <col min="13" max="13" width="9.5703125" style="3" customWidth="1"/>
    <col min="14" max="14" width="8.5703125" style="3"/>
    <col min="15" max="15" width="11.5703125" style="3" customWidth="1"/>
    <col min="16" max="16" width="8.5703125" style="3"/>
    <col min="17" max="17" width="9.5703125" style="3" customWidth="1"/>
    <col min="18" max="18" width="8.5703125" style="3"/>
    <col min="19" max="19" width="9.5703125" style="3" customWidth="1"/>
    <col min="20" max="20" width="10" style="3" customWidth="1"/>
    <col min="21" max="21" width="9.5703125" style="3" customWidth="1"/>
    <col min="22" max="22" width="8.5703125" style="3"/>
    <col min="23" max="23" width="9.5703125" style="3" customWidth="1"/>
    <col min="24" max="24" width="10.42578125" style="3" customWidth="1"/>
    <col min="25" max="26" width="9.5703125" style="3" customWidth="1"/>
    <col min="27" max="33" width="12.5703125" style="3" customWidth="1"/>
    <col min="34" max="34" width="22" style="3" customWidth="1"/>
    <col min="35" max="35" width="12.42578125" style="3" customWidth="1"/>
    <col min="36" max="36" width="13.42578125" style="3" customWidth="1"/>
    <col min="37" max="39" width="8.5703125" style="3"/>
    <col min="40" max="40" width="18.5703125" style="3" customWidth="1"/>
    <col min="41" max="47" width="8.5703125" style="3"/>
    <col min="48" max="48" width="10.42578125" style="3" customWidth="1"/>
    <col min="49" max="16384" width="8.5703125" style="3"/>
  </cols>
  <sheetData>
    <row r="1" spans="1:48">
      <c r="A1" s="155" t="s">
        <v>4</v>
      </c>
      <c r="B1" s="155"/>
      <c r="C1" s="155"/>
      <c r="D1" s="155"/>
      <c r="E1" s="156"/>
      <c r="F1" s="155" t="s">
        <v>708</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row>
    <row r="3" spans="1:48" ht="15">
      <c r="A3" s="152" t="s">
        <v>632</v>
      </c>
      <c r="B3" s="152"/>
      <c r="C3" s="16"/>
      <c r="D3" s="156" t="s">
        <v>553</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8">
      <c r="A4" s="152" t="s">
        <v>303</v>
      </c>
      <c r="B4" s="152"/>
      <c r="C4" s="16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8">
      <c r="A5" s="152" t="s">
        <v>305</v>
      </c>
      <c r="B5" s="152"/>
      <c r="C5" s="156" t="s">
        <v>306</v>
      </c>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row>
    <row r="6" spans="1:48">
      <c r="A6" s="156"/>
      <c r="B6" s="156"/>
      <c r="C6" s="35" t="s">
        <v>307</v>
      </c>
      <c r="D6" s="156"/>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7" t="s">
        <v>308</v>
      </c>
      <c r="AN6" s="7"/>
      <c r="AO6" s="156"/>
      <c r="AP6" s="156" t="s">
        <v>309</v>
      </c>
      <c r="AQ6" s="156">
        <v>0.9</v>
      </c>
      <c r="AR6" s="156"/>
      <c r="AS6" s="156"/>
      <c r="AT6" s="156"/>
      <c r="AU6" s="156"/>
      <c r="AV6" s="156"/>
    </row>
    <row r="7" spans="1:48" ht="38.25">
      <c r="A7" s="5" t="s">
        <v>164</v>
      </c>
      <c r="B7" s="5" t="s">
        <v>310</v>
      </c>
      <c r="C7" s="5" t="s">
        <v>311</v>
      </c>
      <c r="D7" s="5" t="s">
        <v>312</v>
      </c>
      <c r="E7" s="5" t="s">
        <v>313</v>
      </c>
      <c r="F7" s="4" t="s">
        <v>103</v>
      </c>
      <c r="G7" s="4" t="s">
        <v>109</v>
      </c>
      <c r="H7" s="4" t="s">
        <v>314</v>
      </c>
      <c r="I7" s="4" t="s">
        <v>113</v>
      </c>
      <c r="J7" s="4" t="s">
        <v>315</v>
      </c>
      <c r="K7" s="4" t="s">
        <v>316</v>
      </c>
      <c r="L7" s="4" t="s">
        <v>118</v>
      </c>
      <c r="M7" s="4" t="s">
        <v>316</v>
      </c>
      <c r="N7" s="4" t="s">
        <v>20</v>
      </c>
      <c r="O7" s="4" t="s">
        <v>316</v>
      </c>
      <c r="P7" s="4" t="s">
        <v>122</v>
      </c>
      <c r="Q7" s="4" t="s">
        <v>316</v>
      </c>
      <c r="R7" s="4" t="s">
        <v>130</v>
      </c>
      <c r="S7" s="4" t="s">
        <v>316</v>
      </c>
      <c r="T7" s="4" t="s">
        <v>137</v>
      </c>
      <c r="U7" s="4" t="s">
        <v>316</v>
      </c>
      <c r="V7" s="4" t="s">
        <v>126</v>
      </c>
      <c r="W7" s="4" t="s">
        <v>316</v>
      </c>
      <c r="X7" s="4" t="s">
        <v>317</v>
      </c>
      <c r="Y7" s="4" t="s">
        <v>316</v>
      </c>
      <c r="Z7" s="4" t="s">
        <v>481</v>
      </c>
      <c r="AA7" s="4" t="s">
        <v>316</v>
      </c>
      <c r="AB7" s="4" t="s">
        <v>319</v>
      </c>
      <c r="AC7" s="4" t="s">
        <v>316</v>
      </c>
      <c r="AD7" s="4" t="s">
        <v>320</v>
      </c>
      <c r="AE7" s="4" t="s">
        <v>316</v>
      </c>
      <c r="AF7" s="95" t="s">
        <v>321</v>
      </c>
      <c r="AG7" s="4" t="s">
        <v>316</v>
      </c>
      <c r="AH7" s="4" t="s">
        <v>322</v>
      </c>
      <c r="AI7" s="4" t="s">
        <v>323</v>
      </c>
      <c r="AJ7" s="4" t="s">
        <v>324</v>
      </c>
      <c r="AK7" s="156"/>
      <c r="AL7" s="156"/>
      <c r="AM7" s="4" t="s">
        <v>109</v>
      </c>
      <c r="AN7" s="4" t="s">
        <v>314</v>
      </c>
      <c r="AO7" s="4" t="s">
        <v>113</v>
      </c>
      <c r="AP7" s="4" t="s">
        <v>118</v>
      </c>
      <c r="AQ7" s="4" t="s">
        <v>20</v>
      </c>
      <c r="AR7" s="4" t="s">
        <v>122</v>
      </c>
      <c r="AS7" s="4" t="s">
        <v>130</v>
      </c>
      <c r="AT7" s="4" t="s">
        <v>137</v>
      </c>
      <c r="AU7" s="4" t="s">
        <v>126</v>
      </c>
      <c r="AV7" s="4" t="s">
        <v>317</v>
      </c>
    </row>
    <row r="8" spans="1:48">
      <c r="A8" s="16" t="s">
        <v>325</v>
      </c>
      <c r="B8" s="16"/>
      <c r="C8" s="16" t="s">
        <v>333</v>
      </c>
      <c r="D8" s="16" t="s">
        <v>453</v>
      </c>
      <c r="E8" s="16" t="s">
        <v>8</v>
      </c>
      <c r="F8" s="17">
        <v>4</v>
      </c>
      <c r="G8" s="17">
        <v>4</v>
      </c>
      <c r="H8" s="17">
        <v>0</v>
      </c>
      <c r="I8" s="17">
        <v>350</v>
      </c>
      <c r="J8" s="17">
        <f>G8-H8</f>
        <v>4</v>
      </c>
      <c r="K8" s="17" t="s">
        <v>327</v>
      </c>
      <c r="L8" s="17"/>
      <c r="M8" s="17"/>
      <c r="N8" s="17"/>
      <c r="O8" s="17"/>
      <c r="P8" s="17"/>
      <c r="Q8" s="17"/>
      <c r="R8" s="17"/>
      <c r="S8" s="17"/>
      <c r="T8" s="17"/>
      <c r="U8" s="17"/>
      <c r="V8" s="17"/>
      <c r="W8" s="17"/>
      <c r="X8" s="17"/>
      <c r="Y8" s="17"/>
      <c r="Z8" s="17"/>
      <c r="AA8" s="17"/>
      <c r="AB8" s="17"/>
      <c r="AC8" s="17"/>
      <c r="AD8" s="17"/>
      <c r="AE8" s="17"/>
      <c r="AF8" s="152"/>
      <c r="AG8" s="152"/>
      <c r="AH8" s="17" t="s">
        <v>328</v>
      </c>
      <c r="AI8" s="17" t="s">
        <v>329</v>
      </c>
      <c r="AJ8" s="17"/>
      <c r="AK8" s="156"/>
      <c r="AL8" s="156"/>
      <c r="AM8" s="156">
        <f t="shared" ref="AM8:AN40" si="0">IF(ISBLANK($A8),,G8*1.024)</f>
        <v>4.0960000000000001</v>
      </c>
      <c r="AN8" s="156">
        <f t="shared" si="0"/>
        <v>0</v>
      </c>
      <c r="AO8" s="156">
        <f>IF(ISBLANK($A8),,ROUNDDOWN(I8*AQ6*1.024,))</f>
        <v>322</v>
      </c>
      <c r="AP8" s="156">
        <f>IF(ISBLANK($A8),,ROUNDDOWN(L8*AQ6*1.024,))</f>
        <v>0</v>
      </c>
      <c r="AQ8" s="156">
        <f>IF(ISBLANK($A8),,ROUNDDOWN(N8*AQ6*1.024,))</f>
        <v>0</v>
      </c>
      <c r="AR8" s="156">
        <f>IF(ISBLANK($A8),,ROUNDDOWN(P8*AQ6*1.024,))</f>
        <v>0</v>
      </c>
      <c r="AS8" s="156">
        <f>IF(ISBLANK($A8),,ROUNDDOWN(R8*AQ6*1.024,))</f>
        <v>0</v>
      </c>
      <c r="AT8" s="156">
        <f>IF(ISBLANK($A8),,ROUNDDOWN(T8*AQ$6*1.024,))</f>
        <v>0</v>
      </c>
      <c r="AU8" s="156">
        <f>IF(ISBLANK($A8),,ROUNDDOWN(V8*AQ6*1.024,))</f>
        <v>0</v>
      </c>
      <c r="AV8" s="156">
        <f>IF(ISBLANK($A8),,ROUNDDOWN(X8*AQ6*1.024,))</f>
        <v>0</v>
      </c>
    </row>
    <row r="9" spans="1:48">
      <c r="A9" s="156" t="s">
        <v>331</v>
      </c>
      <c r="B9" s="152" t="s">
        <v>332</v>
      </c>
      <c r="C9" s="156" t="s">
        <v>333</v>
      </c>
      <c r="D9" s="156" t="s">
        <v>453</v>
      </c>
      <c r="E9" s="156" t="s">
        <v>16</v>
      </c>
      <c r="F9" s="152">
        <v>6</v>
      </c>
      <c r="G9" s="152">
        <v>6</v>
      </c>
      <c r="H9" s="152">
        <v>6</v>
      </c>
      <c r="I9" s="152">
        <v>41</v>
      </c>
      <c r="J9" s="154">
        <f t="shared" ref="J9:J42" si="1">G9-H9</f>
        <v>0</v>
      </c>
      <c r="K9" s="152" t="s">
        <v>335</v>
      </c>
      <c r="L9" s="152"/>
      <c r="M9" s="152"/>
      <c r="N9" s="152"/>
      <c r="O9" s="152"/>
      <c r="P9" s="152"/>
      <c r="Q9" s="152"/>
      <c r="R9" s="152"/>
      <c r="S9" s="152"/>
      <c r="T9" s="152"/>
      <c r="U9" s="152"/>
      <c r="V9" s="152"/>
      <c r="W9" s="152"/>
      <c r="X9" s="152"/>
      <c r="Y9" s="152"/>
      <c r="Z9" s="152"/>
      <c r="AA9" s="152"/>
      <c r="AB9" s="152"/>
      <c r="AC9" s="152"/>
      <c r="AD9" s="152"/>
      <c r="AE9" s="152"/>
      <c r="AF9" s="152"/>
      <c r="AG9" s="152"/>
      <c r="AH9" s="152" t="s">
        <v>328</v>
      </c>
      <c r="AI9" s="152" t="s">
        <v>329</v>
      </c>
      <c r="AJ9" s="152"/>
      <c r="AK9" s="156"/>
      <c r="AL9" s="156"/>
      <c r="AM9" s="156">
        <f t="shared" si="0"/>
        <v>6.1440000000000001</v>
      </c>
      <c r="AN9" s="156">
        <f t="shared" si="0"/>
        <v>6.1440000000000001</v>
      </c>
      <c r="AO9" s="156">
        <f>IF(ISBLANK($A9),,ROUNDDOWN(I9*AQ6*1.024,))</f>
        <v>37</v>
      </c>
      <c r="AP9" s="156">
        <f>IF(ISBLANK($A9),,ROUNDDOWN(L9*AQ6*1.024,))</f>
        <v>0</v>
      </c>
      <c r="AQ9" s="156">
        <f>IF(ISBLANK($A9),,ROUNDDOWN(N9*AQ6*1.024,))</f>
        <v>0</v>
      </c>
      <c r="AR9" s="156">
        <f>IF(ISBLANK($A9),,ROUNDDOWN(P9*AQ6*1.024,))</f>
        <v>0</v>
      </c>
      <c r="AS9" s="156">
        <f>IF(ISBLANK($A9),,ROUNDDOWN(R9*AQ6*1.024,))</f>
        <v>0</v>
      </c>
      <c r="AT9" s="156">
        <f t="shared" ref="AT9:AT42" si="2">IF(ISBLANK($A9),,ROUNDDOWN(T9*AQ$6*1.024,))</f>
        <v>0</v>
      </c>
      <c r="AU9" s="156">
        <f>IF(ISBLANK($A9),,ROUNDDOWN(V9*AQ6*1.024,))</f>
        <v>0</v>
      </c>
      <c r="AV9" s="156">
        <f>IF(ISBLANK($A9),,ROUNDDOWN(X9*AQ6*1.024,))</f>
        <v>0</v>
      </c>
    </row>
    <row r="10" spans="1:48">
      <c r="A10" s="156" t="s">
        <v>336</v>
      </c>
      <c r="B10" s="152"/>
      <c r="C10" s="156" t="s">
        <v>333</v>
      </c>
      <c r="D10" s="156" t="s">
        <v>453</v>
      </c>
      <c r="E10" s="156" t="s">
        <v>20</v>
      </c>
      <c r="F10" s="152">
        <v>16</v>
      </c>
      <c r="G10" s="146">
        <f>VLOOKUP(N10,B107:G108,3,FALSE)</f>
        <v>90</v>
      </c>
      <c r="H10" s="143">
        <f>G10*82.5/100</f>
        <v>74.25</v>
      </c>
      <c r="I10" s="154">
        <v>91</v>
      </c>
      <c r="J10" s="154">
        <f t="shared" si="1"/>
        <v>15.75</v>
      </c>
      <c r="K10" s="154" t="s">
        <v>337</v>
      </c>
      <c r="L10" s="154">
        <v>130</v>
      </c>
      <c r="M10" s="154" t="s">
        <v>338</v>
      </c>
      <c r="N10" s="146">
        <v>2500</v>
      </c>
      <c r="O10" s="154" t="s">
        <v>339</v>
      </c>
      <c r="P10" s="143">
        <f>VLOOKUP(N10,B107:G108,4,FALSE)</f>
        <v>3750</v>
      </c>
      <c r="Q10" s="154" t="s">
        <v>340</v>
      </c>
      <c r="R10" s="154"/>
      <c r="S10" s="154"/>
      <c r="T10" s="154"/>
      <c r="U10" s="154"/>
      <c r="V10" s="154"/>
      <c r="W10" s="154"/>
      <c r="X10" s="143">
        <f>VLOOKUP(N10,B107:G108,6,FALSE)</f>
        <v>10875</v>
      </c>
      <c r="Y10" s="152" t="s">
        <v>126</v>
      </c>
      <c r="Z10" s="152"/>
      <c r="AA10" s="152"/>
      <c r="AB10" s="152"/>
      <c r="AC10" s="152"/>
      <c r="AD10" s="152"/>
      <c r="AE10" s="152"/>
      <c r="AF10" s="152">
        <v>3700</v>
      </c>
      <c r="AG10" s="152" t="s">
        <v>341</v>
      </c>
      <c r="AH10" s="152" t="s">
        <v>328</v>
      </c>
      <c r="AI10" s="152" t="s">
        <v>329</v>
      </c>
      <c r="AJ10" s="152"/>
      <c r="AK10" s="156"/>
      <c r="AL10" s="156"/>
      <c r="AM10" s="156">
        <f t="shared" si="0"/>
        <v>92.16</v>
      </c>
      <c r="AN10" s="156">
        <f t="shared" si="0"/>
        <v>76.031999999999996</v>
      </c>
      <c r="AO10" s="156">
        <f>IF(ISBLANK($A10),,ROUNDDOWN(I10*AQ6*1.024,))</f>
        <v>83</v>
      </c>
      <c r="AP10" s="156">
        <f>IF(ISBLANK($A10),,ROUNDDOWN(L10*AQ6*1.024,))</f>
        <v>119</v>
      </c>
      <c r="AQ10" s="156">
        <f>IF(ISBLANK($A10),,ROUNDDOWN(N10*AQ6*1.024,))</f>
        <v>2304</v>
      </c>
      <c r="AR10" s="156">
        <f>IF(ISBLANK($A10),,ROUNDDOWN(P10*AQ6*1.024,))</f>
        <v>3456</v>
      </c>
      <c r="AS10" s="156">
        <f>IF(ISBLANK($A10),,ROUNDDOWN(R10*AQ6*1.024,))</f>
        <v>0</v>
      </c>
      <c r="AT10" s="156">
        <f t="shared" si="2"/>
        <v>0</v>
      </c>
      <c r="AU10" s="156">
        <f>IF(ISBLANK($A10),,ROUNDDOWN(V10*AQ6*1.024,))</f>
        <v>0</v>
      </c>
      <c r="AV10" s="156">
        <f>IF(ISBLANK($A10),,ROUNDDOWN(X10*AQ6*1.024,))</f>
        <v>10022</v>
      </c>
    </row>
    <row r="11" spans="1:48">
      <c r="A11" s="156" t="s">
        <v>342</v>
      </c>
      <c r="B11" s="152" t="s">
        <v>332</v>
      </c>
      <c r="C11" s="156" t="s">
        <v>333</v>
      </c>
      <c r="D11" s="156" t="s">
        <v>453</v>
      </c>
      <c r="E11" s="156" t="s">
        <v>24</v>
      </c>
      <c r="F11" s="152">
        <v>8</v>
      </c>
      <c r="G11" s="152">
        <v>7</v>
      </c>
      <c r="H11" s="152">
        <v>7</v>
      </c>
      <c r="I11" s="152">
        <v>46</v>
      </c>
      <c r="J11" s="154">
        <f t="shared" si="1"/>
        <v>0</v>
      </c>
      <c r="K11" s="152" t="s">
        <v>343</v>
      </c>
      <c r="L11" s="152"/>
      <c r="M11" s="152"/>
      <c r="N11" s="152"/>
      <c r="O11" s="152"/>
      <c r="P11" s="152"/>
      <c r="Q11" s="152"/>
      <c r="R11" s="173">
        <v>530</v>
      </c>
      <c r="S11" s="152" t="s">
        <v>344</v>
      </c>
      <c r="T11" s="152">
        <v>300</v>
      </c>
      <c r="U11" s="152" t="s">
        <v>137</v>
      </c>
      <c r="V11" s="152"/>
      <c r="W11" s="152"/>
      <c r="X11" s="154">
        <v>500</v>
      </c>
      <c r="Y11" s="152" t="s">
        <v>126</v>
      </c>
      <c r="Z11" s="152"/>
      <c r="AA11" s="152"/>
      <c r="AB11" s="152"/>
      <c r="AC11" s="152"/>
      <c r="AD11" s="152"/>
      <c r="AE11" s="152"/>
      <c r="AF11" s="152"/>
      <c r="AG11" s="152"/>
      <c r="AH11" s="152" t="s">
        <v>328</v>
      </c>
      <c r="AI11" s="152" t="s">
        <v>329</v>
      </c>
      <c r="AJ11" s="152"/>
      <c r="AK11" s="156"/>
      <c r="AL11" s="156"/>
      <c r="AM11" s="156">
        <f t="shared" si="0"/>
        <v>7.1680000000000001</v>
      </c>
      <c r="AN11" s="156">
        <f t="shared" si="0"/>
        <v>7.1680000000000001</v>
      </c>
      <c r="AO11" s="156">
        <f>IF(ISBLANK($A11),,ROUNDDOWN(I11*AQ6*1.024,))</f>
        <v>42</v>
      </c>
      <c r="AP11" s="156">
        <f>IF(ISBLANK($A11),,ROUNDDOWN(L11*AQ6*1.024,))</f>
        <v>0</v>
      </c>
      <c r="AQ11" s="156">
        <f>IF(ISBLANK($A11),,ROUNDDOWN(N11*AQ6*1.024,))</f>
        <v>0</v>
      </c>
      <c r="AR11" s="156">
        <f>IF(ISBLANK($A11),,ROUNDDOWN(P11*AQ6*1.024,))</f>
        <v>0</v>
      </c>
      <c r="AS11" s="156">
        <f>IF(ISBLANK($A11),,ROUNDDOWN(R11*AQ6*1.024,))</f>
        <v>488</v>
      </c>
      <c r="AT11" s="156">
        <f t="shared" si="2"/>
        <v>276</v>
      </c>
      <c r="AU11" s="156">
        <f>IF(ISBLANK($A11),,ROUNDDOWN(V11*AQ6*1.024,))</f>
        <v>0</v>
      </c>
      <c r="AV11" s="156">
        <f>IF(ISBLANK($A11),,ROUNDDOWN(X11*AQ6*1.024,))</f>
        <v>460</v>
      </c>
    </row>
    <row r="12" spans="1:48">
      <c r="A12" s="156" t="s">
        <v>345</v>
      </c>
      <c r="B12" s="156"/>
      <c r="C12" s="156" t="s">
        <v>333</v>
      </c>
      <c r="D12" s="156" t="s">
        <v>453</v>
      </c>
      <c r="E12" s="156" t="s">
        <v>28</v>
      </c>
      <c r="F12" s="152">
        <v>2</v>
      </c>
      <c r="G12" s="152">
        <v>2</v>
      </c>
      <c r="H12" s="152">
        <v>0</v>
      </c>
      <c r="I12" s="152">
        <v>31</v>
      </c>
      <c r="J12" s="154">
        <f t="shared" si="1"/>
        <v>2</v>
      </c>
      <c r="K12" s="152" t="s">
        <v>335</v>
      </c>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t="s">
        <v>346</v>
      </c>
      <c r="AI12" s="152" t="s">
        <v>347</v>
      </c>
      <c r="AJ12" s="152" t="s">
        <v>329</v>
      </c>
      <c r="AK12" s="156"/>
      <c r="AL12" s="156"/>
      <c r="AM12" s="156">
        <f t="shared" si="0"/>
        <v>2.048</v>
      </c>
      <c r="AN12" s="156">
        <f t="shared" si="0"/>
        <v>0</v>
      </c>
      <c r="AO12" s="156">
        <f>IF(ISBLANK($A12),,ROUNDDOWN(I12*AQ6*1.024,))</f>
        <v>28</v>
      </c>
      <c r="AP12" s="156">
        <f>IF(ISBLANK($A12),,ROUNDDOWN(L12*AQ6*1.024,))</f>
        <v>0</v>
      </c>
      <c r="AQ12" s="156">
        <f>IF(ISBLANK($A12),,ROUNDDOWN(N12*AQ6*1.024,))</f>
        <v>0</v>
      </c>
      <c r="AR12" s="156">
        <f>IF(ISBLANK($A12),,ROUNDDOWN(P12*AQ6*1.024,))</f>
        <v>0</v>
      </c>
      <c r="AS12" s="156">
        <f>IF(ISBLANK($A12),,ROUNDDOWN(R12*AQ6*1.024,))</f>
        <v>0</v>
      </c>
      <c r="AT12" s="156">
        <f t="shared" si="2"/>
        <v>0</v>
      </c>
      <c r="AU12" s="156">
        <f>IF(ISBLANK($A12),,ROUNDDOWN(V12*AQ6*1.024,))</f>
        <v>0</v>
      </c>
      <c r="AV12" s="156">
        <f>IF(ISBLANK($A12),,ROUNDDOWN(X12*AQ6*1.024,))</f>
        <v>0</v>
      </c>
    </row>
    <row r="13" spans="1:48">
      <c r="A13" s="156" t="s">
        <v>348</v>
      </c>
      <c r="B13" s="156"/>
      <c r="C13" s="156" t="s">
        <v>333</v>
      </c>
      <c r="D13" s="156" t="s">
        <v>453</v>
      </c>
      <c r="E13" s="156" t="s">
        <v>555</v>
      </c>
      <c r="F13" s="152">
        <v>2</v>
      </c>
      <c r="G13" s="152">
        <v>5</v>
      </c>
      <c r="H13" s="152">
        <v>0</v>
      </c>
      <c r="I13" s="152">
        <v>31</v>
      </c>
      <c r="J13" s="154">
        <f t="shared" si="1"/>
        <v>5</v>
      </c>
      <c r="K13" s="152" t="s">
        <v>337</v>
      </c>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t="s">
        <v>328</v>
      </c>
      <c r="AI13" s="152" t="s">
        <v>329</v>
      </c>
      <c r="AJ13" s="152"/>
      <c r="AK13" s="156"/>
      <c r="AL13" s="156"/>
      <c r="AM13" s="156">
        <f t="shared" si="0"/>
        <v>5.12</v>
      </c>
      <c r="AN13" s="156">
        <f t="shared" si="0"/>
        <v>0</v>
      </c>
      <c r="AO13" s="156">
        <f>IF(ISBLANK($A13),,ROUNDDOWN(I13*AQ6*1.024,))</f>
        <v>28</v>
      </c>
      <c r="AP13" s="156">
        <f>IF(ISBLANK($A13),,ROUNDDOWN(L13*AQ6*1.024,))</f>
        <v>0</v>
      </c>
      <c r="AQ13" s="156">
        <f>IF(ISBLANK($A13),,ROUNDDOWN(N13*AQ6*1.024,))</f>
        <v>0</v>
      </c>
      <c r="AR13" s="156">
        <f>IF(ISBLANK($A13),,ROUNDDOWN(P13*AQ6*1.024,))</f>
        <v>0</v>
      </c>
      <c r="AS13" s="156">
        <f>IF(ISBLANK($A13),,ROUNDDOWN(R13*AQ6*1.024,))</f>
        <v>0</v>
      </c>
      <c r="AT13" s="156">
        <f t="shared" si="2"/>
        <v>0</v>
      </c>
      <c r="AU13" s="156">
        <f>IF(ISBLANK($A13),,ROUNDDOWN(V13*AQ6*1.024,))</f>
        <v>0</v>
      </c>
      <c r="AV13" s="156">
        <f>IF(ISBLANK($A13),,ROUNDDOWN(X13*AQ6*1.024,))</f>
        <v>0</v>
      </c>
    </row>
    <row r="14" spans="1:48">
      <c r="A14" s="156" t="s">
        <v>349</v>
      </c>
      <c r="B14" s="156"/>
      <c r="C14" s="156" t="s">
        <v>333</v>
      </c>
      <c r="D14" s="156" t="s">
        <v>453</v>
      </c>
      <c r="E14" s="156" t="s">
        <v>482</v>
      </c>
      <c r="F14" s="152">
        <v>3</v>
      </c>
      <c r="G14" s="152">
        <v>6</v>
      </c>
      <c r="H14" s="152">
        <v>0</v>
      </c>
      <c r="I14" s="152">
        <v>41</v>
      </c>
      <c r="J14" s="154">
        <f t="shared" si="1"/>
        <v>6</v>
      </c>
      <c r="K14" s="152" t="s">
        <v>343</v>
      </c>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t="s">
        <v>346</v>
      </c>
      <c r="AI14" s="152" t="s">
        <v>347</v>
      </c>
      <c r="AJ14" s="152"/>
      <c r="AK14" s="156"/>
      <c r="AL14" s="156"/>
      <c r="AM14" s="156">
        <f t="shared" si="0"/>
        <v>6.1440000000000001</v>
      </c>
      <c r="AN14" s="156">
        <f t="shared" si="0"/>
        <v>0</v>
      </c>
      <c r="AO14" s="156">
        <f>IF(ISBLANK($A14),,ROUNDDOWN(I14*AQ6*1.024,))</f>
        <v>37</v>
      </c>
      <c r="AP14" s="156">
        <f>IF(ISBLANK($A14),,ROUNDDOWN(L14*AQ6*1.024,))</f>
        <v>0</v>
      </c>
      <c r="AQ14" s="156">
        <f>IF(ISBLANK($A14),,ROUNDDOWN(N14*AQ6*1.024,))</f>
        <v>0</v>
      </c>
      <c r="AR14" s="156">
        <f>IF(ISBLANK($A14),,ROUNDDOWN(P14*AQ6*1.024,))</f>
        <v>0</v>
      </c>
      <c r="AS14" s="156">
        <f>IF(ISBLANK($A14),,ROUNDDOWN(R14*AQ6*1.024,))</f>
        <v>0</v>
      </c>
      <c r="AT14" s="156">
        <f t="shared" si="2"/>
        <v>0</v>
      </c>
      <c r="AU14" s="156">
        <f>IF(ISBLANK($A14),,ROUNDDOWN(V14*AQ6*1.024,))</f>
        <v>0</v>
      </c>
      <c r="AV14" s="156">
        <f>IF(ISBLANK($A14),,ROUNDDOWN(X14*AQ6*1.024,))</f>
        <v>0</v>
      </c>
    </row>
    <row r="15" spans="1:48">
      <c r="A15" s="156" t="s">
        <v>351</v>
      </c>
      <c r="B15" s="156"/>
      <c r="C15" s="156" t="s">
        <v>333</v>
      </c>
      <c r="D15" s="156" t="s">
        <v>453</v>
      </c>
      <c r="E15" s="156" t="s">
        <v>40</v>
      </c>
      <c r="F15" s="152">
        <v>5</v>
      </c>
      <c r="G15" s="152">
        <v>7</v>
      </c>
      <c r="H15" s="152">
        <v>0</v>
      </c>
      <c r="I15" s="152">
        <v>56</v>
      </c>
      <c r="J15" s="154">
        <f t="shared" si="1"/>
        <v>7</v>
      </c>
      <c r="K15" s="152" t="s">
        <v>335</v>
      </c>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t="s">
        <v>346</v>
      </c>
      <c r="AI15" s="152" t="s">
        <v>347</v>
      </c>
      <c r="AJ15" s="152"/>
      <c r="AK15" s="156"/>
      <c r="AL15" s="156"/>
      <c r="AM15" s="156">
        <f t="shared" si="0"/>
        <v>7.1680000000000001</v>
      </c>
      <c r="AN15" s="156">
        <f t="shared" si="0"/>
        <v>0</v>
      </c>
      <c r="AO15" s="156">
        <f>IF(ISBLANK($A15),,ROUNDDOWN(I15*AQ6*1.024,))</f>
        <v>51</v>
      </c>
      <c r="AP15" s="156">
        <f>IF(ISBLANK($A15),,ROUNDDOWN(L15*AQ6*1.024,))</f>
        <v>0</v>
      </c>
      <c r="AQ15" s="156">
        <f>IF(ISBLANK($A15),,ROUNDDOWN(N15*AQ6*1.024,))</f>
        <v>0</v>
      </c>
      <c r="AR15" s="156">
        <f>IF(ISBLANK($A15),,ROUNDDOWN(P15*AQ6*1.024,))</f>
        <v>0</v>
      </c>
      <c r="AS15" s="156">
        <f>IF(ISBLANK($A15),,ROUNDDOWN(R15*AQ6*1.024,))</f>
        <v>0</v>
      </c>
      <c r="AT15" s="156">
        <f t="shared" si="2"/>
        <v>0</v>
      </c>
      <c r="AU15" s="156">
        <f>IF(ISBLANK($A15),,ROUNDDOWN(V15*AQ6*1.024,))</f>
        <v>0</v>
      </c>
      <c r="AV15" s="156">
        <f>IF(ISBLANK($A15),,ROUNDDOWN(X15*AQ6*1.024,))</f>
        <v>0</v>
      </c>
    </row>
    <row r="16" spans="1:48">
      <c r="A16" s="156" t="s">
        <v>352</v>
      </c>
      <c r="B16" s="156"/>
      <c r="C16" s="156" t="s">
        <v>333</v>
      </c>
      <c r="D16" s="156" t="s">
        <v>453</v>
      </c>
      <c r="E16" s="156" t="s">
        <v>43</v>
      </c>
      <c r="F16" s="152">
        <v>4</v>
      </c>
      <c r="G16" s="152">
        <v>6</v>
      </c>
      <c r="H16" s="152">
        <v>0</v>
      </c>
      <c r="I16" s="152">
        <v>31</v>
      </c>
      <c r="J16" s="154">
        <f t="shared" si="1"/>
        <v>6</v>
      </c>
      <c r="K16" s="152" t="s">
        <v>337</v>
      </c>
      <c r="L16" s="152"/>
      <c r="M16" s="152"/>
      <c r="N16" s="152"/>
      <c r="O16" s="152"/>
      <c r="P16" s="152"/>
      <c r="Q16" s="152"/>
      <c r="R16" s="152"/>
      <c r="S16" s="152"/>
      <c r="T16" s="152"/>
      <c r="U16" s="152"/>
      <c r="V16" s="152"/>
      <c r="W16" s="152"/>
      <c r="X16" s="152"/>
      <c r="Y16" s="152"/>
      <c r="Z16" s="152"/>
      <c r="AA16" s="152"/>
      <c r="AB16" s="152"/>
      <c r="AC16" s="152"/>
      <c r="AD16" s="152"/>
      <c r="AE16" s="152"/>
      <c r="AF16" s="152"/>
      <c r="AG16" s="152"/>
      <c r="AH16" s="152" t="s">
        <v>346</v>
      </c>
      <c r="AI16" s="152" t="s">
        <v>347</v>
      </c>
      <c r="AJ16" s="152"/>
      <c r="AK16" s="156"/>
      <c r="AL16" s="156"/>
      <c r="AM16" s="156">
        <f t="shared" si="0"/>
        <v>6.1440000000000001</v>
      </c>
      <c r="AN16" s="156">
        <f t="shared" si="0"/>
        <v>0</v>
      </c>
      <c r="AO16" s="156">
        <f>IF(ISBLANK($A16),,ROUNDDOWN(I16*AQ6*1.024,))</f>
        <v>28</v>
      </c>
      <c r="AP16" s="156">
        <f>IF(ISBLANK($A16),,ROUNDDOWN(L16*AQ6*1.024,))</f>
        <v>0</v>
      </c>
      <c r="AQ16" s="156">
        <f>IF(ISBLANK($A16),,ROUNDDOWN(N16*AQ6*1.024,))</f>
        <v>0</v>
      </c>
      <c r="AR16" s="156">
        <f>IF(ISBLANK($A16),,ROUNDDOWN(P16*AQ6*1.024,))</f>
        <v>0</v>
      </c>
      <c r="AS16" s="156">
        <f>IF(ISBLANK($A16),,ROUNDDOWN(R16*AQ6*1.024,))</f>
        <v>0</v>
      </c>
      <c r="AT16" s="156">
        <f t="shared" si="2"/>
        <v>0</v>
      </c>
      <c r="AU16" s="156">
        <f>IF(ISBLANK($A16),,ROUNDDOWN(V16*AQ6*1.024,))</f>
        <v>0</v>
      </c>
      <c r="AV16" s="156">
        <f>IF(ISBLANK($A16),,ROUNDDOWN(X16*AQ6*1.024,))</f>
        <v>0</v>
      </c>
    </row>
    <row r="17" spans="1:48">
      <c r="A17" s="156" t="s">
        <v>353</v>
      </c>
      <c r="B17" s="156"/>
      <c r="C17" s="156" t="s">
        <v>333</v>
      </c>
      <c r="D17" s="156" t="s">
        <v>453</v>
      </c>
      <c r="E17" s="156" t="s">
        <v>47</v>
      </c>
      <c r="F17" s="152">
        <v>4</v>
      </c>
      <c r="G17" s="152">
        <v>4</v>
      </c>
      <c r="H17" s="152">
        <v>0</v>
      </c>
      <c r="I17" s="152">
        <v>31</v>
      </c>
      <c r="J17" s="154">
        <f t="shared" si="1"/>
        <v>4</v>
      </c>
      <c r="K17" s="152" t="s">
        <v>343</v>
      </c>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t="s">
        <v>346</v>
      </c>
      <c r="AI17" s="152" t="s">
        <v>347</v>
      </c>
      <c r="AJ17" s="152" t="s">
        <v>329</v>
      </c>
      <c r="AK17" s="156"/>
      <c r="AL17" s="156"/>
      <c r="AM17" s="156">
        <f t="shared" si="0"/>
        <v>4.0960000000000001</v>
      </c>
      <c r="AN17" s="156">
        <f t="shared" si="0"/>
        <v>0</v>
      </c>
      <c r="AO17" s="156">
        <f>IF(ISBLANK($A17),,ROUNDDOWN(I17*AQ6*1.024,))</f>
        <v>28</v>
      </c>
      <c r="AP17" s="156">
        <f>IF(ISBLANK($A17),,ROUNDDOWN(L17*AQ6*1.024,))</f>
        <v>0</v>
      </c>
      <c r="AQ17" s="156">
        <f>IF(ISBLANK($A17),,ROUNDDOWN(N17*AQ6*1.024,))</f>
        <v>0</v>
      </c>
      <c r="AR17" s="156">
        <f>IF(ISBLANK($A17),,ROUNDDOWN(P17*AQ6*1.024,))</f>
        <v>0</v>
      </c>
      <c r="AS17" s="156">
        <f>IF(ISBLANK($A17),,ROUNDDOWN(R17*AQ6*1.024,))</f>
        <v>0</v>
      </c>
      <c r="AT17" s="156">
        <f t="shared" si="2"/>
        <v>0</v>
      </c>
      <c r="AU17" s="156">
        <f>IF(ISBLANK($A17),,ROUNDDOWN(V17*AQ6*1.024,))</f>
        <v>0</v>
      </c>
      <c r="AV17" s="156">
        <f>IF(ISBLANK($A17),,ROUNDDOWN(X17*AQ6*1.024,))</f>
        <v>0</v>
      </c>
    </row>
    <row r="18" spans="1:48">
      <c r="A18" s="156" t="s">
        <v>354</v>
      </c>
      <c r="B18" s="156"/>
      <c r="C18" s="156" t="s">
        <v>333</v>
      </c>
      <c r="D18" s="156" t="s">
        <v>453</v>
      </c>
      <c r="E18" s="156" t="s">
        <v>355</v>
      </c>
      <c r="F18" s="152">
        <v>8</v>
      </c>
      <c r="G18" s="152">
        <v>10</v>
      </c>
      <c r="H18" s="152">
        <v>0</v>
      </c>
      <c r="I18" s="152">
        <v>101</v>
      </c>
      <c r="J18" s="154">
        <f t="shared" si="1"/>
        <v>10</v>
      </c>
      <c r="K18" s="152" t="s">
        <v>335</v>
      </c>
      <c r="L18" s="152"/>
      <c r="M18" s="152"/>
      <c r="N18" s="152"/>
      <c r="O18" s="152"/>
      <c r="P18" s="152"/>
      <c r="Q18" s="152"/>
      <c r="R18" s="152"/>
      <c r="S18" s="152"/>
      <c r="T18" s="152"/>
      <c r="U18" s="152"/>
      <c r="V18" s="152"/>
      <c r="W18" s="152"/>
      <c r="X18" s="152"/>
      <c r="Y18" s="152"/>
      <c r="Z18" s="152"/>
      <c r="AA18" s="152"/>
      <c r="AB18" s="152">
        <v>50</v>
      </c>
      <c r="AC18" s="152" t="s">
        <v>343</v>
      </c>
      <c r="AD18" s="152"/>
      <c r="AE18" s="152"/>
      <c r="AF18" s="152"/>
      <c r="AG18" s="152"/>
      <c r="AH18" s="152" t="s">
        <v>328</v>
      </c>
      <c r="AI18" s="152" t="s">
        <v>329</v>
      </c>
      <c r="AJ18" s="152"/>
      <c r="AK18" s="156"/>
      <c r="AL18" s="156"/>
      <c r="AM18" s="156">
        <f t="shared" si="0"/>
        <v>10.24</v>
      </c>
      <c r="AN18" s="156">
        <f t="shared" si="0"/>
        <v>0</v>
      </c>
      <c r="AO18" s="156">
        <f>IF(ISBLANK($A18),,ROUNDDOWN(I18*AQ6*1.024,))</f>
        <v>93</v>
      </c>
      <c r="AP18" s="156">
        <f>IF(ISBLANK($A18),,ROUNDDOWN(L18*AQ6*1.024,))</f>
        <v>0</v>
      </c>
      <c r="AQ18" s="156">
        <f>IF(ISBLANK($A18),,ROUNDDOWN(N18*AQ6*1.024,))</f>
        <v>0</v>
      </c>
      <c r="AR18" s="156">
        <f>IF(ISBLANK($A18),,ROUNDDOWN(P18*AQ6*1.024,))</f>
        <v>0</v>
      </c>
      <c r="AS18" s="156">
        <f>IF(ISBLANK($A18),,ROUNDDOWN(R18*AQ6*1.024,))</f>
        <v>0</v>
      </c>
      <c r="AT18" s="156">
        <f t="shared" si="2"/>
        <v>0</v>
      </c>
      <c r="AU18" s="156">
        <f>IF(ISBLANK($A18),,ROUNDDOWN(V18*AQ6*1.024,))</f>
        <v>0</v>
      </c>
      <c r="AV18" s="156">
        <f>IF(ISBLANK($A18),,ROUNDDOWN(X18*AQ6*1.024,))</f>
        <v>0</v>
      </c>
    </row>
    <row r="19" spans="1:48">
      <c r="A19" s="156" t="s">
        <v>356</v>
      </c>
      <c r="B19" s="156"/>
      <c r="C19" s="156" t="s">
        <v>333</v>
      </c>
      <c r="D19" s="156" t="s">
        <v>453</v>
      </c>
      <c r="E19" s="156" t="s">
        <v>55</v>
      </c>
      <c r="F19" s="152">
        <v>6</v>
      </c>
      <c r="G19" s="152">
        <v>6</v>
      </c>
      <c r="H19" s="152">
        <v>0</v>
      </c>
      <c r="I19" s="152">
        <v>131</v>
      </c>
      <c r="J19" s="154">
        <f t="shared" si="1"/>
        <v>6</v>
      </c>
      <c r="K19" s="152" t="s">
        <v>337</v>
      </c>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t="s">
        <v>346</v>
      </c>
      <c r="AI19" s="152" t="s">
        <v>347</v>
      </c>
      <c r="AJ19" s="152"/>
      <c r="AK19" s="156"/>
      <c r="AL19" s="156"/>
      <c r="AM19" s="156">
        <f t="shared" si="0"/>
        <v>6.1440000000000001</v>
      </c>
      <c r="AN19" s="156">
        <f t="shared" si="0"/>
        <v>0</v>
      </c>
      <c r="AO19" s="156">
        <f>IF(ISBLANK($A19),,ROUNDDOWN(I19*AQ6*1.024,))</f>
        <v>120</v>
      </c>
      <c r="AP19" s="156">
        <f>IF(ISBLANK($A19),,ROUNDDOWN(L19*AQ6*1.024,))</f>
        <v>0</v>
      </c>
      <c r="AQ19" s="156">
        <f>IF(ISBLANK($A19),,ROUNDDOWN(N19*AQ6*1.024,))</f>
        <v>0</v>
      </c>
      <c r="AR19" s="156">
        <f>IF(ISBLANK($A19),,ROUNDDOWN(P19*AQ6*1.024,))</f>
        <v>0</v>
      </c>
      <c r="AS19" s="156">
        <f>IF(ISBLANK($A19),,ROUNDDOWN(R19*AQ6*1.024,))</f>
        <v>0</v>
      </c>
      <c r="AT19" s="156">
        <f t="shared" si="2"/>
        <v>0</v>
      </c>
      <c r="AU19" s="156">
        <f>IF(ISBLANK($A19),,ROUNDDOWN(V19*AQ6*1.024,))</f>
        <v>0</v>
      </c>
      <c r="AV19" s="156">
        <f>IF(ISBLANK($A19),,ROUNDDOWN(X19*AQ6*1.024,))</f>
        <v>0</v>
      </c>
    </row>
    <row r="20" spans="1:48">
      <c r="A20" s="156" t="s">
        <v>357</v>
      </c>
      <c r="B20" s="156"/>
      <c r="C20" s="156" t="s">
        <v>333</v>
      </c>
      <c r="D20" s="156" t="s">
        <v>453</v>
      </c>
      <c r="E20" s="156" t="s">
        <v>59</v>
      </c>
      <c r="F20" s="152">
        <v>6</v>
      </c>
      <c r="G20" s="152">
        <v>7</v>
      </c>
      <c r="H20" s="152">
        <v>0</v>
      </c>
      <c r="I20" s="152">
        <v>61</v>
      </c>
      <c r="J20" s="154">
        <f t="shared" si="1"/>
        <v>7</v>
      </c>
      <c r="K20" s="152" t="s">
        <v>343</v>
      </c>
      <c r="L20" s="152"/>
      <c r="M20" s="152"/>
      <c r="N20" s="152"/>
      <c r="O20" s="152"/>
      <c r="P20" s="152"/>
      <c r="Q20" s="152"/>
      <c r="R20" s="152"/>
      <c r="S20" s="152"/>
      <c r="T20" s="152"/>
      <c r="U20" s="152"/>
      <c r="V20" s="152"/>
      <c r="W20" s="152"/>
      <c r="X20" s="152"/>
      <c r="Y20" s="152"/>
      <c r="Z20" s="152"/>
      <c r="AA20" s="152"/>
      <c r="AB20" s="152"/>
      <c r="AC20" s="152"/>
      <c r="AD20" s="152"/>
      <c r="AE20" s="152"/>
      <c r="AF20" s="152"/>
      <c r="AG20" s="152"/>
      <c r="AH20" s="152" t="s">
        <v>328</v>
      </c>
      <c r="AI20" s="152" t="s">
        <v>329</v>
      </c>
      <c r="AJ20" s="152"/>
      <c r="AK20" s="156"/>
      <c r="AL20" s="156"/>
      <c r="AM20" s="156">
        <f t="shared" si="0"/>
        <v>7.1680000000000001</v>
      </c>
      <c r="AN20" s="156">
        <f t="shared" si="0"/>
        <v>0</v>
      </c>
      <c r="AO20" s="156">
        <f>IF(ISBLANK($A20),,ROUNDDOWN(I20*AQ6*1.024,))</f>
        <v>56</v>
      </c>
      <c r="AP20" s="156">
        <f>IF(ISBLANK($A20),,ROUNDDOWN(L20*AQ6*1.024,))</f>
        <v>0</v>
      </c>
      <c r="AQ20" s="156">
        <f>IF(ISBLANK($A20),,ROUNDDOWN(N20*AQ6*1.024,))</f>
        <v>0</v>
      </c>
      <c r="AR20" s="156">
        <f>IF(ISBLANK($A20),,ROUNDDOWN(P20*AQ6*1.024,))</f>
        <v>0</v>
      </c>
      <c r="AS20" s="156">
        <f>IF(ISBLANK($A20),,ROUNDDOWN(R20*AQ6*1.024,))</f>
        <v>0</v>
      </c>
      <c r="AT20" s="156">
        <f t="shared" si="2"/>
        <v>0</v>
      </c>
      <c r="AU20" s="156">
        <f>IF(ISBLANK($A20),,ROUNDDOWN(V20*AQ6*1.024,))</f>
        <v>0</v>
      </c>
      <c r="AV20" s="156">
        <f>IF(ISBLANK($A20),,ROUNDDOWN(X20*AQ6*1.024,))</f>
        <v>0</v>
      </c>
    </row>
    <row r="21" spans="1:48">
      <c r="A21" s="156" t="s">
        <v>358</v>
      </c>
      <c r="B21" s="156"/>
      <c r="C21" s="156" t="s">
        <v>333</v>
      </c>
      <c r="D21" s="156" t="s">
        <v>453</v>
      </c>
      <c r="E21" s="156" t="s">
        <v>59</v>
      </c>
      <c r="F21" s="152">
        <v>6</v>
      </c>
      <c r="G21" s="152">
        <v>7</v>
      </c>
      <c r="H21" s="152">
        <v>0</v>
      </c>
      <c r="I21" s="152">
        <v>61</v>
      </c>
      <c r="J21" s="154">
        <f t="shared" si="1"/>
        <v>7</v>
      </c>
      <c r="K21" s="152" t="s">
        <v>335</v>
      </c>
      <c r="L21" s="152"/>
      <c r="M21" s="152"/>
      <c r="N21" s="152"/>
      <c r="O21" s="152"/>
      <c r="P21" s="152"/>
      <c r="Q21" s="152"/>
      <c r="R21" s="152"/>
      <c r="S21" s="152"/>
      <c r="T21" s="152"/>
      <c r="U21" s="152"/>
      <c r="V21" s="152"/>
      <c r="W21" s="152"/>
      <c r="X21" s="152"/>
      <c r="Y21" s="152"/>
      <c r="Z21" s="152"/>
      <c r="AA21" s="152"/>
      <c r="AB21" s="152"/>
      <c r="AC21" s="152"/>
      <c r="AD21" s="152"/>
      <c r="AE21" s="152"/>
      <c r="AF21" s="152"/>
      <c r="AG21" s="152"/>
      <c r="AH21" s="152" t="s">
        <v>328</v>
      </c>
      <c r="AI21" s="152" t="s">
        <v>329</v>
      </c>
      <c r="AJ21" s="152"/>
      <c r="AK21" s="156"/>
      <c r="AL21" s="156"/>
      <c r="AM21" s="156">
        <f t="shared" si="0"/>
        <v>7.1680000000000001</v>
      </c>
      <c r="AN21" s="156">
        <f t="shared" si="0"/>
        <v>0</v>
      </c>
      <c r="AO21" s="156">
        <f>IF(ISBLANK($A21),,ROUNDDOWN(I21*AQ6*1.024,))</f>
        <v>56</v>
      </c>
      <c r="AP21" s="156">
        <f>IF(ISBLANK($A21),,ROUNDDOWN(L21*AQ6*1.024,))</f>
        <v>0</v>
      </c>
      <c r="AQ21" s="156">
        <f>IF(ISBLANK($A21),,ROUNDDOWN(N21*AQ6*1.024,))</f>
        <v>0</v>
      </c>
      <c r="AR21" s="156">
        <f>IF(ISBLANK($A21),,ROUNDDOWN(P21*AQ6*1.024,))</f>
        <v>0</v>
      </c>
      <c r="AS21" s="156">
        <f>IF(ISBLANK($A21),,ROUNDDOWN(R21*AQ6*1.024,))</f>
        <v>0</v>
      </c>
      <c r="AT21" s="156">
        <f t="shared" si="2"/>
        <v>0</v>
      </c>
      <c r="AU21" s="156">
        <f>IF(ISBLANK($A21),,ROUNDDOWN(V21*AQ6*1.024,))</f>
        <v>0</v>
      </c>
      <c r="AV21" s="156">
        <f>IF(ISBLANK($A21),,ROUNDDOWN(X21*AQ6*1.024,))</f>
        <v>0</v>
      </c>
    </row>
    <row r="22" spans="1:48">
      <c r="A22" s="156" t="s">
        <v>359</v>
      </c>
      <c r="B22" s="156"/>
      <c r="C22" s="156" t="s">
        <v>333</v>
      </c>
      <c r="D22" s="156" t="s">
        <v>453</v>
      </c>
      <c r="E22" s="156" t="s">
        <v>63</v>
      </c>
      <c r="F22" s="152">
        <v>6</v>
      </c>
      <c r="G22" s="152">
        <v>13</v>
      </c>
      <c r="H22" s="152">
        <v>0</v>
      </c>
      <c r="I22" s="152">
        <v>56</v>
      </c>
      <c r="J22" s="154">
        <f t="shared" si="1"/>
        <v>13</v>
      </c>
      <c r="K22" s="152" t="s">
        <v>337</v>
      </c>
      <c r="L22" s="152"/>
      <c r="M22" s="152"/>
      <c r="N22" s="152"/>
      <c r="O22" s="152"/>
      <c r="P22" s="152"/>
      <c r="Q22" s="152"/>
      <c r="R22" s="152"/>
      <c r="S22" s="152"/>
      <c r="T22" s="152"/>
      <c r="U22" s="152"/>
      <c r="V22" s="152"/>
      <c r="W22" s="152"/>
      <c r="X22" s="152"/>
      <c r="Y22" s="152"/>
      <c r="Z22" s="152"/>
      <c r="AA22" s="152"/>
      <c r="AB22" s="152"/>
      <c r="AC22" s="152"/>
      <c r="AD22" s="152">
        <v>85</v>
      </c>
      <c r="AE22" s="152" t="s">
        <v>337</v>
      </c>
      <c r="AF22" s="152"/>
      <c r="AG22" s="152"/>
      <c r="AH22" s="152" t="s">
        <v>328</v>
      </c>
      <c r="AI22" s="152" t="s">
        <v>329</v>
      </c>
      <c r="AJ22" s="152"/>
      <c r="AK22" s="156"/>
      <c r="AL22" s="156"/>
      <c r="AM22" s="156">
        <f t="shared" si="0"/>
        <v>13.312000000000001</v>
      </c>
      <c r="AN22" s="156">
        <f t="shared" si="0"/>
        <v>0</v>
      </c>
      <c r="AO22" s="156">
        <f>IF(ISBLANK($A22),,ROUNDDOWN(I22*AQ6*1.024,))</f>
        <v>51</v>
      </c>
      <c r="AP22" s="156">
        <f>IF(ISBLANK($A22),,ROUNDDOWN(L22*AQ6*1.024,))</f>
        <v>0</v>
      </c>
      <c r="AQ22" s="156">
        <f>IF(ISBLANK($A22),,ROUNDDOWN(N22*AQ6*1.024,))</f>
        <v>0</v>
      </c>
      <c r="AR22" s="156">
        <f>IF(ISBLANK($A22),,ROUNDDOWN(P22*AQ6*1.024,))</f>
        <v>0</v>
      </c>
      <c r="AS22" s="156">
        <f>IF(ISBLANK($A22),,ROUNDDOWN(R22*AQ6*1.024,))</f>
        <v>0</v>
      </c>
      <c r="AT22" s="156">
        <f t="shared" si="2"/>
        <v>0</v>
      </c>
      <c r="AU22" s="156">
        <f>IF(ISBLANK($A22),,ROUNDDOWN(V22*AQ6*1.024,))</f>
        <v>0</v>
      </c>
      <c r="AV22" s="156">
        <f>IF(ISBLANK($A22),,ROUNDDOWN(X22*AQ6*1.024,))</f>
        <v>0</v>
      </c>
    </row>
    <row r="23" spans="1:48">
      <c r="A23" s="156" t="s">
        <v>360</v>
      </c>
      <c r="B23" s="156"/>
      <c r="C23" s="156" t="s">
        <v>333</v>
      </c>
      <c r="D23" s="156" t="s">
        <v>453</v>
      </c>
      <c r="E23" s="156" t="s">
        <v>67</v>
      </c>
      <c r="F23" s="152">
        <v>6</v>
      </c>
      <c r="G23" s="152">
        <v>13</v>
      </c>
      <c r="H23" s="152">
        <v>0</v>
      </c>
      <c r="I23" s="152">
        <v>56</v>
      </c>
      <c r="J23" s="154">
        <f t="shared" si="1"/>
        <v>13</v>
      </c>
      <c r="K23" s="152" t="s">
        <v>343</v>
      </c>
      <c r="L23" s="152"/>
      <c r="M23" s="152"/>
      <c r="N23" s="152"/>
      <c r="O23" s="152"/>
      <c r="P23" s="152"/>
      <c r="Q23" s="152"/>
      <c r="R23" s="152"/>
      <c r="S23" s="152"/>
      <c r="T23" s="152"/>
      <c r="U23" s="152"/>
      <c r="V23" s="152"/>
      <c r="W23" s="152"/>
      <c r="X23" s="152"/>
      <c r="Y23" s="152"/>
      <c r="Z23" s="152"/>
      <c r="AA23" s="152"/>
      <c r="AB23" s="152"/>
      <c r="AC23" s="152"/>
      <c r="AD23" s="152">
        <v>85</v>
      </c>
      <c r="AE23" s="152" t="s">
        <v>343</v>
      </c>
      <c r="AF23" s="152"/>
      <c r="AG23" s="152"/>
      <c r="AH23" s="152" t="s">
        <v>328</v>
      </c>
      <c r="AI23" s="152" t="s">
        <v>329</v>
      </c>
      <c r="AJ23" s="152"/>
      <c r="AK23" s="156"/>
      <c r="AL23" s="156"/>
      <c r="AM23" s="156">
        <f t="shared" si="0"/>
        <v>13.312000000000001</v>
      </c>
      <c r="AN23" s="156">
        <f t="shared" si="0"/>
        <v>0</v>
      </c>
      <c r="AO23" s="156">
        <f>IF(ISBLANK($A23),,ROUNDDOWN(I23*AQ6*1.024,))</f>
        <v>51</v>
      </c>
      <c r="AP23" s="156">
        <f>IF(ISBLANK($A23),,ROUNDDOWN(L23*AQ6*1.024,))</f>
        <v>0</v>
      </c>
      <c r="AQ23" s="156">
        <f>IF(ISBLANK($A23),,ROUNDDOWN(N23*AQ6*1.024,))</f>
        <v>0</v>
      </c>
      <c r="AR23" s="156">
        <f>IF(ISBLANK($A23),,ROUNDDOWN(P23*AQ6*1.024,))</f>
        <v>0</v>
      </c>
      <c r="AS23" s="156">
        <f>IF(ISBLANK($A23),,ROUNDDOWN(R23*AQ6*1.024,))</f>
        <v>0</v>
      </c>
      <c r="AT23" s="156">
        <f t="shared" si="2"/>
        <v>0</v>
      </c>
      <c r="AU23" s="156">
        <f>IF(ISBLANK($A23),,ROUNDDOWN(V23*AQ6*1.024,))</f>
        <v>0</v>
      </c>
      <c r="AV23" s="156">
        <f>IF(ISBLANK($A23),,ROUNDDOWN(X23*AQ6*1.024,))</f>
        <v>0</v>
      </c>
    </row>
    <row r="24" spans="1:48">
      <c r="A24" s="156" t="s">
        <v>361</v>
      </c>
      <c r="B24" s="156"/>
      <c r="C24" s="156" t="s">
        <v>333</v>
      </c>
      <c r="D24" s="156" t="s">
        <v>453</v>
      </c>
      <c r="E24" s="156" t="s">
        <v>71</v>
      </c>
      <c r="F24" s="152">
        <v>5</v>
      </c>
      <c r="G24" s="152">
        <v>7</v>
      </c>
      <c r="H24" s="152">
        <v>0</v>
      </c>
      <c r="I24" s="152">
        <v>41</v>
      </c>
      <c r="J24" s="154">
        <f t="shared" si="1"/>
        <v>7</v>
      </c>
      <c r="K24" s="152" t="s">
        <v>335</v>
      </c>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t="s">
        <v>328</v>
      </c>
      <c r="AI24" s="152" t="s">
        <v>329</v>
      </c>
      <c r="AJ24" s="152"/>
      <c r="AK24" s="156"/>
      <c r="AL24" s="156"/>
      <c r="AM24" s="156">
        <f t="shared" si="0"/>
        <v>7.1680000000000001</v>
      </c>
      <c r="AN24" s="156">
        <f t="shared" si="0"/>
        <v>0</v>
      </c>
      <c r="AO24" s="156">
        <f>IF(ISBLANK($A24),,ROUNDDOWN(I24*AQ6*1.024,))</f>
        <v>37</v>
      </c>
      <c r="AP24" s="156">
        <f>IF(ISBLANK($A24),,ROUNDDOWN(L24*AQ6*1.024,))</f>
        <v>0</v>
      </c>
      <c r="AQ24" s="156">
        <f>IF(ISBLANK($A24),,ROUNDDOWN(N24*AQ6*1.024,))</f>
        <v>0</v>
      </c>
      <c r="AR24" s="156">
        <f>IF(ISBLANK($A24),,ROUNDDOWN(P24*AQ6*1.024,))</f>
        <v>0</v>
      </c>
      <c r="AS24" s="156">
        <f>IF(ISBLANK($A24),,ROUNDDOWN(R24*AQ6*1.024,))</f>
        <v>0</v>
      </c>
      <c r="AT24" s="156">
        <f t="shared" si="2"/>
        <v>0</v>
      </c>
      <c r="AU24" s="156">
        <f>IF(ISBLANK($A24),,ROUNDDOWN(V24*AQ6*1.024,))</f>
        <v>0</v>
      </c>
      <c r="AV24" s="156">
        <f>IF(ISBLANK($A24),,ROUNDDOWN(X24*AQ6*1.024,))</f>
        <v>0</v>
      </c>
    </row>
    <row r="25" spans="1:48">
      <c r="A25" s="156" t="s">
        <v>363</v>
      </c>
      <c r="B25" s="156"/>
      <c r="C25" s="156" t="s">
        <v>333</v>
      </c>
      <c r="D25" s="156" t="s">
        <v>453</v>
      </c>
      <c r="E25" s="156" t="s">
        <v>71</v>
      </c>
      <c r="F25" s="152">
        <v>5</v>
      </c>
      <c r="G25" s="152">
        <v>7</v>
      </c>
      <c r="H25" s="152">
        <v>0</v>
      </c>
      <c r="I25" s="152">
        <v>41</v>
      </c>
      <c r="J25" s="154">
        <f t="shared" si="1"/>
        <v>7</v>
      </c>
      <c r="K25" s="152" t="s">
        <v>337</v>
      </c>
      <c r="L25" s="152"/>
      <c r="M25" s="152"/>
      <c r="N25" s="152"/>
      <c r="O25" s="152"/>
      <c r="P25" s="152"/>
      <c r="Q25" s="152"/>
      <c r="R25" s="152"/>
      <c r="S25" s="152"/>
      <c r="T25" s="152"/>
      <c r="U25" s="152"/>
      <c r="V25" s="152"/>
      <c r="W25" s="152"/>
      <c r="X25" s="152"/>
      <c r="Y25" s="152"/>
      <c r="Z25" s="152"/>
      <c r="AA25" s="152"/>
      <c r="AB25" s="152"/>
      <c r="AC25" s="152"/>
      <c r="AD25" s="152"/>
      <c r="AE25" s="152"/>
      <c r="AF25" s="152"/>
      <c r="AG25" s="152"/>
      <c r="AH25" s="152" t="s">
        <v>328</v>
      </c>
      <c r="AI25" s="152" t="s">
        <v>329</v>
      </c>
      <c r="AJ25" s="152"/>
      <c r="AK25" s="156"/>
      <c r="AL25" s="156"/>
      <c r="AM25" s="156">
        <f t="shared" si="0"/>
        <v>7.1680000000000001</v>
      </c>
      <c r="AN25" s="156">
        <f t="shared" si="0"/>
        <v>0</v>
      </c>
      <c r="AO25" s="156">
        <f>IF(ISBLANK($A25),,ROUNDDOWN(I25*AQ6*1.024,))</f>
        <v>37</v>
      </c>
      <c r="AP25" s="156">
        <f>IF(ISBLANK($A25),,ROUNDDOWN(L25*AQ6*1.024,))</f>
        <v>0</v>
      </c>
      <c r="AQ25" s="156">
        <f>IF(ISBLANK($A25),,ROUNDDOWN(N25*AQ6*1.024,))</f>
        <v>0</v>
      </c>
      <c r="AR25" s="156">
        <f>IF(ISBLANK($A25),,ROUNDDOWN(P25*AQ6*1.024,))</f>
        <v>0</v>
      </c>
      <c r="AS25" s="156">
        <f>IF(ISBLANK($A25),,ROUNDDOWN(R25*AQ6*1.024,))</f>
        <v>0</v>
      </c>
      <c r="AT25" s="156">
        <f t="shared" si="2"/>
        <v>0</v>
      </c>
      <c r="AU25" s="156">
        <f>IF(ISBLANK($A25),,ROUNDDOWN(V25*AQ6*1.024,))</f>
        <v>0</v>
      </c>
      <c r="AV25" s="156">
        <f>IF(ISBLANK($A25),,ROUNDDOWN(X25*AQ6*1.024,))</f>
        <v>0</v>
      </c>
    </row>
    <row r="26" spans="1:48">
      <c r="A26" s="156" t="s">
        <v>484</v>
      </c>
      <c r="B26" s="156"/>
      <c r="C26" s="156" t="s">
        <v>333</v>
      </c>
      <c r="D26" s="156" t="s">
        <v>453</v>
      </c>
      <c r="E26" s="156" t="s">
        <v>73</v>
      </c>
      <c r="F26" s="152">
        <v>8</v>
      </c>
      <c r="G26" s="152">
        <v>34</v>
      </c>
      <c r="H26" s="152">
        <v>34</v>
      </c>
      <c r="I26" s="152">
        <v>136</v>
      </c>
      <c r="J26" s="154">
        <f t="shared" si="1"/>
        <v>0</v>
      </c>
      <c r="K26" s="152" t="s">
        <v>343</v>
      </c>
      <c r="L26" s="152"/>
      <c r="M26" s="152"/>
      <c r="N26" s="152"/>
      <c r="O26" s="152"/>
      <c r="P26" s="152"/>
      <c r="Q26" s="152"/>
      <c r="R26" s="152"/>
      <c r="S26" s="152"/>
      <c r="T26" s="152"/>
      <c r="U26" s="152"/>
      <c r="V26" s="152"/>
      <c r="W26" s="152"/>
      <c r="X26" s="152"/>
      <c r="Y26" s="152"/>
      <c r="Z26" s="152"/>
      <c r="AA26" s="152"/>
      <c r="AB26" s="152"/>
      <c r="AC26" s="152"/>
      <c r="AD26" s="152"/>
      <c r="AE26" s="152"/>
      <c r="AF26" s="152"/>
      <c r="AG26" s="152"/>
      <c r="AH26" s="152" t="s">
        <v>346</v>
      </c>
      <c r="AI26" s="152" t="s">
        <v>347</v>
      </c>
      <c r="AJ26" s="152"/>
      <c r="AK26" s="156"/>
      <c r="AL26" s="156"/>
      <c r="AM26" s="156">
        <f t="shared" si="0"/>
        <v>34.816000000000003</v>
      </c>
      <c r="AN26" s="156">
        <f t="shared" si="0"/>
        <v>34.816000000000003</v>
      </c>
      <c r="AO26" s="156">
        <f>IF(ISBLANK($A26),,ROUNDDOWN(I26*AQ6*1.024,))</f>
        <v>125</v>
      </c>
      <c r="AP26" s="156">
        <f>IF(ISBLANK($A26),,ROUNDDOWN(L26*AQ6*1.024,))</f>
        <v>0</v>
      </c>
      <c r="AQ26" s="156">
        <f>IF(ISBLANK($A26),,ROUNDDOWN(N26*AQ6*1.024,))</f>
        <v>0</v>
      </c>
      <c r="AR26" s="156">
        <f>IF(ISBLANK($A26),,ROUNDDOWN(P26*AQ6*1.024,))</f>
        <v>0</v>
      </c>
      <c r="AS26" s="156">
        <f>IF(ISBLANK($A26),,ROUNDDOWN(R26*AQ6*1.024,))</f>
        <v>0</v>
      </c>
      <c r="AT26" s="156">
        <f t="shared" si="2"/>
        <v>0</v>
      </c>
      <c r="AU26" s="156">
        <f>IF(ISBLANK($A26),,ROUNDDOWN(V26*AQ6*1.024,))</f>
        <v>0</v>
      </c>
      <c r="AV26" s="156">
        <f>IF(ISBLANK($A26),,ROUNDDOWN(X26*AQ6*1.024,))</f>
        <v>0</v>
      </c>
    </row>
    <row r="27" spans="1:48">
      <c r="A27" s="156" t="s">
        <v>485</v>
      </c>
      <c r="B27" s="156"/>
      <c r="C27" s="156" t="s">
        <v>333</v>
      </c>
      <c r="D27" s="156" t="s">
        <v>453</v>
      </c>
      <c r="E27" s="156" t="s">
        <v>73</v>
      </c>
      <c r="F27" s="152">
        <v>8</v>
      </c>
      <c r="G27" s="152">
        <v>34</v>
      </c>
      <c r="H27" s="152">
        <v>34</v>
      </c>
      <c r="I27" s="176">
        <v>136</v>
      </c>
      <c r="J27" s="154">
        <f t="shared" si="1"/>
        <v>0</v>
      </c>
      <c r="K27" s="152" t="s">
        <v>335</v>
      </c>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t="s">
        <v>346</v>
      </c>
      <c r="AI27" s="152" t="s">
        <v>347</v>
      </c>
      <c r="AJ27" s="152"/>
      <c r="AK27" s="156"/>
      <c r="AL27" s="156"/>
      <c r="AM27" s="156">
        <f t="shared" si="0"/>
        <v>34.816000000000003</v>
      </c>
      <c r="AN27" s="156">
        <f t="shared" si="0"/>
        <v>34.816000000000003</v>
      </c>
      <c r="AO27" s="156">
        <f>IF(ISBLANK($A27),,ROUNDDOWN(I27*AQ6*1.024,))</f>
        <v>125</v>
      </c>
      <c r="AP27" s="156">
        <f>IF(ISBLANK($A27),,ROUNDDOWN(L27*AQ6*1.024,))</f>
        <v>0</v>
      </c>
      <c r="AQ27" s="156">
        <f>IF(ISBLANK($A27),,ROUNDDOWN(N27*AQ6*1.024,))</f>
        <v>0</v>
      </c>
      <c r="AR27" s="156">
        <f>IF(ISBLANK($A27),,ROUNDDOWN(P27*AQ6*1.024,))</f>
        <v>0</v>
      </c>
      <c r="AS27" s="156">
        <f>IF(ISBLANK($A27),,ROUNDDOWN(R27*AQ6*1.024,))</f>
        <v>0</v>
      </c>
      <c r="AT27" s="156">
        <f t="shared" si="2"/>
        <v>0</v>
      </c>
      <c r="AU27" s="156">
        <f>IF(ISBLANK($A27),,ROUNDDOWN(V27*AQ6*1.024,))</f>
        <v>0</v>
      </c>
      <c r="AV27" s="156">
        <f>IF(ISBLANK($A27),,ROUNDDOWN(X27*AQ6*1.024,))</f>
        <v>0</v>
      </c>
    </row>
    <row r="28" spans="1:48">
      <c r="A28" s="156" t="s">
        <v>486</v>
      </c>
      <c r="B28" s="156"/>
      <c r="C28" s="156" t="s">
        <v>333</v>
      </c>
      <c r="D28" s="156" t="s">
        <v>453</v>
      </c>
      <c r="E28" s="156" t="s">
        <v>73</v>
      </c>
      <c r="F28" s="152">
        <v>8</v>
      </c>
      <c r="G28" s="152">
        <v>34</v>
      </c>
      <c r="H28" s="152">
        <v>34</v>
      </c>
      <c r="I28" s="176">
        <v>136</v>
      </c>
      <c r="J28" s="154">
        <f t="shared" si="1"/>
        <v>0</v>
      </c>
      <c r="K28" s="152" t="s">
        <v>337</v>
      </c>
      <c r="L28" s="152"/>
      <c r="M28" s="152"/>
      <c r="N28" s="152"/>
      <c r="O28" s="152"/>
      <c r="P28" s="152"/>
      <c r="Q28" s="152"/>
      <c r="R28" s="152"/>
      <c r="S28" s="152"/>
      <c r="T28" s="152"/>
      <c r="U28" s="152"/>
      <c r="V28" s="152"/>
      <c r="W28" s="152"/>
      <c r="X28" s="152"/>
      <c r="Y28" s="152"/>
      <c r="Z28" s="152"/>
      <c r="AA28" s="152"/>
      <c r="AB28" s="152"/>
      <c r="AC28" s="152"/>
      <c r="AD28" s="152"/>
      <c r="AE28" s="152"/>
      <c r="AF28" s="152"/>
      <c r="AG28" s="152"/>
      <c r="AH28" s="152" t="s">
        <v>346</v>
      </c>
      <c r="AI28" s="152" t="s">
        <v>347</v>
      </c>
      <c r="AJ28" s="152"/>
      <c r="AK28" s="156"/>
      <c r="AL28" s="156"/>
      <c r="AM28" s="156">
        <f t="shared" si="0"/>
        <v>34.816000000000003</v>
      </c>
      <c r="AN28" s="156">
        <f t="shared" si="0"/>
        <v>34.816000000000003</v>
      </c>
      <c r="AO28" s="156">
        <f>IF(ISBLANK($A28),,ROUNDDOWN(I28*AQ6*1.024,))</f>
        <v>125</v>
      </c>
      <c r="AP28" s="156">
        <f>IF(ISBLANK($A28),,ROUNDDOWN(L28*AQ6*1.024,))</f>
        <v>0</v>
      </c>
      <c r="AQ28" s="156">
        <f>IF(ISBLANK($A28),,ROUNDDOWN(N28*AQ6*1.024,))</f>
        <v>0</v>
      </c>
      <c r="AR28" s="156">
        <f>IF(ISBLANK($A28),,ROUNDDOWN(P28*AQ6*1.024,))</f>
        <v>0</v>
      </c>
      <c r="AS28" s="156">
        <f>IF(ISBLANK($A28),,ROUNDDOWN(R28*AQ6*1.024,))</f>
        <v>0</v>
      </c>
      <c r="AT28" s="156">
        <f t="shared" si="2"/>
        <v>0</v>
      </c>
      <c r="AU28" s="156">
        <f>IF(ISBLANK($A28),,ROUNDDOWN(V28*AQ6*1.024,))</f>
        <v>0</v>
      </c>
      <c r="AV28" s="156">
        <f>IF(ISBLANK($A28),,ROUNDDOWN(X28*AQ6*1.024,))</f>
        <v>0</v>
      </c>
    </row>
    <row r="29" spans="1:48">
      <c r="A29" s="156" t="s">
        <v>487</v>
      </c>
      <c r="B29" s="156"/>
      <c r="C29" s="156" t="s">
        <v>333</v>
      </c>
      <c r="D29" s="156" t="s">
        <v>453</v>
      </c>
      <c r="E29" s="156" t="s">
        <v>73</v>
      </c>
      <c r="F29" s="152">
        <v>8</v>
      </c>
      <c r="G29" s="152">
        <v>34</v>
      </c>
      <c r="H29" s="152">
        <v>34</v>
      </c>
      <c r="I29" s="176">
        <v>136</v>
      </c>
      <c r="J29" s="154">
        <f t="shared" si="1"/>
        <v>0</v>
      </c>
      <c r="K29" s="152" t="s">
        <v>343</v>
      </c>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t="s">
        <v>346</v>
      </c>
      <c r="AI29" s="152" t="s">
        <v>347</v>
      </c>
      <c r="AJ29" s="152"/>
      <c r="AK29" s="156"/>
      <c r="AL29" s="156"/>
      <c r="AM29" s="156">
        <f t="shared" si="0"/>
        <v>34.816000000000003</v>
      </c>
      <c r="AN29" s="156">
        <f t="shared" si="0"/>
        <v>34.816000000000003</v>
      </c>
      <c r="AO29" s="156">
        <f>IF(ISBLANK($A29),,ROUNDDOWN(I29*AQ6*1.024,))</f>
        <v>125</v>
      </c>
      <c r="AP29" s="156">
        <f>IF(ISBLANK($A29),,ROUNDDOWN(L29*AQ6*1.024,))</f>
        <v>0</v>
      </c>
      <c r="AQ29" s="156">
        <f>IF(ISBLANK($A29),,ROUNDDOWN(N29*AQ6*1.024,))</f>
        <v>0</v>
      </c>
      <c r="AR29" s="156">
        <f>IF(ISBLANK($A29),,ROUNDDOWN(P29*AQ6*1.024,))</f>
        <v>0</v>
      </c>
      <c r="AS29" s="156">
        <f>IF(ISBLANK($A29),,ROUNDDOWN(R29*AQ6*1.024,))</f>
        <v>0</v>
      </c>
      <c r="AT29" s="156">
        <f t="shared" si="2"/>
        <v>0</v>
      </c>
      <c r="AU29" s="156">
        <f>IF(ISBLANK($A29),,ROUNDDOWN(V29*AQ6*1.024,))</f>
        <v>0</v>
      </c>
      <c r="AV29" s="156">
        <f>IF(ISBLANK($A29),,ROUNDDOWN(X29*AQ6*1.024,))</f>
        <v>0</v>
      </c>
    </row>
    <row r="30" spans="1:48">
      <c r="A30" s="156" t="s">
        <v>488</v>
      </c>
      <c r="B30" s="156"/>
      <c r="C30" s="156" t="s">
        <v>333</v>
      </c>
      <c r="D30" s="156" t="s">
        <v>453</v>
      </c>
      <c r="E30" s="156" t="s">
        <v>73</v>
      </c>
      <c r="F30" s="152">
        <v>8</v>
      </c>
      <c r="G30" s="152">
        <v>34</v>
      </c>
      <c r="H30" s="152">
        <v>34</v>
      </c>
      <c r="I30" s="176">
        <v>136</v>
      </c>
      <c r="J30" s="154">
        <f t="shared" si="1"/>
        <v>0</v>
      </c>
      <c r="K30" s="152" t="s">
        <v>335</v>
      </c>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t="s">
        <v>346</v>
      </c>
      <c r="AI30" s="152" t="s">
        <v>347</v>
      </c>
      <c r="AJ30" s="152"/>
      <c r="AK30" s="156"/>
      <c r="AL30" s="156"/>
      <c r="AM30" s="156">
        <f t="shared" si="0"/>
        <v>34.816000000000003</v>
      </c>
      <c r="AN30" s="156">
        <f t="shared" si="0"/>
        <v>34.816000000000003</v>
      </c>
      <c r="AO30" s="156">
        <f>IF(ISBLANK($A30),,ROUNDDOWN(I30*AQ6*1.024,))</f>
        <v>125</v>
      </c>
      <c r="AP30" s="156">
        <f>IF(ISBLANK($A30),,ROUNDDOWN(L30*AQ6*1.024,))</f>
        <v>0</v>
      </c>
      <c r="AQ30" s="156">
        <f>IF(ISBLANK($A30),,ROUNDDOWN(N30*AQ6*1.024,))</f>
        <v>0</v>
      </c>
      <c r="AR30" s="156">
        <f>IF(ISBLANK($A30),,ROUNDDOWN(P30*AQ6*1.024,))</f>
        <v>0</v>
      </c>
      <c r="AS30" s="156">
        <f>IF(ISBLANK($A30),,ROUNDDOWN(R30*AQ6*1.024,))</f>
        <v>0</v>
      </c>
      <c r="AT30" s="156">
        <f t="shared" si="2"/>
        <v>0</v>
      </c>
      <c r="AU30" s="156">
        <f>IF(ISBLANK($A30),,ROUNDDOWN(V30*AQ6*1.024,))</f>
        <v>0</v>
      </c>
      <c r="AV30" s="156">
        <f>IF(ISBLANK($A30),,ROUNDDOWN(X30*AQ6*1.024,))</f>
        <v>0</v>
      </c>
    </row>
    <row r="31" spans="1:48">
      <c r="A31" s="156" t="s">
        <v>489</v>
      </c>
      <c r="B31" s="156"/>
      <c r="C31" s="156" t="s">
        <v>333</v>
      </c>
      <c r="D31" s="156" t="s">
        <v>453</v>
      </c>
      <c r="E31" s="156" t="s">
        <v>73</v>
      </c>
      <c r="F31" s="152">
        <v>8</v>
      </c>
      <c r="G31" s="152">
        <v>34</v>
      </c>
      <c r="H31" s="152">
        <v>34</v>
      </c>
      <c r="I31" s="176">
        <v>136</v>
      </c>
      <c r="J31" s="154">
        <f t="shared" si="1"/>
        <v>0</v>
      </c>
      <c r="K31" s="152" t="s">
        <v>337</v>
      </c>
      <c r="L31" s="152"/>
      <c r="M31" s="152"/>
      <c r="N31" s="152"/>
      <c r="O31" s="152"/>
      <c r="P31" s="152"/>
      <c r="Q31" s="152"/>
      <c r="R31" s="152"/>
      <c r="S31" s="152"/>
      <c r="T31" s="152"/>
      <c r="U31" s="152"/>
      <c r="V31" s="152"/>
      <c r="W31" s="152"/>
      <c r="X31" s="152"/>
      <c r="Y31" s="152"/>
      <c r="Z31" s="152"/>
      <c r="AA31" s="152"/>
      <c r="AB31" s="152"/>
      <c r="AC31" s="152"/>
      <c r="AD31" s="152"/>
      <c r="AE31" s="152"/>
      <c r="AF31" s="152"/>
      <c r="AG31" s="152"/>
      <c r="AH31" s="152" t="s">
        <v>346</v>
      </c>
      <c r="AI31" s="152" t="s">
        <v>347</v>
      </c>
      <c r="AJ31" s="152"/>
      <c r="AK31" s="156"/>
      <c r="AL31" s="156"/>
      <c r="AM31" s="156">
        <f t="shared" si="0"/>
        <v>34.816000000000003</v>
      </c>
      <c r="AN31" s="156">
        <f t="shared" si="0"/>
        <v>34.816000000000003</v>
      </c>
      <c r="AO31" s="156">
        <f>IF(ISBLANK($A31),,ROUNDDOWN(I31*AQ6*1.024,))</f>
        <v>125</v>
      </c>
      <c r="AP31" s="156">
        <f>IF(ISBLANK($A31),,ROUNDDOWN(L31*AQ6*1.024,))</f>
        <v>0</v>
      </c>
      <c r="AQ31" s="156">
        <f>IF(ISBLANK($A31),,ROUNDDOWN(N31*AQ6*1.024,))</f>
        <v>0</v>
      </c>
      <c r="AR31" s="156">
        <f>IF(ISBLANK($A31),,ROUNDDOWN(P31*AQ6*1.024,))</f>
        <v>0</v>
      </c>
      <c r="AS31" s="156">
        <f>IF(ISBLANK($A31),,ROUNDDOWN(R31*AQ6*1.024,))</f>
        <v>0</v>
      </c>
      <c r="AT31" s="156">
        <f t="shared" si="2"/>
        <v>0</v>
      </c>
      <c r="AU31" s="156">
        <f>IF(ISBLANK($A31),,ROUNDDOWN(V31*AQ6*1.024,))</f>
        <v>0</v>
      </c>
      <c r="AV31" s="156">
        <f>IF(ISBLANK($A31),,ROUNDDOWN(X31*AQ6*1.024,))</f>
        <v>0</v>
      </c>
    </row>
    <row r="32" spans="1:48">
      <c r="A32" s="156" t="s">
        <v>502</v>
      </c>
      <c r="B32" s="156"/>
      <c r="C32" s="156" t="s">
        <v>333</v>
      </c>
      <c r="D32" s="156" t="s">
        <v>453</v>
      </c>
      <c r="E32" s="156" t="s">
        <v>73</v>
      </c>
      <c r="F32" s="152">
        <v>8</v>
      </c>
      <c r="G32" s="152">
        <v>34</v>
      </c>
      <c r="H32" s="152">
        <v>34</v>
      </c>
      <c r="I32" s="176">
        <v>136</v>
      </c>
      <c r="J32" s="154">
        <f t="shared" si="1"/>
        <v>0</v>
      </c>
      <c r="K32" s="152" t="s">
        <v>343</v>
      </c>
      <c r="L32" s="152"/>
      <c r="M32" s="152"/>
      <c r="N32" s="152"/>
      <c r="O32" s="152"/>
      <c r="P32" s="152"/>
      <c r="Q32" s="152"/>
      <c r="R32" s="152"/>
      <c r="S32" s="152"/>
      <c r="T32" s="152"/>
      <c r="U32" s="152"/>
      <c r="V32" s="152"/>
      <c r="W32" s="152"/>
      <c r="X32" s="152"/>
      <c r="Y32" s="152"/>
      <c r="Z32" s="152"/>
      <c r="AA32" s="152"/>
      <c r="AB32" s="152"/>
      <c r="AC32" s="152"/>
      <c r="AD32" s="152"/>
      <c r="AE32" s="152"/>
      <c r="AF32" s="152"/>
      <c r="AG32" s="152"/>
      <c r="AH32" s="152" t="s">
        <v>346</v>
      </c>
      <c r="AI32" s="152" t="s">
        <v>347</v>
      </c>
      <c r="AJ32" s="152"/>
      <c r="AK32" s="156"/>
      <c r="AL32" s="156"/>
      <c r="AM32" s="156">
        <f t="shared" si="0"/>
        <v>34.816000000000003</v>
      </c>
      <c r="AN32" s="156">
        <f t="shared" si="0"/>
        <v>34.816000000000003</v>
      </c>
      <c r="AO32" s="156">
        <f>IF(ISBLANK($A32),,ROUNDDOWN(I32*AQ6*1.024,))</f>
        <v>125</v>
      </c>
      <c r="AP32" s="156">
        <f>IF(ISBLANK($A32),,ROUNDDOWN(L32*AQ6*1.024,))</f>
        <v>0</v>
      </c>
      <c r="AQ32" s="156">
        <f>IF(ISBLANK($A32),,ROUNDDOWN(N32*AQ6*1.024,))</f>
        <v>0</v>
      </c>
      <c r="AR32" s="156">
        <f>IF(ISBLANK($A32),,ROUNDDOWN(P32*AQ6*1.024,))</f>
        <v>0</v>
      </c>
      <c r="AS32" s="156">
        <f>IF(ISBLANK($A32),,ROUNDDOWN(R32*AQ6*1.024,))</f>
        <v>0</v>
      </c>
      <c r="AT32" s="156">
        <f t="shared" si="2"/>
        <v>0</v>
      </c>
      <c r="AU32" s="156">
        <f>IF(ISBLANK($A32),,ROUNDDOWN(V32*AQ6*1.024,))</f>
        <v>0</v>
      </c>
      <c r="AV32" s="156">
        <f>IF(ISBLANK($A32),,ROUNDDOWN(X32*AQ6*1.024,))</f>
        <v>0</v>
      </c>
    </row>
    <row r="33" spans="1:48">
      <c r="A33" s="156" t="s">
        <v>503</v>
      </c>
      <c r="B33" s="156"/>
      <c r="C33" s="156" t="s">
        <v>333</v>
      </c>
      <c r="D33" s="156" t="s">
        <v>453</v>
      </c>
      <c r="E33" s="156" t="s">
        <v>73</v>
      </c>
      <c r="F33" s="152">
        <v>8</v>
      </c>
      <c r="G33" s="152">
        <v>34</v>
      </c>
      <c r="H33" s="152">
        <v>34</v>
      </c>
      <c r="I33" s="176">
        <v>136</v>
      </c>
      <c r="J33" s="154">
        <f t="shared" si="1"/>
        <v>0</v>
      </c>
      <c r="K33" s="152" t="s">
        <v>335</v>
      </c>
      <c r="L33" s="152"/>
      <c r="M33" s="152"/>
      <c r="N33" s="152"/>
      <c r="O33" s="152"/>
      <c r="P33" s="152"/>
      <c r="Q33" s="152"/>
      <c r="R33" s="152"/>
      <c r="S33" s="152"/>
      <c r="T33" s="152"/>
      <c r="U33" s="152"/>
      <c r="V33" s="152"/>
      <c r="W33" s="152"/>
      <c r="X33" s="152"/>
      <c r="Y33" s="152"/>
      <c r="Z33" s="152"/>
      <c r="AA33" s="152"/>
      <c r="AB33" s="152"/>
      <c r="AC33" s="152"/>
      <c r="AD33" s="152"/>
      <c r="AE33" s="152"/>
      <c r="AF33" s="152"/>
      <c r="AG33" s="152"/>
      <c r="AH33" s="152" t="s">
        <v>346</v>
      </c>
      <c r="AI33" s="152" t="s">
        <v>347</v>
      </c>
      <c r="AJ33" s="152"/>
      <c r="AK33" s="156"/>
      <c r="AL33" s="156"/>
      <c r="AM33" s="156">
        <f t="shared" si="0"/>
        <v>34.816000000000003</v>
      </c>
      <c r="AN33" s="156">
        <f t="shared" si="0"/>
        <v>34.816000000000003</v>
      </c>
      <c r="AO33" s="156">
        <f>IF(ISBLANK($A33),,ROUNDDOWN(I33*AQ6*1.024,))</f>
        <v>125</v>
      </c>
      <c r="AP33" s="156">
        <f>IF(ISBLANK($A33),,ROUNDDOWN(L33*AQ6*1.024,))</f>
        <v>0</v>
      </c>
      <c r="AQ33" s="156">
        <f>IF(ISBLANK($A33),,ROUNDDOWN(N33*AQ6*1.024,))</f>
        <v>0</v>
      </c>
      <c r="AR33" s="156">
        <f>IF(ISBLANK($A33),,ROUNDDOWN(P33*AQ6*1.024,))</f>
        <v>0</v>
      </c>
      <c r="AS33" s="156">
        <f>IF(ISBLANK($A33),,ROUNDDOWN(R33*AQ6*1.024,))</f>
        <v>0</v>
      </c>
      <c r="AT33" s="156">
        <f t="shared" si="2"/>
        <v>0</v>
      </c>
      <c r="AU33" s="156">
        <f>IF(ISBLANK($A33),,ROUNDDOWN(V33*AQ6*1.024,))</f>
        <v>0</v>
      </c>
      <c r="AV33" s="156">
        <f>IF(ISBLANK($A33),,ROUNDDOWN(X33*AQ6*1.024,))</f>
        <v>0</v>
      </c>
    </row>
    <row r="34" spans="1:48">
      <c r="A34" s="156" t="s">
        <v>504</v>
      </c>
      <c r="B34" s="156"/>
      <c r="C34" s="156" t="s">
        <v>333</v>
      </c>
      <c r="D34" s="11" t="s">
        <v>362</v>
      </c>
      <c r="E34" s="156" t="s">
        <v>75</v>
      </c>
      <c r="F34" s="152">
        <v>4</v>
      </c>
      <c r="G34" s="152">
        <v>4</v>
      </c>
      <c r="H34" s="152">
        <v>0</v>
      </c>
      <c r="I34" s="152">
        <v>100</v>
      </c>
      <c r="J34" s="154">
        <f t="shared" si="1"/>
        <v>4</v>
      </c>
      <c r="K34" s="152" t="s">
        <v>337</v>
      </c>
      <c r="L34" s="152"/>
      <c r="M34" s="152"/>
      <c r="N34" s="152"/>
      <c r="O34" s="152"/>
      <c r="P34" s="152"/>
      <c r="Q34" s="152"/>
      <c r="R34" s="152"/>
      <c r="S34" s="152"/>
      <c r="T34" s="152"/>
      <c r="U34" s="152"/>
      <c r="V34" s="152"/>
      <c r="W34" s="152"/>
      <c r="X34" s="152"/>
      <c r="Y34" s="152"/>
      <c r="Z34" s="152"/>
      <c r="AA34" s="152"/>
      <c r="AB34" s="152"/>
      <c r="AC34" s="152"/>
      <c r="AD34" s="152"/>
      <c r="AE34" s="152"/>
      <c r="AF34" s="152"/>
      <c r="AG34" s="152"/>
      <c r="AH34" s="152" t="s">
        <v>328</v>
      </c>
      <c r="AI34" s="152" t="s">
        <v>329</v>
      </c>
      <c r="AJ34" s="152"/>
      <c r="AK34" s="156"/>
      <c r="AL34" s="156"/>
      <c r="AM34" s="156">
        <f t="shared" si="0"/>
        <v>4.0960000000000001</v>
      </c>
      <c r="AN34" s="156">
        <f t="shared" si="0"/>
        <v>0</v>
      </c>
      <c r="AO34" s="156">
        <f>IF(ISBLANK($A34),,ROUNDDOWN(I34*AQ6*1.024,))</f>
        <v>92</v>
      </c>
      <c r="AP34" s="156">
        <f>IF(ISBLANK($A34),,ROUNDDOWN(L34*AQ6*1.024,))</f>
        <v>0</v>
      </c>
      <c r="AQ34" s="156">
        <f>IF(ISBLANK($A34),,ROUNDDOWN(N34*AQ6*1.024,))</f>
        <v>0</v>
      </c>
      <c r="AR34" s="156">
        <f>IF(ISBLANK($A34),,ROUNDDOWN(P34*AQ6*1.024,))</f>
        <v>0</v>
      </c>
      <c r="AS34" s="156">
        <f>IF(ISBLANK($A34),,ROUNDDOWN(R34*AQ6*1.024,))</f>
        <v>0</v>
      </c>
      <c r="AT34" s="156">
        <f t="shared" si="2"/>
        <v>0</v>
      </c>
      <c r="AU34" s="156">
        <f>IF(ISBLANK($A34),,ROUNDDOWN(V34*AQ6*1.024,))</f>
        <v>0</v>
      </c>
      <c r="AV34" s="156">
        <f>IF(ISBLANK($A34),,ROUNDDOWN(X34*AQ6*1.024,))</f>
        <v>0</v>
      </c>
    </row>
    <row r="35" spans="1:48">
      <c r="A35" s="156" t="s">
        <v>505</v>
      </c>
      <c r="B35" s="156"/>
      <c r="C35" s="156" t="s">
        <v>333</v>
      </c>
      <c r="D35" s="11" t="s">
        <v>362</v>
      </c>
      <c r="E35" s="156" t="s">
        <v>79</v>
      </c>
      <c r="F35" s="152">
        <v>4</v>
      </c>
      <c r="G35" s="152">
        <v>16</v>
      </c>
      <c r="H35" s="152">
        <v>0</v>
      </c>
      <c r="I35" s="152">
        <v>110</v>
      </c>
      <c r="J35" s="154">
        <f t="shared" si="1"/>
        <v>16</v>
      </c>
      <c r="K35" s="152" t="s">
        <v>343</v>
      </c>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t="s">
        <v>328</v>
      </c>
      <c r="AI35" s="152" t="s">
        <v>329</v>
      </c>
      <c r="AJ35" s="152"/>
      <c r="AK35" s="156"/>
      <c r="AL35" s="156"/>
      <c r="AM35" s="156">
        <f t="shared" si="0"/>
        <v>16.384</v>
      </c>
      <c r="AN35" s="156">
        <f t="shared" si="0"/>
        <v>0</v>
      </c>
      <c r="AO35" s="156">
        <f>IF(ISBLANK($A35),,ROUNDDOWN(I35*AQ6*1.024,))</f>
        <v>101</v>
      </c>
      <c r="AP35" s="156">
        <f>IF(ISBLANK($A35),,ROUNDDOWN(L35*AQ6*1.024,))</f>
        <v>0</v>
      </c>
      <c r="AQ35" s="156">
        <f>IF(ISBLANK($A35),,ROUNDDOWN(N35*AQ6*1.024,))</f>
        <v>0</v>
      </c>
      <c r="AR35" s="156">
        <f>IF(ISBLANK($A35),,ROUNDDOWN(P35*AQ6*1.024,))</f>
        <v>0</v>
      </c>
      <c r="AS35" s="156">
        <f>IF(ISBLANK($A35),,ROUNDDOWN(R35*AQ6*1.024,))</f>
        <v>0</v>
      </c>
      <c r="AT35" s="156">
        <f t="shared" si="2"/>
        <v>0</v>
      </c>
      <c r="AU35" s="156">
        <f>IF(ISBLANK($A35),,ROUNDDOWN(V35*AQ6*1.024,))</f>
        <v>0</v>
      </c>
      <c r="AV35" s="156">
        <f>IF(ISBLANK($A35),,ROUNDDOWN(X35*AQ6*1.024,))</f>
        <v>0</v>
      </c>
    </row>
    <row r="36" spans="1:48">
      <c r="A36" s="156" t="s">
        <v>364</v>
      </c>
      <c r="B36" s="156"/>
      <c r="C36" s="156" t="s">
        <v>333</v>
      </c>
      <c r="D36" s="11" t="s">
        <v>362</v>
      </c>
      <c r="E36" s="156" t="s">
        <v>77</v>
      </c>
      <c r="F36" s="152">
        <v>4</v>
      </c>
      <c r="G36" s="152">
        <v>14</v>
      </c>
      <c r="H36" s="152">
        <v>0</v>
      </c>
      <c r="I36" s="152">
        <v>100</v>
      </c>
      <c r="J36" s="154">
        <f t="shared" si="1"/>
        <v>14</v>
      </c>
      <c r="K36" s="152" t="s">
        <v>343</v>
      </c>
      <c r="L36" s="152"/>
      <c r="M36" s="152"/>
      <c r="N36" s="152"/>
      <c r="O36" s="152"/>
      <c r="P36" s="152"/>
      <c r="Q36" s="152"/>
      <c r="R36" s="152"/>
      <c r="S36" s="152"/>
      <c r="T36" s="152"/>
      <c r="U36" s="152"/>
      <c r="V36" s="152"/>
      <c r="W36" s="152"/>
      <c r="X36" s="152"/>
      <c r="Y36" s="152"/>
      <c r="Z36" s="152"/>
      <c r="AA36" s="152"/>
      <c r="AB36" s="152"/>
      <c r="AC36" s="152"/>
      <c r="AD36" s="152"/>
      <c r="AE36" s="152"/>
      <c r="AF36" s="152"/>
      <c r="AG36" s="152"/>
      <c r="AH36" s="152" t="s">
        <v>328</v>
      </c>
      <c r="AI36" s="152" t="s">
        <v>329</v>
      </c>
      <c r="AJ36" s="152"/>
      <c r="AK36" s="156"/>
      <c r="AL36" s="156"/>
      <c r="AM36" s="156">
        <f t="shared" si="0"/>
        <v>14.336</v>
      </c>
      <c r="AN36" s="156">
        <f t="shared" si="0"/>
        <v>0</v>
      </c>
      <c r="AO36" s="156">
        <f>IF(ISBLANK($A36),,ROUNDDOWN(I36*AQ6*1.024,))</f>
        <v>92</v>
      </c>
      <c r="AP36" s="156">
        <f>IF(ISBLANK($A36),,ROUNDDOWN(L36*AQ6*1.024,))</f>
        <v>0</v>
      </c>
      <c r="AQ36" s="156">
        <f>IF(ISBLANK($A36),,ROUNDDOWN(N36*AQ6*1.024,))</f>
        <v>0</v>
      </c>
      <c r="AR36" s="156">
        <f>IF(ISBLANK($A36),,ROUNDDOWN(P36*AQ6*1.024,))</f>
        <v>0</v>
      </c>
      <c r="AS36" s="156">
        <f>IF(ISBLANK($A36),,ROUNDDOWN(R36*AQ6*1.024,))</f>
        <v>0</v>
      </c>
      <c r="AT36" s="156">
        <f t="shared" si="2"/>
        <v>0</v>
      </c>
      <c r="AU36" s="156">
        <f>IF(ISBLANK($A36),,ROUNDDOWN(V36*AQ6*1.024,))</f>
        <v>0</v>
      </c>
      <c r="AV36" s="156">
        <f>IF(ISBLANK($A36),,ROUNDDOWN(X36*AQ6*1.024,))</f>
        <v>0</v>
      </c>
    </row>
    <row r="37" spans="1:48">
      <c r="A37" s="156" t="s">
        <v>365</v>
      </c>
      <c r="B37" s="152"/>
      <c r="C37" s="156" t="s">
        <v>333</v>
      </c>
      <c r="D37" s="156" t="s">
        <v>453</v>
      </c>
      <c r="E37" s="156" t="s">
        <v>81</v>
      </c>
      <c r="F37" s="152">
        <v>9</v>
      </c>
      <c r="G37" s="152">
        <v>12</v>
      </c>
      <c r="H37" s="152">
        <v>0</v>
      </c>
      <c r="I37" s="152">
        <v>56</v>
      </c>
      <c r="J37" s="154">
        <f t="shared" si="1"/>
        <v>12</v>
      </c>
      <c r="K37" s="152" t="s">
        <v>335</v>
      </c>
      <c r="L37" s="152"/>
      <c r="M37" s="152"/>
      <c r="N37" s="152"/>
      <c r="O37" s="152"/>
      <c r="P37" s="152"/>
      <c r="Q37" s="152"/>
      <c r="R37" s="152"/>
      <c r="S37" s="152"/>
      <c r="T37" s="152"/>
      <c r="U37" s="152"/>
      <c r="V37" s="152"/>
      <c r="W37" s="152"/>
      <c r="X37" s="152"/>
      <c r="Y37" s="152"/>
      <c r="Z37" s="154">
        <v>50</v>
      </c>
      <c r="AA37" s="152" t="s">
        <v>366</v>
      </c>
      <c r="AB37" s="152"/>
      <c r="AC37" s="152"/>
      <c r="AD37" s="152"/>
      <c r="AE37" s="152"/>
      <c r="AF37" s="152"/>
      <c r="AG37" s="152"/>
      <c r="AH37" s="152" t="s">
        <v>328</v>
      </c>
      <c r="AI37" s="152" t="s">
        <v>329</v>
      </c>
      <c r="AJ37" s="152"/>
      <c r="AK37" s="156"/>
      <c r="AL37" s="156"/>
      <c r="AM37" s="156">
        <f t="shared" si="0"/>
        <v>12.288</v>
      </c>
      <c r="AN37" s="156">
        <f t="shared" si="0"/>
        <v>0</v>
      </c>
      <c r="AO37" s="156">
        <f>IF(ISBLANK($A37),,ROUNDDOWN(I37*AQ6*1.024,))</f>
        <v>51</v>
      </c>
      <c r="AP37" s="156">
        <f>IF(ISBLANK($A37),,ROUNDDOWN(L37*AQ6*1.024,))</f>
        <v>0</v>
      </c>
      <c r="AQ37" s="156">
        <f>IF(ISBLANK($A37),,ROUNDDOWN(N37*AQ6*1.024,))</f>
        <v>0</v>
      </c>
      <c r="AR37" s="156">
        <f>IF(ISBLANK($A37),,ROUNDDOWN(P37*AQ6*1.024,))</f>
        <v>0</v>
      </c>
      <c r="AS37" s="156">
        <f>IF(ISBLANK($A37),,ROUNDDOWN(R37*AQ6*1.024,))</f>
        <v>0</v>
      </c>
      <c r="AT37" s="156">
        <f t="shared" si="2"/>
        <v>0</v>
      </c>
      <c r="AU37" s="156">
        <f>IF(ISBLANK($A37),,ROUNDDOWN(V37*AQ6*1.024,))</f>
        <v>0</v>
      </c>
      <c r="AV37" s="156">
        <f>IF(ISBLANK($A37),,ROUNDDOWN(X37*AQ6*1.024,))</f>
        <v>0</v>
      </c>
    </row>
    <row r="38" spans="1:48">
      <c r="A38" s="156" t="s">
        <v>367</v>
      </c>
      <c r="B38" s="156"/>
      <c r="C38" s="156" t="s">
        <v>333</v>
      </c>
      <c r="D38" s="156" t="s">
        <v>453</v>
      </c>
      <c r="E38" s="156" t="s">
        <v>81</v>
      </c>
      <c r="F38" s="152">
        <v>9</v>
      </c>
      <c r="G38" s="152">
        <v>12</v>
      </c>
      <c r="H38" s="152">
        <v>0</v>
      </c>
      <c r="I38" s="176">
        <v>56</v>
      </c>
      <c r="J38" s="154">
        <f t="shared" si="1"/>
        <v>12</v>
      </c>
      <c r="K38" s="152" t="s">
        <v>337</v>
      </c>
      <c r="L38" s="152"/>
      <c r="M38" s="152"/>
      <c r="N38" s="152"/>
      <c r="O38" s="152"/>
      <c r="P38" s="152"/>
      <c r="Q38" s="152"/>
      <c r="R38" s="152"/>
      <c r="S38" s="152"/>
      <c r="T38" s="152"/>
      <c r="U38" s="152"/>
      <c r="V38" s="152"/>
      <c r="W38" s="152"/>
      <c r="X38" s="152"/>
      <c r="Y38" s="152"/>
      <c r="Z38" s="154">
        <v>50</v>
      </c>
      <c r="AA38" s="152" t="s">
        <v>366</v>
      </c>
      <c r="AB38" s="152"/>
      <c r="AC38" s="152"/>
      <c r="AD38" s="152"/>
      <c r="AE38" s="152"/>
      <c r="AF38" s="152"/>
      <c r="AG38" s="152"/>
      <c r="AH38" s="152" t="s">
        <v>328</v>
      </c>
      <c r="AI38" s="152" t="s">
        <v>329</v>
      </c>
      <c r="AJ38" s="152"/>
      <c r="AK38" s="156"/>
      <c r="AL38" s="156"/>
      <c r="AM38" s="156">
        <f t="shared" si="0"/>
        <v>12.288</v>
      </c>
      <c r="AN38" s="156">
        <f t="shared" si="0"/>
        <v>0</v>
      </c>
      <c r="AO38" s="156">
        <f>IF(ISBLANK($A38),,ROUNDDOWN(I38*AQ6*1.024,))</f>
        <v>51</v>
      </c>
      <c r="AP38" s="156">
        <f>IF(ISBLANK($A38),,ROUNDDOWN(L38*AQ6*1.024,))</f>
        <v>0</v>
      </c>
      <c r="AQ38" s="156">
        <f>IF(ISBLANK($A38),,ROUNDDOWN(N38*AQ6*1.024,))</f>
        <v>0</v>
      </c>
      <c r="AR38" s="156">
        <f>IF(ISBLANK($A38),,ROUNDDOWN(P38*AQ6*1.024,))</f>
        <v>0</v>
      </c>
      <c r="AS38" s="156">
        <f>IF(ISBLANK($A38),,ROUNDDOWN(R38*AQ6*1.024,))</f>
        <v>0</v>
      </c>
      <c r="AT38" s="156">
        <f t="shared" si="2"/>
        <v>0</v>
      </c>
      <c r="AU38" s="156">
        <f>IF(ISBLANK($A38),,ROUNDDOWN(V38*AQ6*1.024,))</f>
        <v>0</v>
      </c>
      <c r="AV38" s="156">
        <f>IF(ISBLANK($A38),,ROUNDDOWN(X38*AQ6*1.024,))</f>
        <v>0</v>
      </c>
    </row>
    <row r="39" spans="1:48">
      <c r="A39" s="156" t="s">
        <v>506</v>
      </c>
      <c r="B39" s="156"/>
      <c r="C39" s="156" t="s">
        <v>333</v>
      </c>
      <c r="D39" s="156" t="s">
        <v>453</v>
      </c>
      <c r="E39" s="156" t="s">
        <v>81</v>
      </c>
      <c r="F39" s="152">
        <v>9</v>
      </c>
      <c r="G39" s="152">
        <v>12</v>
      </c>
      <c r="H39" s="152">
        <v>0</v>
      </c>
      <c r="I39" s="176">
        <v>56</v>
      </c>
      <c r="J39" s="154">
        <f t="shared" si="1"/>
        <v>12</v>
      </c>
      <c r="K39" s="152" t="s">
        <v>343</v>
      </c>
      <c r="L39" s="152"/>
      <c r="M39" s="152"/>
      <c r="N39" s="152"/>
      <c r="O39" s="152"/>
      <c r="P39" s="152"/>
      <c r="Q39" s="152"/>
      <c r="R39" s="152"/>
      <c r="S39" s="152"/>
      <c r="T39" s="152"/>
      <c r="U39" s="152"/>
      <c r="V39" s="152"/>
      <c r="W39" s="152"/>
      <c r="X39" s="152"/>
      <c r="Y39" s="152"/>
      <c r="Z39" s="154">
        <v>50</v>
      </c>
      <c r="AA39" s="152" t="s">
        <v>366</v>
      </c>
      <c r="AB39" s="152"/>
      <c r="AC39" s="152"/>
      <c r="AD39" s="152"/>
      <c r="AE39" s="152"/>
      <c r="AF39" s="152"/>
      <c r="AG39" s="152"/>
      <c r="AH39" s="152" t="s">
        <v>328</v>
      </c>
      <c r="AI39" s="152" t="s">
        <v>329</v>
      </c>
      <c r="AJ39" s="152"/>
      <c r="AK39" s="156"/>
      <c r="AL39" s="156"/>
      <c r="AM39" s="156">
        <f t="shared" si="0"/>
        <v>12.288</v>
      </c>
      <c r="AN39" s="156">
        <f t="shared" si="0"/>
        <v>0</v>
      </c>
      <c r="AO39" s="156">
        <f>IF(ISBLANK($A39),,ROUNDDOWN(I39*AQ6*1.024,))</f>
        <v>51</v>
      </c>
      <c r="AP39" s="156">
        <f>IF(ISBLANK($A39),,ROUNDDOWN(L39*AQ6*1.024,))</f>
        <v>0</v>
      </c>
      <c r="AQ39" s="156">
        <f>IF(ISBLANK($A39),,ROUNDDOWN(N39*AQ6*1.024,))</f>
        <v>0</v>
      </c>
      <c r="AR39" s="156">
        <f>IF(ISBLANK($A39),,ROUNDDOWN(P39*AQ6*1.024,))</f>
        <v>0</v>
      </c>
      <c r="AS39" s="156">
        <f>IF(ISBLANK($A39),,ROUNDDOWN(R39*AQ6*1.024,))</f>
        <v>0</v>
      </c>
      <c r="AT39" s="156">
        <f t="shared" si="2"/>
        <v>0</v>
      </c>
      <c r="AU39" s="156">
        <f>IF(ISBLANK($A39),,ROUNDDOWN(V39*AQ6*1.024,))</f>
        <v>0</v>
      </c>
      <c r="AV39" s="156">
        <f>IF(ISBLANK($A39),,ROUNDDOWN(X39*AQ6*1.024,))</f>
        <v>0</v>
      </c>
    </row>
    <row r="40" spans="1:48">
      <c r="A40" s="156" t="s">
        <v>507</v>
      </c>
      <c r="B40" s="156"/>
      <c r="C40" s="156" t="s">
        <v>333</v>
      </c>
      <c r="D40" s="156" t="s">
        <v>453</v>
      </c>
      <c r="E40" s="156" t="s">
        <v>81</v>
      </c>
      <c r="F40" s="152">
        <v>9</v>
      </c>
      <c r="G40" s="152">
        <v>12</v>
      </c>
      <c r="H40" s="152">
        <v>0</v>
      </c>
      <c r="I40" s="176">
        <v>56</v>
      </c>
      <c r="J40" s="154">
        <f t="shared" si="1"/>
        <v>12</v>
      </c>
      <c r="K40" s="152" t="s">
        <v>335</v>
      </c>
      <c r="L40" s="152"/>
      <c r="M40" s="152"/>
      <c r="N40" s="152"/>
      <c r="O40" s="152"/>
      <c r="P40" s="152"/>
      <c r="Q40" s="152"/>
      <c r="R40" s="152"/>
      <c r="S40" s="152"/>
      <c r="T40" s="152"/>
      <c r="U40" s="152"/>
      <c r="V40" s="152"/>
      <c r="W40" s="152"/>
      <c r="X40" s="152"/>
      <c r="Y40" s="152"/>
      <c r="Z40" s="154">
        <v>50</v>
      </c>
      <c r="AA40" s="152" t="s">
        <v>366</v>
      </c>
      <c r="AB40" s="152"/>
      <c r="AC40" s="152"/>
      <c r="AD40" s="152"/>
      <c r="AE40" s="152"/>
      <c r="AF40" s="152"/>
      <c r="AG40" s="152"/>
      <c r="AH40" s="152" t="s">
        <v>328</v>
      </c>
      <c r="AI40" s="152" t="s">
        <v>329</v>
      </c>
      <c r="AJ40" s="152"/>
      <c r="AK40" s="156"/>
      <c r="AL40" s="156"/>
      <c r="AM40" s="156">
        <f t="shared" si="0"/>
        <v>12.288</v>
      </c>
      <c r="AN40" s="156">
        <f t="shared" si="0"/>
        <v>0</v>
      </c>
      <c r="AO40" s="156">
        <f>IF(ISBLANK($A40),,ROUNDDOWN(I40*AQ6*1.024,))</f>
        <v>51</v>
      </c>
      <c r="AP40" s="156">
        <f>IF(ISBLANK($A40),,ROUNDDOWN(L40*AQ6*1.024,))</f>
        <v>0</v>
      </c>
      <c r="AQ40" s="156">
        <f>IF(ISBLANK($A40),,ROUNDDOWN(N40*AQ6*1.024,))</f>
        <v>0</v>
      </c>
      <c r="AR40" s="156">
        <f>IF(ISBLANK($A40),,ROUNDDOWN(P40*AQ6*1.024,))</f>
        <v>0</v>
      </c>
      <c r="AS40" s="156">
        <f>IF(ISBLANK($A40),,ROUNDDOWN(R40*AQ6*1.024,))</f>
        <v>0</v>
      </c>
      <c r="AT40" s="156">
        <f t="shared" si="2"/>
        <v>0</v>
      </c>
      <c r="AU40" s="156">
        <f>IF(ISBLANK($A40),,ROUNDDOWN(V40*AQ6*1.024,))</f>
        <v>0</v>
      </c>
      <c r="AV40" s="156">
        <f>IF(ISBLANK($A40),,ROUNDDOWN(X40*AQ6*1.024,))</f>
        <v>0</v>
      </c>
    </row>
    <row r="41" spans="1:48">
      <c r="A41" s="156" t="s">
        <v>368</v>
      </c>
      <c r="B41" s="156"/>
      <c r="C41" s="156" t="s">
        <v>333</v>
      </c>
      <c r="D41" s="156" t="s">
        <v>453</v>
      </c>
      <c r="E41" s="156" t="s">
        <v>369</v>
      </c>
      <c r="F41" s="152">
        <v>4</v>
      </c>
      <c r="G41" s="152">
        <v>4</v>
      </c>
      <c r="H41" s="152">
        <v>0</v>
      </c>
      <c r="I41" s="152">
        <v>41</v>
      </c>
      <c r="J41" s="154">
        <f t="shared" si="1"/>
        <v>4</v>
      </c>
      <c r="K41" s="152" t="s">
        <v>343</v>
      </c>
      <c r="L41" s="152"/>
      <c r="M41" s="152"/>
      <c r="N41" s="152"/>
      <c r="O41" s="152"/>
      <c r="P41" s="152"/>
      <c r="Q41" s="152"/>
      <c r="R41" s="152"/>
      <c r="S41" s="152"/>
      <c r="T41" s="152"/>
      <c r="U41" s="152"/>
      <c r="V41" s="152"/>
      <c r="W41" s="152"/>
      <c r="X41" s="152"/>
      <c r="Y41" s="152"/>
      <c r="Z41" s="154"/>
      <c r="AA41" s="152"/>
      <c r="AB41" s="152"/>
      <c r="AC41" s="152"/>
      <c r="AD41" s="152"/>
      <c r="AE41" s="152"/>
      <c r="AF41" s="152"/>
      <c r="AG41" s="152"/>
      <c r="AH41" s="152" t="s">
        <v>328</v>
      </c>
      <c r="AI41" s="152" t="s">
        <v>329</v>
      </c>
      <c r="AJ41" s="152"/>
      <c r="AK41" s="156"/>
      <c r="AL41" s="156"/>
      <c r="AM41" s="156">
        <f>IF(ISBLANK($A41),,G41*1.024)</f>
        <v>4.0960000000000001</v>
      </c>
      <c r="AN41" s="156">
        <f>IF(ISBLANK($A41),,H41*1.024)</f>
        <v>0</v>
      </c>
      <c r="AO41" s="156">
        <f>IF(ISBLANK($A41),,ROUNDDOWN(I41*AQ6*1.024,))</f>
        <v>37</v>
      </c>
      <c r="AP41" s="156">
        <f>IF(ISBLANK($A41),,ROUNDDOWN(L41*AQ6*1.024,))</f>
        <v>0</v>
      </c>
      <c r="AQ41" s="156">
        <f>IF(ISBLANK($A41),,ROUNDDOWN(N41*AQ6*1.024,))</f>
        <v>0</v>
      </c>
      <c r="AR41" s="156">
        <f>IF(ISBLANK($A41),,ROUNDDOWN(P41*AQ6*1.024,))</f>
        <v>0</v>
      </c>
      <c r="AS41" s="156">
        <f>IF(ISBLANK($A41),,ROUNDDOWN(R41*AQ6*1.024,))</f>
        <v>0</v>
      </c>
      <c r="AT41" s="156">
        <f t="shared" si="2"/>
        <v>0</v>
      </c>
      <c r="AU41" s="156">
        <f>IF(ISBLANK($A41),,ROUNDDOWN(V41*AQ6*1.024,))</f>
        <v>0</v>
      </c>
      <c r="AV41" s="156">
        <f>IF(ISBLANK($A41),,ROUNDDOWN(X41*AQ6*1.024,))</f>
        <v>0</v>
      </c>
    </row>
    <row r="42" spans="1:48">
      <c r="A42" s="156" t="s">
        <v>370</v>
      </c>
      <c r="B42" s="156"/>
      <c r="C42" s="156" t="s">
        <v>333</v>
      </c>
      <c r="D42" s="156" t="s">
        <v>453</v>
      </c>
      <c r="E42" s="156" t="s">
        <v>371</v>
      </c>
      <c r="F42" s="152">
        <v>4</v>
      </c>
      <c r="G42" s="152">
        <v>4</v>
      </c>
      <c r="H42" s="152">
        <v>0</v>
      </c>
      <c r="I42" s="152">
        <v>41</v>
      </c>
      <c r="J42" s="154">
        <f t="shared" si="1"/>
        <v>4</v>
      </c>
      <c r="K42" s="152" t="s">
        <v>343</v>
      </c>
      <c r="L42" s="152"/>
      <c r="M42" s="152"/>
      <c r="N42" s="152"/>
      <c r="O42" s="152"/>
      <c r="P42" s="152"/>
      <c r="Q42" s="152"/>
      <c r="R42" s="152"/>
      <c r="S42" s="152"/>
      <c r="T42" s="152"/>
      <c r="U42" s="152"/>
      <c r="V42" s="152"/>
      <c r="W42" s="152"/>
      <c r="X42" s="152"/>
      <c r="Y42" s="8"/>
      <c r="Z42" s="36"/>
      <c r="AA42" s="8"/>
      <c r="AB42" s="8"/>
      <c r="AC42" s="8"/>
      <c r="AD42" s="8"/>
      <c r="AE42" s="8"/>
      <c r="AF42" s="8"/>
      <c r="AG42" s="8"/>
      <c r="AH42" s="8" t="s">
        <v>620</v>
      </c>
      <c r="AI42" s="8" t="s">
        <v>329</v>
      </c>
      <c r="AJ42" s="8"/>
      <c r="AK42" s="156"/>
      <c r="AL42" s="156"/>
      <c r="AM42" s="156">
        <f>IF(ISBLANK($A42),,G42*1.024)</f>
        <v>4.0960000000000001</v>
      </c>
      <c r="AN42" s="156">
        <f>IF(ISBLANK($A42),,H42*1.024)</f>
        <v>0</v>
      </c>
      <c r="AO42" s="156">
        <f>IF(ISBLANK($A42),,ROUNDDOWN(I42*AQ6*1.024,))</f>
        <v>37</v>
      </c>
      <c r="AP42" s="156">
        <f>IF(ISBLANK($A42),,ROUNDDOWN(L42*AQ6*1.024,))</f>
        <v>0</v>
      </c>
      <c r="AQ42" s="156">
        <f>IF(ISBLANK($A42),,ROUNDDOWN(N42*AQ6*1.024,))</f>
        <v>0</v>
      </c>
      <c r="AR42" s="156">
        <f>IF(ISBLANK($A42),,ROUNDDOWN(P42*AQ6*1.024,))</f>
        <v>0</v>
      </c>
      <c r="AS42" s="156">
        <f>IF(ISBLANK($A42),,ROUNDDOWN(R42*AQ6*1.024,))</f>
        <v>0</v>
      </c>
      <c r="AT42" s="156">
        <f t="shared" si="2"/>
        <v>0</v>
      </c>
      <c r="AU42" s="156">
        <f>IF(ISBLANK($A42),,ROUNDDOWN(V42*AQ6*1.024,))</f>
        <v>0</v>
      </c>
      <c r="AV42" s="156">
        <f>IF(ISBLANK($A42),,ROUNDDOWN(X42*AQ6*1.024,))</f>
        <v>0</v>
      </c>
    </row>
    <row r="43" spans="1:48">
      <c r="A43" s="10"/>
      <c r="B43" s="10"/>
      <c r="C43" s="10"/>
      <c r="D43" s="10"/>
      <c r="E43" s="10"/>
      <c r="F43" s="9">
        <f>SUM(F8:F42)</f>
        <v>222</v>
      </c>
      <c r="G43" s="9">
        <f>SUM(G8:G42)</f>
        <v>569</v>
      </c>
      <c r="H43" s="9">
        <f>SUM(H8:H42)</f>
        <v>359.25</v>
      </c>
      <c r="I43" s="9">
        <f>SUM(I8:I42)</f>
        <v>3001</v>
      </c>
      <c r="J43" s="9"/>
      <c r="K43" s="9"/>
      <c r="L43" s="9">
        <f>SUM(L8:L42)</f>
        <v>130</v>
      </c>
      <c r="M43" s="9"/>
      <c r="N43" s="9">
        <f>SUM(N8:N42)</f>
        <v>2500</v>
      </c>
      <c r="O43" s="9"/>
      <c r="P43" s="9">
        <f>SUM(P8:P42)</f>
        <v>3750</v>
      </c>
      <c r="Q43" s="9"/>
      <c r="R43" s="9">
        <f>SUM(R8:R42)</f>
        <v>530</v>
      </c>
      <c r="S43" s="9"/>
      <c r="T43" s="9">
        <f>SUM(T8:T42)</f>
        <v>300</v>
      </c>
      <c r="U43" s="9"/>
      <c r="V43" s="9">
        <f>SUM(V8:V40)</f>
        <v>0</v>
      </c>
      <c r="W43" s="9"/>
      <c r="X43" s="9">
        <f>SUM(X8:X42)</f>
        <v>11375</v>
      </c>
      <c r="Y43" s="156"/>
      <c r="Z43" s="152">
        <f>SUM(Z8:Z40)</f>
        <v>200</v>
      </c>
      <c r="AA43" s="156"/>
      <c r="AB43" s="156">
        <v>50</v>
      </c>
      <c r="AC43" s="156"/>
      <c r="AD43" s="156"/>
      <c r="AE43" s="156"/>
      <c r="AF43" s="156">
        <f>AF10</f>
        <v>3700</v>
      </c>
      <c r="AG43" s="156"/>
      <c r="AH43" s="156"/>
      <c r="AI43" s="152" t="s">
        <v>621</v>
      </c>
      <c r="AJ43" s="152">
        <v>2</v>
      </c>
      <c r="AK43" s="156"/>
      <c r="AL43" s="156"/>
      <c r="AM43" s="156"/>
      <c r="AN43" s="156"/>
      <c r="AO43" s="156"/>
      <c r="AP43" s="156"/>
      <c r="AQ43" s="156"/>
      <c r="AR43" s="156"/>
      <c r="AS43" s="156"/>
      <c r="AT43" s="156"/>
      <c r="AU43" s="156"/>
      <c r="AV43" s="156"/>
    </row>
    <row r="44" spans="1:48">
      <c r="A44" s="156"/>
      <c r="B44" s="156"/>
      <c r="C44" s="156"/>
      <c r="D44" s="156"/>
      <c r="E44" s="156"/>
      <c r="F44" s="152"/>
      <c r="G44" s="152"/>
      <c r="H44" s="152"/>
      <c r="I44" s="152"/>
      <c r="J44" s="152"/>
      <c r="K44" s="152"/>
      <c r="L44" s="152"/>
      <c r="M44" s="152"/>
      <c r="N44" s="152"/>
      <c r="O44" s="152"/>
      <c r="P44" s="152"/>
      <c r="Q44" s="152"/>
      <c r="R44" s="152"/>
      <c r="S44" s="152"/>
      <c r="T44" s="152"/>
      <c r="U44" s="152"/>
      <c r="V44" s="152"/>
      <c r="W44" s="152"/>
      <c r="X44" s="152"/>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row>
    <row r="46" spans="1:48">
      <c r="A46" s="7" t="s">
        <v>380</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row>
    <row r="47" spans="1:48">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1:48">
      <c r="A48" s="35" t="s">
        <v>381</v>
      </c>
      <c r="B48" s="35"/>
      <c r="C48" s="35" t="s">
        <v>333</v>
      </c>
      <c r="D48" s="156" t="s">
        <v>453</v>
      </c>
      <c r="E48" s="35" t="s">
        <v>10</v>
      </c>
      <c r="F48" s="175">
        <v>12</v>
      </c>
      <c r="G48" s="175">
        <v>48</v>
      </c>
      <c r="H48" s="154">
        <v>0</v>
      </c>
      <c r="I48" s="157">
        <v>71</v>
      </c>
      <c r="J48" s="154">
        <f t="shared" ref="J48:J72" si="3">G48-H48</f>
        <v>48</v>
      </c>
      <c r="K48" s="154"/>
      <c r="L48" s="35"/>
      <c r="M48" s="35"/>
      <c r="N48" s="35"/>
      <c r="O48" s="35"/>
      <c r="P48" s="35"/>
      <c r="Q48" s="35"/>
      <c r="R48" s="35"/>
      <c r="S48" s="35"/>
      <c r="T48" s="35"/>
      <c r="U48" s="35"/>
      <c r="V48" s="35"/>
      <c r="W48" s="35"/>
      <c r="X48" s="35"/>
      <c r="Y48" s="35"/>
      <c r="Z48" s="35"/>
      <c r="AA48" s="35"/>
      <c r="AB48" s="35"/>
      <c r="AC48" s="35"/>
      <c r="AD48" s="35"/>
      <c r="AE48" s="35"/>
      <c r="AF48" s="35"/>
      <c r="AG48" s="35"/>
      <c r="AH48" s="154" t="s">
        <v>328</v>
      </c>
      <c r="AI48" s="154" t="s">
        <v>329</v>
      </c>
      <c r="AJ48" s="154"/>
      <c r="AK48" s="35"/>
      <c r="AL48" s="35"/>
      <c r="AM48" s="35">
        <f t="shared" ref="AM48:AN62" si="4">IF(ISBLANK($A48),,G48*1.024)</f>
        <v>49.152000000000001</v>
      </c>
      <c r="AN48" s="35">
        <f t="shared" si="4"/>
        <v>0</v>
      </c>
      <c r="AO48" s="35">
        <f>IF(ISBLANK($A48),,ROUNDDOWN(I48*AQ6*1.024,))</f>
        <v>65</v>
      </c>
      <c r="AP48" s="35">
        <f>IF(ISBLANK($A48),,ROUNDDOWN(L48*AQ6*1.024,))</f>
        <v>0</v>
      </c>
      <c r="AQ48" s="35">
        <f>IF(ISBLANK($A48),,ROUNDDOWN(N48*AQ6*1.024,))</f>
        <v>0</v>
      </c>
      <c r="AR48" s="35">
        <f>IF(ISBLANK($A48),,ROUNDDOWN(P48*AQ6*1.024,))</f>
        <v>0</v>
      </c>
      <c r="AS48" s="35">
        <f>IF(ISBLANK($A48),,ROUNDDOWN(R48*AQ6*1.024,))</f>
        <v>0</v>
      </c>
      <c r="AT48" s="156">
        <f t="shared" ref="AT48:AT71" si="5">IF(ISBLANK($A48),,ROUNDDOWN(T48*AQ$6*1.024,))</f>
        <v>0</v>
      </c>
      <c r="AU48" s="35">
        <f>IF(ISBLANK($A48),,ROUNDDOWN(V48*AQ6*1.024,))</f>
        <v>0</v>
      </c>
      <c r="AV48" s="35">
        <f>IF(ISBLANK($A48),,ROUNDDOWN(X48*AQ6*1.024,))</f>
        <v>0</v>
      </c>
    </row>
    <row r="49" spans="1:48">
      <c r="A49" s="35" t="s">
        <v>382</v>
      </c>
      <c r="B49" s="35"/>
      <c r="C49" s="35" t="s">
        <v>333</v>
      </c>
      <c r="D49" s="39" t="s">
        <v>362</v>
      </c>
      <c r="E49" s="156" t="s">
        <v>75</v>
      </c>
      <c r="F49" s="154">
        <v>4</v>
      </c>
      <c r="G49" s="154">
        <v>4</v>
      </c>
      <c r="H49" s="154">
        <v>0</v>
      </c>
      <c r="I49" s="154">
        <v>100</v>
      </c>
      <c r="J49" s="154">
        <f t="shared" si="3"/>
        <v>4</v>
      </c>
      <c r="K49" s="154"/>
      <c r="L49" s="35"/>
      <c r="M49" s="35"/>
      <c r="N49" s="35"/>
      <c r="O49" s="35"/>
      <c r="P49" s="35"/>
      <c r="Q49" s="35"/>
      <c r="R49" s="35"/>
      <c r="S49" s="35"/>
      <c r="T49" s="35"/>
      <c r="U49" s="35"/>
      <c r="V49" s="35"/>
      <c r="W49" s="35"/>
      <c r="X49" s="35"/>
      <c r="Y49" s="35"/>
      <c r="Z49" s="35"/>
      <c r="AA49" s="35"/>
      <c r="AB49" s="35"/>
      <c r="AC49" s="35"/>
      <c r="AD49" s="35"/>
      <c r="AE49" s="35"/>
      <c r="AF49" s="35"/>
      <c r="AG49" s="35"/>
      <c r="AH49" s="154" t="s">
        <v>328</v>
      </c>
      <c r="AI49" s="154" t="s">
        <v>329</v>
      </c>
      <c r="AJ49" s="154"/>
      <c r="AK49" s="35"/>
      <c r="AL49" s="35"/>
      <c r="AM49" s="35">
        <f t="shared" si="4"/>
        <v>4.0960000000000001</v>
      </c>
      <c r="AN49" s="35">
        <f t="shared" si="4"/>
        <v>0</v>
      </c>
      <c r="AO49" s="35">
        <f>IF(ISBLANK($A49),,ROUNDDOWN(I49*AQ6*1.024,))</f>
        <v>92</v>
      </c>
      <c r="AP49" s="35">
        <f>IF(ISBLANK($A49),,ROUNDDOWN(L49*AQ6*1.024,))</f>
        <v>0</v>
      </c>
      <c r="AQ49" s="35">
        <f>IF(ISBLANK($A49),,ROUNDDOWN(N49*AQ6*1.024,))</f>
        <v>0</v>
      </c>
      <c r="AR49" s="35">
        <f>IF(ISBLANK($A49),,ROUNDDOWN(P49*AQ6*1.024,))</f>
        <v>0</v>
      </c>
      <c r="AS49" s="35">
        <f>IF(ISBLANK($A49),,ROUNDDOWN(R49*AQ6*1.024,))</f>
        <v>0</v>
      </c>
      <c r="AT49" s="156">
        <f t="shared" si="5"/>
        <v>0</v>
      </c>
      <c r="AU49" s="35">
        <f>IF(ISBLANK($A49),,ROUNDDOWN(V49*AQ6*1.024,))</f>
        <v>0</v>
      </c>
      <c r="AV49" s="35">
        <f>IF(ISBLANK($A49),,ROUNDDOWN(X49*AQ6*1.024,))</f>
        <v>0</v>
      </c>
    </row>
    <row r="50" spans="1:48">
      <c r="A50" s="35" t="s">
        <v>383</v>
      </c>
      <c r="B50" s="35"/>
      <c r="C50" s="35" t="s">
        <v>333</v>
      </c>
      <c r="D50" s="39" t="s">
        <v>362</v>
      </c>
      <c r="E50" s="156" t="s">
        <v>79</v>
      </c>
      <c r="F50" s="154">
        <v>4</v>
      </c>
      <c r="G50" s="154">
        <v>16</v>
      </c>
      <c r="H50" s="154">
        <v>0</v>
      </c>
      <c r="I50" s="152">
        <v>100</v>
      </c>
      <c r="J50" s="154">
        <f t="shared" si="3"/>
        <v>16</v>
      </c>
      <c r="K50" s="154"/>
      <c r="L50" s="35"/>
      <c r="M50" s="35"/>
      <c r="N50" s="35"/>
      <c r="O50" s="35"/>
      <c r="P50" s="35"/>
      <c r="Q50" s="35"/>
      <c r="R50" s="35"/>
      <c r="S50" s="35"/>
      <c r="T50" s="35"/>
      <c r="U50" s="35"/>
      <c r="V50" s="35"/>
      <c r="W50" s="35"/>
      <c r="X50" s="35"/>
      <c r="Y50" s="35"/>
      <c r="Z50" s="35"/>
      <c r="AA50" s="35"/>
      <c r="AB50" s="35"/>
      <c r="AC50" s="35"/>
      <c r="AD50" s="35"/>
      <c r="AE50" s="35"/>
      <c r="AF50" s="35"/>
      <c r="AG50" s="35"/>
      <c r="AH50" s="154" t="s">
        <v>328</v>
      </c>
      <c r="AI50" s="154" t="s">
        <v>329</v>
      </c>
      <c r="AJ50" s="154"/>
      <c r="AK50" s="35"/>
      <c r="AL50" s="35"/>
      <c r="AM50" s="35">
        <f t="shared" si="4"/>
        <v>16.384</v>
      </c>
      <c r="AN50" s="35">
        <f t="shared" si="4"/>
        <v>0</v>
      </c>
      <c r="AO50" s="35">
        <f>IF(ISBLANK($A50),,ROUNDDOWN(I50*AQ6*1.024,))</f>
        <v>92</v>
      </c>
      <c r="AP50" s="35">
        <f>IF(ISBLANK($A50),,ROUNDDOWN(L50*AQ6*1.024,))</f>
        <v>0</v>
      </c>
      <c r="AQ50" s="35">
        <f>IF(ISBLANK($A50),,ROUNDDOWN(N50*AQ6*1.024,))</f>
        <v>0</v>
      </c>
      <c r="AR50" s="35">
        <f>IF(ISBLANK($A50),,ROUNDDOWN(P50*AQ6*1.024,))</f>
        <v>0</v>
      </c>
      <c r="AS50" s="35">
        <f>IF(ISBLANK($A50),,ROUNDDOWN(R50*AQ6*1.024,))</f>
        <v>0</v>
      </c>
      <c r="AT50" s="156">
        <f t="shared" si="5"/>
        <v>0</v>
      </c>
      <c r="AU50" s="35">
        <f>IF(ISBLANK($A50),,ROUNDDOWN(V50*AQ6*1.024,))</f>
        <v>0</v>
      </c>
      <c r="AV50" s="35">
        <f>IF(ISBLANK($A50),,ROUNDDOWN(X50*AQ6*1.024,))</f>
        <v>0</v>
      </c>
    </row>
    <row r="51" spans="1:48">
      <c r="A51" s="35" t="s">
        <v>384</v>
      </c>
      <c r="B51" s="35"/>
      <c r="C51" s="35" t="s">
        <v>333</v>
      </c>
      <c r="D51" s="39" t="s">
        <v>362</v>
      </c>
      <c r="E51" s="156" t="s">
        <v>79</v>
      </c>
      <c r="F51" s="154">
        <v>4</v>
      </c>
      <c r="G51" s="154">
        <v>16</v>
      </c>
      <c r="H51" s="154">
        <v>0</v>
      </c>
      <c r="I51" s="152">
        <v>100</v>
      </c>
      <c r="J51" s="154">
        <f t="shared" si="3"/>
        <v>16</v>
      </c>
      <c r="K51" s="154"/>
      <c r="L51" s="35"/>
      <c r="M51" s="35"/>
      <c r="N51" s="35"/>
      <c r="O51" s="35"/>
      <c r="P51" s="35"/>
      <c r="Q51" s="35"/>
      <c r="R51" s="35"/>
      <c r="S51" s="35"/>
      <c r="T51" s="35"/>
      <c r="U51" s="35"/>
      <c r="V51" s="35"/>
      <c r="W51" s="35"/>
      <c r="X51" s="35"/>
      <c r="Y51" s="35"/>
      <c r="Z51" s="35"/>
      <c r="AA51" s="35"/>
      <c r="AB51" s="35"/>
      <c r="AC51" s="35"/>
      <c r="AD51" s="35"/>
      <c r="AE51" s="35"/>
      <c r="AF51" s="35"/>
      <c r="AG51" s="35"/>
      <c r="AH51" s="154" t="s">
        <v>328</v>
      </c>
      <c r="AI51" s="154" t="s">
        <v>329</v>
      </c>
      <c r="AJ51" s="154"/>
      <c r="AK51" s="35"/>
      <c r="AL51" s="35"/>
      <c r="AM51" s="35">
        <f t="shared" si="4"/>
        <v>16.384</v>
      </c>
      <c r="AN51" s="35">
        <f t="shared" si="4"/>
        <v>0</v>
      </c>
      <c r="AO51" s="35">
        <f>IF(ISBLANK($A51),,ROUNDDOWN(I51*AQ6*1.024,))</f>
        <v>92</v>
      </c>
      <c r="AP51" s="35">
        <f>IF(ISBLANK($A51),,ROUNDDOWN(L51*AQ6*1.024,))</f>
        <v>0</v>
      </c>
      <c r="AQ51" s="35">
        <f>IF(ISBLANK($A51),,ROUNDDOWN(N51*AQ6*1.024,))</f>
        <v>0</v>
      </c>
      <c r="AR51" s="35">
        <f>IF(ISBLANK($A51),,ROUNDDOWN(P51*AQ6*1.024,))</f>
        <v>0</v>
      </c>
      <c r="AS51" s="35">
        <f>IF(ISBLANK($A51),,ROUNDDOWN(R51*AQ6*1.024,))</f>
        <v>0</v>
      </c>
      <c r="AT51" s="156">
        <f t="shared" si="5"/>
        <v>0</v>
      </c>
      <c r="AU51" s="35">
        <f>IF(ISBLANK($A51),,ROUNDDOWN(V51*AQ6*1.024,))</f>
        <v>0</v>
      </c>
      <c r="AV51" s="35">
        <f>IF(ISBLANK($A51),,ROUNDDOWN(X51*AQ6*1.024,))</f>
        <v>0</v>
      </c>
    </row>
    <row r="52" spans="1:48">
      <c r="A52" s="35" t="s">
        <v>494</v>
      </c>
      <c r="B52" s="35"/>
      <c r="C52" s="35" t="s">
        <v>333</v>
      </c>
      <c r="D52" s="39" t="s">
        <v>362</v>
      </c>
      <c r="E52" s="156" t="s">
        <v>79</v>
      </c>
      <c r="F52" s="154">
        <v>4</v>
      </c>
      <c r="G52" s="154">
        <v>16</v>
      </c>
      <c r="H52" s="154">
        <v>0</v>
      </c>
      <c r="I52" s="152">
        <v>100</v>
      </c>
      <c r="J52" s="154">
        <f t="shared" si="3"/>
        <v>16</v>
      </c>
      <c r="K52" s="154"/>
      <c r="L52" s="35"/>
      <c r="M52" s="35"/>
      <c r="N52" s="35"/>
      <c r="O52" s="35"/>
      <c r="P52" s="35"/>
      <c r="Q52" s="35"/>
      <c r="R52" s="35"/>
      <c r="S52" s="35"/>
      <c r="T52" s="35"/>
      <c r="U52" s="35"/>
      <c r="V52" s="35"/>
      <c r="W52" s="35"/>
      <c r="X52" s="35"/>
      <c r="Y52" s="35"/>
      <c r="Z52" s="35"/>
      <c r="AA52" s="35"/>
      <c r="AB52" s="35"/>
      <c r="AC52" s="35"/>
      <c r="AD52" s="35"/>
      <c r="AE52" s="35"/>
      <c r="AF52" s="35"/>
      <c r="AG52" s="35"/>
      <c r="AH52" s="154" t="s">
        <v>328</v>
      </c>
      <c r="AI52" s="154" t="s">
        <v>329</v>
      </c>
      <c r="AJ52" s="154"/>
      <c r="AK52" s="35"/>
      <c r="AL52" s="35"/>
      <c r="AM52" s="35">
        <f t="shared" si="4"/>
        <v>16.384</v>
      </c>
      <c r="AN52" s="35">
        <f t="shared" si="4"/>
        <v>0</v>
      </c>
      <c r="AO52" s="35">
        <f>IF(ISBLANK($A52),,ROUNDDOWN(I52*AQ6*1.024,))</f>
        <v>92</v>
      </c>
      <c r="AP52" s="35">
        <f>IF(ISBLANK($A52),,ROUNDDOWN(L52*AQ6*1.024,))</f>
        <v>0</v>
      </c>
      <c r="AQ52" s="35">
        <f>IF(ISBLANK($A52),,ROUNDDOWN(N52*AQ6*1.024,))</f>
        <v>0</v>
      </c>
      <c r="AR52" s="35">
        <f>IF(ISBLANK($A52),,ROUNDDOWN(P52*AQ6*1.024,))</f>
        <v>0</v>
      </c>
      <c r="AS52" s="35">
        <f>IF(ISBLANK($A52),,ROUNDDOWN(R52*AQ6*1.024,))</f>
        <v>0</v>
      </c>
      <c r="AT52" s="156">
        <f t="shared" si="5"/>
        <v>0</v>
      </c>
      <c r="AU52" s="35">
        <f>IF(ISBLANK($A52),,ROUNDDOWN(V52*AQ6*1.024,))</f>
        <v>0</v>
      </c>
      <c r="AV52" s="35">
        <f>IF(ISBLANK($A52),,ROUNDDOWN(X52*AQ6*1.024,))</f>
        <v>0</v>
      </c>
    </row>
    <row r="53" spans="1:48">
      <c r="A53" s="35" t="s">
        <v>495</v>
      </c>
      <c r="B53" s="35"/>
      <c r="C53" s="35" t="s">
        <v>333</v>
      </c>
      <c r="D53" s="39" t="s">
        <v>362</v>
      </c>
      <c r="E53" s="156" t="s">
        <v>79</v>
      </c>
      <c r="F53" s="154">
        <v>4</v>
      </c>
      <c r="G53" s="154">
        <v>16</v>
      </c>
      <c r="H53" s="154">
        <v>0</v>
      </c>
      <c r="I53" s="152">
        <v>100</v>
      </c>
      <c r="J53" s="154">
        <f t="shared" si="3"/>
        <v>16</v>
      </c>
      <c r="K53" s="154"/>
      <c r="L53" s="35"/>
      <c r="M53" s="35"/>
      <c r="N53" s="35"/>
      <c r="O53" s="35"/>
      <c r="P53" s="35"/>
      <c r="Q53" s="35"/>
      <c r="R53" s="35"/>
      <c r="S53" s="35"/>
      <c r="T53" s="35"/>
      <c r="U53" s="35"/>
      <c r="V53" s="35"/>
      <c r="W53" s="35"/>
      <c r="X53" s="35"/>
      <c r="Y53" s="35"/>
      <c r="Z53" s="35"/>
      <c r="AA53" s="35"/>
      <c r="AB53" s="35"/>
      <c r="AC53" s="35"/>
      <c r="AD53" s="35"/>
      <c r="AE53" s="35"/>
      <c r="AF53" s="35"/>
      <c r="AG53" s="35"/>
      <c r="AH53" s="154" t="s">
        <v>328</v>
      </c>
      <c r="AI53" s="154" t="s">
        <v>329</v>
      </c>
      <c r="AJ53" s="154"/>
      <c r="AK53" s="35"/>
      <c r="AL53" s="35"/>
      <c r="AM53" s="35">
        <f t="shared" si="4"/>
        <v>16.384</v>
      </c>
      <c r="AN53" s="35">
        <f t="shared" si="4"/>
        <v>0</v>
      </c>
      <c r="AO53" s="35">
        <f>IF(ISBLANK($A53),,ROUNDDOWN(I53*AQ6*1.024,))</f>
        <v>92</v>
      </c>
      <c r="AP53" s="35">
        <f>IF(ISBLANK($A53),,ROUNDDOWN(L53*AQ6*1.024,))</f>
        <v>0</v>
      </c>
      <c r="AQ53" s="35">
        <f>IF(ISBLANK($A53),,ROUNDDOWN(N53*AQ6*1.024,))</f>
        <v>0</v>
      </c>
      <c r="AR53" s="35">
        <f>IF(ISBLANK($A53),,ROUNDDOWN(P53*AQ6*1.024,))</f>
        <v>0</v>
      </c>
      <c r="AS53" s="35">
        <f>IF(ISBLANK($A53),,ROUNDDOWN(R53*AQ6*1.024,))</f>
        <v>0</v>
      </c>
      <c r="AT53" s="156">
        <f t="shared" si="5"/>
        <v>0</v>
      </c>
      <c r="AU53" s="35">
        <f>IF(ISBLANK($A53),,ROUNDDOWN(V53*AQ6*1.024,))</f>
        <v>0</v>
      </c>
      <c r="AV53" s="35">
        <f>IF(ISBLANK($A53),,ROUNDDOWN(X53*AQ6*1.024,))</f>
        <v>0</v>
      </c>
    </row>
    <row r="54" spans="1:48">
      <c r="A54" s="35" t="s">
        <v>513</v>
      </c>
      <c r="B54" s="35"/>
      <c r="C54" s="35" t="s">
        <v>333</v>
      </c>
      <c r="D54" s="39" t="s">
        <v>362</v>
      </c>
      <c r="E54" s="156" t="s">
        <v>79</v>
      </c>
      <c r="F54" s="154">
        <v>4</v>
      </c>
      <c r="G54" s="154">
        <v>16</v>
      </c>
      <c r="H54" s="154">
        <v>0</v>
      </c>
      <c r="I54" s="152">
        <v>100</v>
      </c>
      <c r="J54" s="154">
        <f t="shared" si="3"/>
        <v>16</v>
      </c>
      <c r="K54" s="154"/>
      <c r="L54" s="35"/>
      <c r="M54" s="35"/>
      <c r="N54" s="35"/>
      <c r="O54" s="35"/>
      <c r="P54" s="35"/>
      <c r="Q54" s="35"/>
      <c r="R54" s="35"/>
      <c r="S54" s="35"/>
      <c r="T54" s="35"/>
      <c r="U54" s="35"/>
      <c r="V54" s="35"/>
      <c r="W54" s="35"/>
      <c r="X54" s="35"/>
      <c r="Y54" s="35"/>
      <c r="Z54" s="35"/>
      <c r="AA54" s="35"/>
      <c r="AB54" s="35"/>
      <c r="AC54" s="35"/>
      <c r="AD54" s="35"/>
      <c r="AE54" s="35"/>
      <c r="AF54" s="35"/>
      <c r="AG54" s="35"/>
      <c r="AH54" s="154" t="s">
        <v>328</v>
      </c>
      <c r="AI54" s="154" t="s">
        <v>329</v>
      </c>
      <c r="AJ54" s="154"/>
      <c r="AK54" s="35"/>
      <c r="AL54" s="35"/>
      <c r="AM54" s="35">
        <f t="shared" si="4"/>
        <v>16.384</v>
      </c>
      <c r="AN54" s="35">
        <f t="shared" si="4"/>
        <v>0</v>
      </c>
      <c r="AO54" s="35">
        <f>IF(ISBLANK($A54),,ROUNDDOWN(I54*AQ6*1.024,))</f>
        <v>92</v>
      </c>
      <c r="AP54" s="35">
        <f>IF(ISBLANK($A54),,ROUNDDOWN(L54*AQ6*1.024,))</f>
        <v>0</v>
      </c>
      <c r="AQ54" s="35">
        <f>IF(ISBLANK($A54),,ROUNDDOWN(N54*AQ6*1.024,))</f>
        <v>0</v>
      </c>
      <c r="AR54" s="35">
        <f>IF(ISBLANK($A54),,ROUNDDOWN(P54*AQ6*1.024,))</f>
        <v>0</v>
      </c>
      <c r="AS54" s="35">
        <f>IF(ISBLANK($A54),,ROUNDDOWN(R54*AQ6*1.024,))</f>
        <v>0</v>
      </c>
      <c r="AT54" s="156">
        <f t="shared" si="5"/>
        <v>0</v>
      </c>
      <c r="AU54" s="35">
        <f>IF(ISBLANK($A54),,ROUNDDOWN(V54*AQ6*1.024,))</f>
        <v>0</v>
      </c>
      <c r="AV54" s="35">
        <f>IF(ISBLANK($A54),,ROUNDDOWN(X54*AQ6*1.024,))</f>
        <v>0</v>
      </c>
    </row>
    <row r="55" spans="1:48">
      <c r="A55" s="35" t="s">
        <v>514</v>
      </c>
      <c r="B55" s="35"/>
      <c r="C55" s="35" t="s">
        <v>333</v>
      </c>
      <c r="D55" s="39" t="s">
        <v>362</v>
      </c>
      <c r="E55" s="156" t="s">
        <v>79</v>
      </c>
      <c r="F55" s="154">
        <v>4</v>
      </c>
      <c r="G55" s="154">
        <v>16</v>
      </c>
      <c r="H55" s="154">
        <v>0</v>
      </c>
      <c r="I55" s="152">
        <v>100</v>
      </c>
      <c r="J55" s="154">
        <f t="shared" si="3"/>
        <v>16</v>
      </c>
      <c r="K55" s="154"/>
      <c r="L55" s="35"/>
      <c r="M55" s="35"/>
      <c r="N55" s="35"/>
      <c r="O55" s="35"/>
      <c r="P55" s="35"/>
      <c r="Q55" s="35"/>
      <c r="R55" s="35"/>
      <c r="S55" s="35"/>
      <c r="T55" s="35"/>
      <c r="U55" s="35"/>
      <c r="V55" s="35"/>
      <c r="W55" s="35"/>
      <c r="X55" s="35"/>
      <c r="Y55" s="35"/>
      <c r="Z55" s="35"/>
      <c r="AA55" s="35"/>
      <c r="AB55" s="35"/>
      <c r="AC55" s="35"/>
      <c r="AD55" s="35"/>
      <c r="AE55" s="35"/>
      <c r="AF55" s="35"/>
      <c r="AG55" s="35"/>
      <c r="AH55" s="154" t="s">
        <v>328</v>
      </c>
      <c r="AI55" s="154" t="s">
        <v>329</v>
      </c>
      <c r="AJ55" s="154"/>
      <c r="AK55" s="35"/>
      <c r="AL55" s="35"/>
      <c r="AM55" s="35">
        <f t="shared" si="4"/>
        <v>16.384</v>
      </c>
      <c r="AN55" s="35">
        <f t="shared" si="4"/>
        <v>0</v>
      </c>
      <c r="AO55" s="35">
        <f>IF(ISBLANK($A55),,ROUNDDOWN(I55*AQ6*1.024,))</f>
        <v>92</v>
      </c>
      <c r="AP55" s="35">
        <f>IF(ISBLANK($A55),,ROUNDDOWN(L55*AQ6*1.024,))</f>
        <v>0</v>
      </c>
      <c r="AQ55" s="35">
        <f>IF(ISBLANK($A55),,ROUNDDOWN(N55*AQ6*1.024,))</f>
        <v>0</v>
      </c>
      <c r="AR55" s="35">
        <f>IF(ISBLANK($A55),,ROUNDDOWN(P55*AQ6*1.024,))</f>
        <v>0</v>
      </c>
      <c r="AS55" s="35">
        <f>IF(ISBLANK($A55),,ROUNDDOWN(R55*AQ6*1.024,))</f>
        <v>0</v>
      </c>
      <c r="AT55" s="156">
        <f t="shared" si="5"/>
        <v>0</v>
      </c>
      <c r="AU55" s="35">
        <f>IF(ISBLANK($A55),,ROUNDDOWN(V55*AQ6*1.024,))</f>
        <v>0</v>
      </c>
      <c r="AV55" s="35">
        <f>IF(ISBLANK($A55),,ROUNDDOWN(X55*AQ6*1.024,))</f>
        <v>0</v>
      </c>
    </row>
    <row r="56" spans="1:48">
      <c r="A56" s="35" t="s">
        <v>515</v>
      </c>
      <c r="B56" s="35"/>
      <c r="C56" s="35" t="s">
        <v>333</v>
      </c>
      <c r="D56" s="39" t="s">
        <v>362</v>
      </c>
      <c r="E56" s="156" t="s">
        <v>79</v>
      </c>
      <c r="F56" s="154">
        <v>4</v>
      </c>
      <c r="G56" s="154">
        <v>16</v>
      </c>
      <c r="H56" s="154">
        <v>0</v>
      </c>
      <c r="I56" s="152">
        <v>100</v>
      </c>
      <c r="J56" s="154">
        <f t="shared" si="3"/>
        <v>16</v>
      </c>
      <c r="K56" s="154"/>
      <c r="L56" s="35"/>
      <c r="M56" s="35"/>
      <c r="N56" s="35"/>
      <c r="O56" s="35"/>
      <c r="P56" s="35"/>
      <c r="Q56" s="35"/>
      <c r="R56" s="35"/>
      <c r="S56" s="35"/>
      <c r="T56" s="35"/>
      <c r="U56" s="35"/>
      <c r="V56" s="35"/>
      <c r="W56" s="35"/>
      <c r="X56" s="35"/>
      <c r="Y56" s="35"/>
      <c r="Z56" s="35"/>
      <c r="AA56" s="35"/>
      <c r="AB56" s="35"/>
      <c r="AC56" s="35"/>
      <c r="AD56" s="35"/>
      <c r="AE56" s="35"/>
      <c r="AF56" s="35"/>
      <c r="AG56" s="35"/>
      <c r="AH56" s="154" t="s">
        <v>328</v>
      </c>
      <c r="AI56" s="154" t="s">
        <v>329</v>
      </c>
      <c r="AJ56" s="154"/>
      <c r="AK56" s="35"/>
      <c r="AL56" s="35"/>
      <c r="AM56" s="35">
        <f t="shared" si="4"/>
        <v>16.384</v>
      </c>
      <c r="AN56" s="35">
        <f t="shared" si="4"/>
        <v>0</v>
      </c>
      <c r="AO56" s="35">
        <f>IF(ISBLANK($A56),,ROUNDDOWN(I56*AQ6*1.024,))</f>
        <v>92</v>
      </c>
      <c r="AP56" s="35">
        <f>IF(ISBLANK($A56),,ROUNDDOWN(L56*AQ6*1.024,))</f>
        <v>0</v>
      </c>
      <c r="AQ56" s="35">
        <f>IF(ISBLANK($A56),,ROUNDDOWN(N56*AQ6*1.024,))</f>
        <v>0</v>
      </c>
      <c r="AR56" s="35">
        <f>IF(ISBLANK($A56),,ROUNDDOWN(P56*AQ6*1.024,))</f>
        <v>0</v>
      </c>
      <c r="AS56" s="35">
        <f>IF(ISBLANK($A56),,ROUNDDOWN(R56*AQ6*1.024,))</f>
        <v>0</v>
      </c>
      <c r="AT56" s="156">
        <f t="shared" si="5"/>
        <v>0</v>
      </c>
      <c r="AU56" s="35">
        <f>IF(ISBLANK($A56),,ROUNDDOWN(V56*AQ6*1.024,))</f>
        <v>0</v>
      </c>
      <c r="AV56" s="35">
        <f>IF(ISBLANK($A56),,ROUNDDOWN(X56*AQ6*1.024,))</f>
        <v>0</v>
      </c>
    </row>
    <row r="57" spans="1:48">
      <c r="A57" s="35" t="s">
        <v>385</v>
      </c>
      <c r="B57" s="35"/>
      <c r="C57" s="35" t="s">
        <v>333</v>
      </c>
      <c r="D57" s="39" t="s">
        <v>362</v>
      </c>
      <c r="E57" s="156" t="s">
        <v>77</v>
      </c>
      <c r="F57" s="154">
        <v>4</v>
      </c>
      <c r="G57" s="154">
        <v>14</v>
      </c>
      <c r="H57" s="154">
        <v>0</v>
      </c>
      <c r="I57" s="154">
        <v>100</v>
      </c>
      <c r="J57" s="154">
        <f t="shared" si="3"/>
        <v>14</v>
      </c>
      <c r="K57" s="154"/>
      <c r="L57" s="35"/>
      <c r="M57" s="35"/>
      <c r="N57" s="35"/>
      <c r="O57" s="35"/>
      <c r="P57" s="35"/>
      <c r="Q57" s="35"/>
      <c r="R57" s="35"/>
      <c r="S57" s="35"/>
      <c r="T57" s="35"/>
      <c r="U57" s="35"/>
      <c r="V57" s="35"/>
      <c r="W57" s="35"/>
      <c r="X57" s="35"/>
      <c r="Y57" s="35"/>
      <c r="Z57" s="35"/>
      <c r="AA57" s="35"/>
      <c r="AB57" s="35"/>
      <c r="AC57" s="35"/>
      <c r="AD57" s="35"/>
      <c r="AE57" s="35"/>
      <c r="AF57" s="35"/>
      <c r="AG57" s="35"/>
      <c r="AH57" s="154" t="s">
        <v>328</v>
      </c>
      <c r="AI57" s="154" t="s">
        <v>329</v>
      </c>
      <c r="AJ57" s="154"/>
      <c r="AK57" s="35"/>
      <c r="AL57" s="35"/>
      <c r="AM57" s="35">
        <f t="shared" si="4"/>
        <v>14.336</v>
      </c>
      <c r="AN57" s="35">
        <f t="shared" si="4"/>
        <v>0</v>
      </c>
      <c r="AO57" s="35">
        <f>IF(ISBLANK($A57),,ROUNDDOWN(I57*AQ6*1.024,))</f>
        <v>92</v>
      </c>
      <c r="AP57" s="35">
        <f>IF(ISBLANK($A57),,ROUNDDOWN(L57*AQ6*1.024,))</f>
        <v>0</v>
      </c>
      <c r="AQ57" s="35">
        <f>IF(ISBLANK($A57),,ROUNDDOWN(N57*AQ6*1.024,))</f>
        <v>0</v>
      </c>
      <c r="AR57" s="35">
        <f>IF(ISBLANK($A57),,ROUNDDOWN(P57*AQ6*1.024,))</f>
        <v>0</v>
      </c>
      <c r="AS57" s="35">
        <f>IF(ISBLANK($A57),,ROUNDDOWN(R57*AQ6*1.024,))</f>
        <v>0</v>
      </c>
      <c r="AT57" s="156">
        <f t="shared" si="5"/>
        <v>0</v>
      </c>
      <c r="AU57" s="35">
        <f>IF(ISBLANK($A57),,ROUNDDOWN(V57*AQ6*1.024,))</f>
        <v>0</v>
      </c>
      <c r="AV57" s="35">
        <f>IF(ISBLANK($A57),,ROUNDDOWN(X57*AQ6*1.024,))</f>
        <v>0</v>
      </c>
    </row>
    <row r="58" spans="1:48">
      <c r="A58" s="35" t="s">
        <v>516</v>
      </c>
      <c r="B58" s="35"/>
      <c r="C58" s="35" t="s">
        <v>333</v>
      </c>
      <c r="D58" s="39" t="s">
        <v>362</v>
      </c>
      <c r="E58" s="156" t="s">
        <v>79</v>
      </c>
      <c r="F58" s="154">
        <v>4</v>
      </c>
      <c r="G58" s="154">
        <v>16</v>
      </c>
      <c r="H58" s="154">
        <v>0</v>
      </c>
      <c r="I58" s="152">
        <v>100</v>
      </c>
      <c r="J58" s="154">
        <f t="shared" si="3"/>
        <v>16</v>
      </c>
      <c r="K58" s="154"/>
      <c r="L58" s="35"/>
      <c r="M58" s="35"/>
      <c r="N58" s="35"/>
      <c r="O58" s="35"/>
      <c r="P58" s="35"/>
      <c r="Q58" s="35"/>
      <c r="R58" s="35"/>
      <c r="S58" s="35"/>
      <c r="T58" s="35"/>
      <c r="U58" s="35"/>
      <c r="V58" s="35"/>
      <c r="W58" s="35"/>
      <c r="X58" s="35"/>
      <c r="Y58" s="35"/>
      <c r="Z58" s="35"/>
      <c r="AA58" s="35"/>
      <c r="AB58" s="35"/>
      <c r="AC58" s="35"/>
      <c r="AD58" s="35"/>
      <c r="AE58" s="35"/>
      <c r="AF58" s="35"/>
      <c r="AG58" s="35"/>
      <c r="AH58" s="154" t="s">
        <v>328</v>
      </c>
      <c r="AI58" s="154" t="s">
        <v>329</v>
      </c>
      <c r="AJ58" s="154"/>
      <c r="AK58" s="35"/>
      <c r="AL58" s="35"/>
      <c r="AM58" s="35">
        <f t="shared" si="4"/>
        <v>16.384</v>
      </c>
      <c r="AN58" s="35">
        <f t="shared" si="4"/>
        <v>0</v>
      </c>
      <c r="AO58" s="35"/>
      <c r="AP58" s="35"/>
      <c r="AQ58" s="35"/>
      <c r="AR58" s="35"/>
      <c r="AS58" s="35"/>
      <c r="AT58" s="156">
        <f t="shared" si="5"/>
        <v>0</v>
      </c>
      <c r="AU58" s="35"/>
      <c r="AV58" s="35"/>
    </row>
    <row r="59" spans="1:48">
      <c r="A59" s="35" t="s">
        <v>386</v>
      </c>
      <c r="B59" s="35"/>
      <c r="C59" s="35" t="s">
        <v>333</v>
      </c>
      <c r="D59" s="156" t="s">
        <v>453</v>
      </c>
      <c r="E59" s="35" t="s">
        <v>110</v>
      </c>
      <c r="F59" s="154">
        <v>6</v>
      </c>
      <c r="G59" s="154">
        <v>20</v>
      </c>
      <c r="H59" s="154">
        <v>0</v>
      </c>
      <c r="I59" s="154">
        <v>201</v>
      </c>
      <c r="J59" s="154">
        <f t="shared" si="3"/>
        <v>20</v>
      </c>
      <c r="K59" s="154"/>
      <c r="L59" s="35"/>
      <c r="M59" s="35"/>
      <c r="N59" s="35"/>
      <c r="O59" s="35"/>
      <c r="P59" s="35"/>
      <c r="Q59" s="35"/>
      <c r="R59" s="35"/>
      <c r="S59" s="35"/>
      <c r="T59" s="35"/>
      <c r="U59" s="35"/>
      <c r="V59" s="35"/>
      <c r="W59" s="35"/>
      <c r="X59" s="35"/>
      <c r="Y59" s="35"/>
      <c r="Z59" s="35"/>
      <c r="AA59" s="35"/>
      <c r="AB59" s="35"/>
      <c r="AC59" s="35"/>
      <c r="AD59" s="35"/>
      <c r="AE59" s="35"/>
      <c r="AF59" s="35"/>
      <c r="AG59" s="35"/>
      <c r="AH59" s="154" t="s">
        <v>328</v>
      </c>
      <c r="AI59" s="154" t="s">
        <v>329</v>
      </c>
      <c r="AJ59" s="154"/>
      <c r="AK59" s="35"/>
      <c r="AL59" s="35"/>
      <c r="AM59" s="35">
        <f t="shared" si="4"/>
        <v>20.48</v>
      </c>
      <c r="AN59" s="35">
        <f t="shared" si="4"/>
        <v>0</v>
      </c>
      <c r="AO59" s="35">
        <f>IF(ISBLANK($A59),,ROUNDDOWN(I59*AQ6*1.024,))</f>
        <v>185</v>
      </c>
      <c r="AP59" s="35">
        <f>IF(ISBLANK($A59),,ROUNDDOWN(L59*AQ6*1.024,))</f>
        <v>0</v>
      </c>
      <c r="AQ59" s="35">
        <f>IF(ISBLANK($A59),,ROUNDDOWN(N59*AQ6*1.024,))</f>
        <v>0</v>
      </c>
      <c r="AR59" s="35">
        <f>IF(ISBLANK($A59),,ROUNDDOWN(P59*AQ6*1.024,))</f>
        <v>0</v>
      </c>
      <c r="AS59" s="35">
        <f>IF(ISBLANK($A59),,ROUNDDOWN(R59*AQ6*1.024,))</f>
        <v>0</v>
      </c>
      <c r="AT59" s="156">
        <f t="shared" si="5"/>
        <v>0</v>
      </c>
      <c r="AU59" s="35">
        <f>IF(ISBLANK($A59),,ROUNDDOWN(V59*AQ6*1.024,))</f>
        <v>0</v>
      </c>
      <c r="AV59" s="35">
        <f>IF(ISBLANK($A59),,ROUNDDOWN(X59*AQ6*1.024,))</f>
        <v>0</v>
      </c>
    </row>
    <row r="60" spans="1:48">
      <c r="A60" s="35" t="s">
        <v>387</v>
      </c>
      <c r="B60" s="35"/>
      <c r="C60" s="35" t="s">
        <v>333</v>
      </c>
      <c r="D60" s="156" t="s">
        <v>453</v>
      </c>
      <c r="E60" s="35" t="s">
        <v>110</v>
      </c>
      <c r="F60" s="154">
        <v>6</v>
      </c>
      <c r="G60" s="154">
        <v>20</v>
      </c>
      <c r="H60" s="154">
        <v>0</v>
      </c>
      <c r="I60" s="177">
        <v>201</v>
      </c>
      <c r="J60" s="154">
        <f t="shared" si="3"/>
        <v>20</v>
      </c>
      <c r="K60" s="154"/>
      <c r="L60" s="35"/>
      <c r="M60" s="35"/>
      <c r="N60" s="35"/>
      <c r="O60" s="35"/>
      <c r="P60" s="35"/>
      <c r="Q60" s="35"/>
      <c r="R60" s="35"/>
      <c r="S60" s="35"/>
      <c r="T60" s="35"/>
      <c r="U60" s="35"/>
      <c r="V60" s="35"/>
      <c r="W60" s="35"/>
      <c r="X60" s="35"/>
      <c r="Y60" s="35"/>
      <c r="Z60" s="35"/>
      <c r="AA60" s="35"/>
      <c r="AB60" s="35"/>
      <c r="AC60" s="35"/>
      <c r="AD60" s="35"/>
      <c r="AE60" s="35"/>
      <c r="AF60" s="35"/>
      <c r="AG60" s="35"/>
      <c r="AH60" s="154" t="s">
        <v>328</v>
      </c>
      <c r="AI60" s="154" t="s">
        <v>329</v>
      </c>
      <c r="AJ60" s="154"/>
      <c r="AK60" s="35"/>
      <c r="AL60" s="35"/>
      <c r="AM60" s="35">
        <f t="shared" si="4"/>
        <v>20.48</v>
      </c>
      <c r="AN60" s="35">
        <f t="shared" si="4"/>
        <v>0</v>
      </c>
      <c r="AO60" s="35">
        <f>IF(ISBLANK($A60),,ROUNDDOWN(I60*AQ6*1.024,))</f>
        <v>185</v>
      </c>
      <c r="AP60" s="35">
        <f>IF(ISBLANK($A60),,ROUNDDOWN(L60*AQ6*1.024,))</f>
        <v>0</v>
      </c>
      <c r="AQ60" s="35">
        <f>IF(ISBLANK($A60),,ROUNDDOWN(N60*AQ6*1.024,))</f>
        <v>0</v>
      </c>
      <c r="AR60" s="35">
        <f>IF(ISBLANK($A60),,ROUNDDOWN(P60*AQ6*1.024,))</f>
        <v>0</v>
      </c>
      <c r="AS60" s="35">
        <f>IF(ISBLANK($A60),,ROUNDDOWN(R60*AQ6*1.024,))</f>
        <v>0</v>
      </c>
      <c r="AT60" s="156">
        <f t="shared" si="5"/>
        <v>0</v>
      </c>
      <c r="AU60" s="35">
        <f>IF(ISBLANK($A60),,ROUNDDOWN(V60*AQ6*1.024,))</f>
        <v>0</v>
      </c>
      <c r="AV60" s="35">
        <f>IF(ISBLANK($A60),,ROUNDDOWN(X60*AQ6*1.024,))</f>
        <v>0</v>
      </c>
    </row>
    <row r="61" spans="1:48">
      <c r="A61" s="35" t="s">
        <v>496</v>
      </c>
      <c r="B61" s="35"/>
      <c r="C61" s="35" t="s">
        <v>333</v>
      </c>
      <c r="D61" s="156" t="s">
        <v>453</v>
      </c>
      <c r="E61" s="35" t="s">
        <v>110</v>
      </c>
      <c r="F61" s="154">
        <v>6</v>
      </c>
      <c r="G61" s="154">
        <v>20</v>
      </c>
      <c r="H61" s="154">
        <v>0</v>
      </c>
      <c r="I61" s="177">
        <v>201</v>
      </c>
      <c r="J61" s="154">
        <f t="shared" si="3"/>
        <v>20</v>
      </c>
      <c r="K61" s="154"/>
      <c r="L61" s="35"/>
      <c r="M61" s="35"/>
      <c r="N61" s="35"/>
      <c r="O61" s="35"/>
      <c r="P61" s="35"/>
      <c r="Q61" s="35"/>
      <c r="R61" s="35"/>
      <c r="S61" s="35"/>
      <c r="T61" s="35"/>
      <c r="U61" s="35"/>
      <c r="V61" s="35"/>
      <c r="W61" s="35"/>
      <c r="X61" s="35"/>
      <c r="Y61" s="35"/>
      <c r="Z61" s="35"/>
      <c r="AA61" s="35"/>
      <c r="AB61" s="35"/>
      <c r="AC61" s="35"/>
      <c r="AD61" s="35"/>
      <c r="AE61" s="35"/>
      <c r="AF61" s="35"/>
      <c r="AG61" s="35"/>
      <c r="AH61" s="154" t="s">
        <v>328</v>
      </c>
      <c r="AI61" s="154" t="s">
        <v>329</v>
      </c>
      <c r="AJ61" s="154"/>
      <c r="AK61" s="35"/>
      <c r="AL61" s="35"/>
      <c r="AM61" s="35">
        <f t="shared" si="4"/>
        <v>20.48</v>
      </c>
      <c r="AN61" s="35">
        <f t="shared" si="4"/>
        <v>0</v>
      </c>
      <c r="AO61" s="35">
        <f>IF(ISBLANK($A61),,ROUNDDOWN(I61*AQ6*1.024,))</f>
        <v>185</v>
      </c>
      <c r="AP61" s="35">
        <f>IF(ISBLANK($A61),,ROUNDDOWN(L61*AQ6*1.024,))</f>
        <v>0</v>
      </c>
      <c r="AQ61" s="35">
        <f>IF(ISBLANK($A61),,ROUNDDOWN(N61*AQ6*1.024,))</f>
        <v>0</v>
      </c>
      <c r="AR61" s="35">
        <f>IF(ISBLANK($A61),,ROUNDDOWN(P61*AQ6*1.024,))</f>
        <v>0</v>
      </c>
      <c r="AS61" s="35">
        <f>IF(ISBLANK($A61),,ROUNDDOWN(R61*AQ6*1.024,))</f>
        <v>0</v>
      </c>
      <c r="AT61" s="156">
        <f t="shared" si="5"/>
        <v>0</v>
      </c>
      <c r="AU61" s="35">
        <f>IF(ISBLANK($A61),,ROUNDDOWN(V61*AQ6*1.024,))</f>
        <v>0</v>
      </c>
      <c r="AV61" s="35">
        <f>IF(ISBLANK($A61),,ROUNDDOWN(X61*AQ6*1.024,))</f>
        <v>0</v>
      </c>
    </row>
    <row r="62" spans="1:48">
      <c r="A62" s="35" t="s">
        <v>497</v>
      </c>
      <c r="B62" s="35"/>
      <c r="C62" s="35" t="s">
        <v>333</v>
      </c>
      <c r="D62" s="156" t="s">
        <v>453</v>
      </c>
      <c r="E62" s="35" t="s">
        <v>110</v>
      </c>
      <c r="F62" s="154">
        <v>6</v>
      </c>
      <c r="G62" s="154">
        <v>20</v>
      </c>
      <c r="H62" s="154">
        <v>0</v>
      </c>
      <c r="I62" s="177">
        <v>201</v>
      </c>
      <c r="J62" s="154">
        <f t="shared" si="3"/>
        <v>20</v>
      </c>
      <c r="K62" s="154"/>
      <c r="L62" s="35"/>
      <c r="M62" s="35"/>
      <c r="N62" s="35"/>
      <c r="O62" s="35"/>
      <c r="P62" s="35"/>
      <c r="Q62" s="35"/>
      <c r="R62" s="35"/>
      <c r="S62" s="35"/>
      <c r="T62" s="35"/>
      <c r="U62" s="35"/>
      <c r="V62" s="35"/>
      <c r="W62" s="35"/>
      <c r="X62" s="35"/>
      <c r="Y62" s="35"/>
      <c r="Z62" s="35"/>
      <c r="AA62" s="35"/>
      <c r="AB62" s="35"/>
      <c r="AC62" s="35"/>
      <c r="AD62" s="35"/>
      <c r="AE62" s="35"/>
      <c r="AF62" s="35"/>
      <c r="AG62" s="35"/>
      <c r="AH62" s="154" t="s">
        <v>328</v>
      </c>
      <c r="AI62" s="154" t="s">
        <v>329</v>
      </c>
      <c r="AJ62" s="154"/>
      <c r="AK62" s="35"/>
      <c r="AL62" s="35"/>
      <c r="AM62" s="35">
        <f t="shared" si="4"/>
        <v>20.48</v>
      </c>
      <c r="AN62" s="35">
        <f t="shared" si="4"/>
        <v>0</v>
      </c>
      <c r="AO62" s="35">
        <f>IF(ISBLANK($A62),,ROUNDDOWN(I62*AQ6*1.024,))</f>
        <v>185</v>
      </c>
      <c r="AP62" s="35">
        <f>IF(ISBLANK($A62),,ROUNDDOWN(L62*AQ6*1.024,))</f>
        <v>0</v>
      </c>
      <c r="AQ62" s="35">
        <f>IF(ISBLANK($A62),,ROUNDDOWN(N62*AQ6*1.024,))</f>
        <v>0</v>
      </c>
      <c r="AR62" s="35">
        <f>IF(ISBLANK($A62),,ROUNDDOWN(P62*AQ6*1.024,))</f>
        <v>0</v>
      </c>
      <c r="AS62" s="35">
        <f>IF(ISBLANK($A62),,ROUNDDOWN(R62*AQ6*1.024,))</f>
        <v>0</v>
      </c>
      <c r="AT62" s="156">
        <f t="shared" si="5"/>
        <v>0</v>
      </c>
      <c r="AU62" s="35">
        <f>IF(ISBLANK($A62),,ROUNDDOWN(V62*AQ6*1.024,))</f>
        <v>0</v>
      </c>
      <c r="AV62" s="35">
        <f>IF(ISBLANK($A62),,ROUNDDOWN(X62*AQ6*1.024,))</f>
        <v>0</v>
      </c>
    </row>
    <row r="63" spans="1:48">
      <c r="A63" s="35" t="s">
        <v>388</v>
      </c>
      <c r="B63" s="35"/>
      <c r="C63" s="35" t="s">
        <v>333</v>
      </c>
      <c r="D63" s="156" t="s">
        <v>453</v>
      </c>
      <c r="E63" s="35" t="s">
        <v>30</v>
      </c>
      <c r="F63" s="154">
        <v>2</v>
      </c>
      <c r="G63" s="154">
        <v>4</v>
      </c>
      <c r="H63" s="154">
        <v>0</v>
      </c>
      <c r="I63" s="154">
        <v>41</v>
      </c>
      <c r="J63" s="154">
        <f t="shared" si="3"/>
        <v>4</v>
      </c>
      <c r="K63" s="154"/>
      <c r="L63" s="35"/>
      <c r="M63" s="35"/>
      <c r="N63" s="35"/>
      <c r="O63" s="35"/>
      <c r="P63" s="35"/>
      <c r="Q63" s="35"/>
      <c r="R63" s="35"/>
      <c r="S63" s="35"/>
      <c r="T63" s="35"/>
      <c r="U63" s="35"/>
      <c r="V63" s="35"/>
      <c r="W63" s="35"/>
      <c r="X63" s="35"/>
      <c r="Y63" s="35"/>
      <c r="Z63" s="35"/>
      <c r="AA63" s="35"/>
      <c r="AB63" s="35"/>
      <c r="AC63" s="35"/>
      <c r="AD63" s="35"/>
      <c r="AE63" s="35"/>
      <c r="AF63" s="35"/>
      <c r="AG63" s="35"/>
      <c r="AH63" s="154" t="s">
        <v>328</v>
      </c>
      <c r="AI63" s="154" t="s">
        <v>329</v>
      </c>
      <c r="AJ63" s="154"/>
      <c r="AK63" s="35"/>
      <c r="AL63" s="35"/>
      <c r="AM63" s="35">
        <f t="shared" ref="AM63:AN70" si="6">IF(ISBLANK($A63),,G63*1.024)</f>
        <v>4.0960000000000001</v>
      </c>
      <c r="AN63" s="35">
        <f t="shared" si="6"/>
        <v>0</v>
      </c>
      <c r="AO63" s="35">
        <f>IF(ISBLANK($A63),,ROUNDDOWN(I63*AQ6*1.024,))</f>
        <v>37</v>
      </c>
      <c r="AP63" s="35">
        <f>IF(ISBLANK($A63),,ROUNDDOWN(L63*AQ6*1.024,))</f>
        <v>0</v>
      </c>
      <c r="AQ63" s="35">
        <f>IF(ISBLANK($A63),,ROUNDDOWN(N63*AQ6*1.024,))</f>
        <v>0</v>
      </c>
      <c r="AR63" s="35">
        <f>IF(ISBLANK($A63),,ROUNDDOWN(P63*AQ6*1.024,))</f>
        <v>0</v>
      </c>
      <c r="AS63" s="35">
        <f>IF(ISBLANK($A63),,ROUNDDOWN(R63*AQ6*1.024,))</f>
        <v>0</v>
      </c>
      <c r="AT63" s="156">
        <f t="shared" si="5"/>
        <v>0</v>
      </c>
      <c r="AU63" s="35">
        <f>IF(ISBLANK($A63),,ROUNDDOWN(V63*AQ6*1.024,))</f>
        <v>0</v>
      </c>
      <c r="AV63" s="35">
        <f>IF(ISBLANK($A63),,ROUNDDOWN(X63*AQ6*1.024,))</f>
        <v>0</v>
      </c>
    </row>
    <row r="64" spans="1:48">
      <c r="A64" s="35" t="s">
        <v>389</v>
      </c>
      <c r="B64" s="35"/>
      <c r="C64" s="35" t="s">
        <v>333</v>
      </c>
      <c r="D64" s="156" t="s">
        <v>453</v>
      </c>
      <c r="E64" s="35" t="s">
        <v>22</v>
      </c>
      <c r="F64" s="154">
        <v>2</v>
      </c>
      <c r="G64" s="154">
        <v>4</v>
      </c>
      <c r="H64" s="154">
        <v>0</v>
      </c>
      <c r="I64" s="154">
        <v>31</v>
      </c>
      <c r="J64" s="154">
        <f t="shared" si="3"/>
        <v>4</v>
      </c>
      <c r="K64" s="154"/>
      <c r="L64" s="35"/>
      <c r="M64" s="35"/>
      <c r="N64" s="35"/>
      <c r="O64" s="35"/>
      <c r="P64" s="35"/>
      <c r="Q64" s="35"/>
      <c r="R64" s="35"/>
      <c r="S64" s="35"/>
      <c r="T64" s="35"/>
      <c r="U64" s="35"/>
      <c r="V64" s="35"/>
      <c r="W64" s="35"/>
      <c r="X64" s="35"/>
      <c r="Y64" s="35"/>
      <c r="Z64" s="35"/>
      <c r="AA64" s="35"/>
      <c r="AB64" s="35"/>
      <c r="AC64" s="35"/>
      <c r="AD64" s="35"/>
      <c r="AE64" s="35"/>
      <c r="AF64" s="35"/>
      <c r="AG64" s="35"/>
      <c r="AH64" s="154" t="s">
        <v>328</v>
      </c>
      <c r="AI64" s="154" t="s">
        <v>329</v>
      </c>
      <c r="AJ64" s="154"/>
      <c r="AK64" s="35"/>
      <c r="AL64" s="35"/>
      <c r="AM64" s="35">
        <f t="shared" si="6"/>
        <v>4.0960000000000001</v>
      </c>
      <c r="AN64" s="35">
        <f t="shared" si="6"/>
        <v>0</v>
      </c>
      <c r="AO64" s="35">
        <f>IF(ISBLANK($A64),,ROUNDDOWN(I64*AQ6*1.024,))</f>
        <v>28</v>
      </c>
      <c r="AP64" s="35">
        <f>IF(ISBLANK($A64),,ROUNDDOWN(L64*AQ6*1.024,))</f>
        <v>0</v>
      </c>
      <c r="AQ64" s="35">
        <f>IF(ISBLANK($A64),,ROUNDDOWN(N64*AQ6*1.024,))</f>
        <v>0</v>
      </c>
      <c r="AR64" s="35">
        <f>IF(ISBLANK($A64),,ROUNDDOWN(P64*AQ6*1.024,))</f>
        <v>0</v>
      </c>
      <c r="AS64" s="35">
        <f>IF(ISBLANK($A64),,ROUNDDOWN(R64*AQ6*1.024,))</f>
        <v>0</v>
      </c>
      <c r="AT64" s="156">
        <f t="shared" si="5"/>
        <v>0</v>
      </c>
      <c r="AU64" s="35">
        <f>IF(ISBLANK($A64),,ROUNDDOWN(V64*AQ6*1.024,))</f>
        <v>0</v>
      </c>
      <c r="AV64" s="35">
        <f>IF(ISBLANK($A64),,ROUNDDOWN(X64*AQ6*1.024,))</f>
        <v>0</v>
      </c>
    </row>
    <row r="65" spans="1:48">
      <c r="A65" s="35" t="s">
        <v>390</v>
      </c>
      <c r="B65" s="35"/>
      <c r="C65" s="35" t="s">
        <v>333</v>
      </c>
      <c r="D65" s="156" t="s">
        <v>453</v>
      </c>
      <c r="E65" s="35" t="s">
        <v>26</v>
      </c>
      <c r="F65" s="154">
        <v>4</v>
      </c>
      <c r="G65" s="154">
        <v>4</v>
      </c>
      <c r="H65" s="154">
        <v>0</v>
      </c>
      <c r="I65" s="154">
        <v>31</v>
      </c>
      <c r="J65" s="154">
        <f t="shared" si="3"/>
        <v>4</v>
      </c>
      <c r="K65" s="154"/>
      <c r="L65" s="35"/>
      <c r="M65" s="35"/>
      <c r="N65" s="35"/>
      <c r="O65" s="35"/>
      <c r="P65" s="35"/>
      <c r="Q65" s="35"/>
      <c r="R65" s="35"/>
      <c r="S65" s="35"/>
      <c r="T65" s="35"/>
      <c r="U65" s="35"/>
      <c r="V65" s="35"/>
      <c r="W65" s="35"/>
      <c r="X65" s="35"/>
      <c r="Y65" s="35"/>
      <c r="Z65" s="35"/>
      <c r="AA65" s="35"/>
      <c r="AB65" s="35"/>
      <c r="AC65" s="35"/>
      <c r="AD65" s="35"/>
      <c r="AE65" s="35"/>
      <c r="AF65" s="35"/>
      <c r="AG65" s="35"/>
      <c r="AH65" s="154" t="s">
        <v>328</v>
      </c>
      <c r="AI65" s="154" t="s">
        <v>329</v>
      </c>
      <c r="AJ65" s="154"/>
      <c r="AK65" s="35"/>
      <c r="AL65" s="35"/>
      <c r="AM65" s="35">
        <f t="shared" si="6"/>
        <v>4.0960000000000001</v>
      </c>
      <c r="AN65" s="35">
        <f t="shared" si="6"/>
        <v>0</v>
      </c>
      <c r="AO65" s="35">
        <f>IF(ISBLANK($A65),,ROUNDDOWN(I65*AQ6*1.024,))</f>
        <v>28</v>
      </c>
      <c r="AP65" s="35">
        <f>IF(ISBLANK($A65),,ROUNDDOWN(L65*AQ6*1.024,))</f>
        <v>0</v>
      </c>
      <c r="AQ65" s="35">
        <f>IF(ISBLANK($A65),,ROUNDDOWN(N65*AQ6*1.024,))</f>
        <v>0</v>
      </c>
      <c r="AR65" s="35">
        <f>IF(ISBLANK($A65),,ROUNDDOWN(P65*AQ6*1.024,))</f>
        <v>0</v>
      </c>
      <c r="AS65" s="35">
        <f>IF(ISBLANK($A65),,ROUNDDOWN(R65*AQ6*1.024,))</f>
        <v>0</v>
      </c>
      <c r="AT65" s="156">
        <f t="shared" si="5"/>
        <v>0</v>
      </c>
      <c r="AU65" s="35">
        <f>IF(ISBLANK($A65),,ROUNDDOWN(V65*AQ6*1.024,))</f>
        <v>0</v>
      </c>
      <c r="AV65" s="35">
        <f>IF(ISBLANK($A65),,ROUNDDOWN(X65*AQ6*1.024,))</f>
        <v>0</v>
      </c>
    </row>
    <row r="66" spans="1:48" ht="15">
      <c r="A66" s="35" t="s">
        <v>391</v>
      </c>
      <c r="B66" s="35"/>
      <c r="C66" s="35" t="s">
        <v>333</v>
      </c>
      <c r="D66" s="156" t="s">
        <v>453</v>
      </c>
      <c r="E66" s="35" t="s">
        <v>38</v>
      </c>
      <c r="F66" s="154">
        <v>6</v>
      </c>
      <c r="G66" s="154">
        <v>7</v>
      </c>
      <c r="H66" s="154">
        <v>0</v>
      </c>
      <c r="I66" s="152">
        <v>111</v>
      </c>
      <c r="J66" s="154">
        <f t="shared" si="3"/>
        <v>7</v>
      </c>
      <c r="K66" s="40"/>
      <c r="L66" s="154"/>
      <c r="M66" s="154"/>
      <c r="N66" s="40"/>
      <c r="O66" s="41"/>
      <c r="P66" s="154"/>
      <c r="Q66" s="154"/>
      <c r="R66" s="154"/>
      <c r="S66" s="154"/>
      <c r="T66" s="154"/>
      <c r="U66" s="154"/>
      <c r="V66" s="154"/>
      <c r="W66" s="35"/>
      <c r="X66" s="154"/>
      <c r="Y66" s="35"/>
      <c r="Z66" s="154"/>
      <c r="AA66" s="154"/>
      <c r="AB66" s="154"/>
      <c r="AC66" s="154"/>
      <c r="AD66" s="154"/>
      <c r="AE66" s="154"/>
      <c r="AF66" s="154"/>
      <c r="AG66" s="154"/>
      <c r="AH66" s="154" t="s">
        <v>328</v>
      </c>
      <c r="AI66" s="154" t="s">
        <v>329</v>
      </c>
      <c r="AJ66" s="154" t="s">
        <v>329</v>
      </c>
      <c r="AK66" s="35"/>
      <c r="AL66" s="35"/>
      <c r="AM66" s="35">
        <f t="shared" si="6"/>
        <v>7.1680000000000001</v>
      </c>
      <c r="AN66" s="35">
        <f t="shared" si="6"/>
        <v>0</v>
      </c>
      <c r="AO66" s="35">
        <f>IF(ISBLANK($A66),,ROUNDDOWN(I66*AQ6*1.024,))</f>
        <v>102</v>
      </c>
      <c r="AP66" s="35">
        <f>IF(ISBLANK($A66),,ROUNDDOWN(L66*AQ6*1.024,))</f>
        <v>0</v>
      </c>
      <c r="AQ66" s="35">
        <f>IF(ISBLANK($A66),,ROUNDDOWN(N66*AQ6*1.024,))</f>
        <v>0</v>
      </c>
      <c r="AR66" s="35">
        <f>IF(ISBLANK($A66),,ROUNDDOWN(P66*AQ6*1.024,))</f>
        <v>0</v>
      </c>
      <c r="AS66" s="35">
        <f>IF(ISBLANK($A66),,ROUNDDOWN(R66*AQ6*1.024,))</f>
        <v>0</v>
      </c>
      <c r="AT66" s="156">
        <f t="shared" si="5"/>
        <v>0</v>
      </c>
      <c r="AU66" s="35">
        <f>IF(ISBLANK($A66),,ROUNDDOWN(V66*AQ6*1.024,))</f>
        <v>0</v>
      </c>
      <c r="AV66" s="35">
        <f>IF(ISBLANK($A66),,ROUNDDOWN(X66*AQ6*1.024,))</f>
        <v>0</v>
      </c>
    </row>
    <row r="67" spans="1:48" ht="15">
      <c r="A67" s="35" t="s">
        <v>517</v>
      </c>
      <c r="B67" s="35"/>
      <c r="C67" s="35" t="s">
        <v>333</v>
      </c>
      <c r="D67" s="156" t="s">
        <v>453</v>
      </c>
      <c r="E67" s="35" t="s">
        <v>38</v>
      </c>
      <c r="F67" s="154">
        <v>6</v>
      </c>
      <c r="G67" s="154">
        <v>7</v>
      </c>
      <c r="H67" s="154">
        <v>0</v>
      </c>
      <c r="I67" s="152">
        <v>111</v>
      </c>
      <c r="J67" s="154">
        <f t="shared" si="3"/>
        <v>7</v>
      </c>
      <c r="K67" s="40"/>
      <c r="L67" s="154"/>
      <c r="M67" s="154"/>
      <c r="N67" s="40"/>
      <c r="O67" s="41"/>
      <c r="P67" s="154"/>
      <c r="Q67" s="154"/>
      <c r="R67" s="154"/>
      <c r="S67" s="154"/>
      <c r="T67" s="154"/>
      <c r="U67" s="154"/>
      <c r="V67" s="154"/>
      <c r="W67" s="35"/>
      <c r="X67" s="154"/>
      <c r="Y67" s="35"/>
      <c r="Z67" s="154"/>
      <c r="AA67" s="154"/>
      <c r="AB67" s="154"/>
      <c r="AC67" s="154"/>
      <c r="AD67" s="154"/>
      <c r="AE67" s="154"/>
      <c r="AF67" s="154"/>
      <c r="AG67" s="154"/>
      <c r="AH67" s="154" t="s">
        <v>328</v>
      </c>
      <c r="AI67" s="154" t="s">
        <v>329</v>
      </c>
      <c r="AJ67" s="154"/>
      <c r="AK67" s="35"/>
      <c r="AL67" s="35"/>
      <c r="AM67" s="35">
        <f t="shared" si="6"/>
        <v>7.1680000000000001</v>
      </c>
      <c r="AN67" s="35">
        <f t="shared" si="6"/>
        <v>0</v>
      </c>
      <c r="AO67" s="35">
        <f>IF(ISBLANK($A67),,ROUNDDOWN(I67*AQ6*1.024,))</f>
        <v>102</v>
      </c>
      <c r="AP67" s="35">
        <f>IF(ISBLANK($A67),,ROUNDDOWN(L67*AQ6*1.024,))</f>
        <v>0</v>
      </c>
      <c r="AQ67" s="35">
        <f>IF(ISBLANK($A67),,ROUNDDOWN(N67*AQ6*1.024,))</f>
        <v>0</v>
      </c>
      <c r="AR67" s="35">
        <f>IF(ISBLANK($A67),,ROUNDDOWN(P67*AQ6*1.024,))</f>
        <v>0</v>
      </c>
      <c r="AS67" s="35">
        <f>IF(ISBLANK($A67),,ROUNDDOWN(R67*AQ6*1.024,))</f>
        <v>0</v>
      </c>
      <c r="AT67" s="156">
        <f t="shared" si="5"/>
        <v>0</v>
      </c>
      <c r="AU67" s="35">
        <f>IF(ISBLANK($A67),,ROUNDDOWN(V67*AQ6*1.024,))</f>
        <v>0</v>
      </c>
      <c r="AV67" s="35">
        <f>IF(ISBLANK($A67),,ROUNDDOWN(X67*AQ6*1.024,))</f>
        <v>0</v>
      </c>
    </row>
    <row r="68" spans="1:48" ht="15">
      <c r="A68" s="156" t="s">
        <v>392</v>
      </c>
      <c r="B68" s="156"/>
      <c r="C68" s="156" t="s">
        <v>333</v>
      </c>
      <c r="D68" s="156" t="s">
        <v>453</v>
      </c>
      <c r="E68" s="156" t="s">
        <v>49</v>
      </c>
      <c r="F68" s="152">
        <v>2</v>
      </c>
      <c r="G68" s="152">
        <v>2</v>
      </c>
      <c r="H68" s="152">
        <v>0</v>
      </c>
      <c r="I68" s="152">
        <v>16</v>
      </c>
      <c r="J68" s="154">
        <f t="shared" si="3"/>
        <v>2</v>
      </c>
      <c r="K68" s="40"/>
      <c r="L68" s="154"/>
      <c r="M68" s="154"/>
      <c r="N68" s="40"/>
      <c r="O68" s="41"/>
      <c r="P68" s="154"/>
      <c r="Q68" s="154"/>
      <c r="R68" s="154"/>
      <c r="S68" s="154"/>
      <c r="T68" s="154"/>
      <c r="U68" s="154"/>
      <c r="V68" s="154"/>
      <c r="W68" s="35"/>
      <c r="X68" s="154"/>
      <c r="Y68" s="35"/>
      <c r="Z68" s="154"/>
      <c r="AA68" s="154"/>
      <c r="AB68" s="154"/>
      <c r="AC68" s="154"/>
      <c r="AD68" s="154"/>
      <c r="AE68" s="154"/>
      <c r="AF68" s="154"/>
      <c r="AG68" s="154"/>
      <c r="AH68" s="154" t="s">
        <v>328</v>
      </c>
      <c r="AI68" s="154" t="s">
        <v>329</v>
      </c>
      <c r="AJ68" s="154"/>
      <c r="AK68" s="35"/>
      <c r="AL68" s="35"/>
      <c r="AM68" s="35">
        <f t="shared" si="6"/>
        <v>2.048</v>
      </c>
      <c r="AN68" s="35">
        <f t="shared" si="6"/>
        <v>0</v>
      </c>
      <c r="AO68" s="35">
        <f>IF(ISBLANK($A68),,ROUNDDOWN(I68*AQ6*1.024,))</f>
        <v>14</v>
      </c>
      <c r="AP68" s="35">
        <f>IF(ISBLANK($A68),,ROUNDDOWN(L68*AQ6*1.024,))</f>
        <v>0</v>
      </c>
      <c r="AQ68" s="35">
        <f>IF(ISBLANK($A68),,ROUNDDOWN(N68*AQ6*1.024,))</f>
        <v>0</v>
      </c>
      <c r="AR68" s="35">
        <f>IF(ISBLANK($A68),,ROUNDDOWN(P68*AQ6*1.024,))</f>
        <v>0</v>
      </c>
      <c r="AS68" s="35">
        <f>IF(ISBLANK($A68),,ROUNDDOWN(R68*AQ6*1.024,))</f>
        <v>0</v>
      </c>
      <c r="AT68" s="156">
        <f t="shared" si="5"/>
        <v>0</v>
      </c>
      <c r="AU68" s="35">
        <f>IF(ISBLANK($A68),,ROUNDDOWN(V68*AQ6*1.024,))</f>
        <v>0</v>
      </c>
      <c r="AV68" s="35">
        <f>IF(ISBLANK($A68),,ROUNDDOWN(X68*AQ6*1.024,))</f>
        <v>0</v>
      </c>
    </row>
    <row r="69" spans="1:48" ht="15">
      <c r="A69" s="156" t="s">
        <v>393</v>
      </c>
      <c r="B69" s="156"/>
      <c r="C69" s="156" t="s">
        <v>333</v>
      </c>
      <c r="D69" s="156" t="s">
        <v>453</v>
      </c>
      <c r="E69" s="156" t="s">
        <v>49</v>
      </c>
      <c r="F69" s="152">
        <v>2</v>
      </c>
      <c r="G69" s="152">
        <v>2</v>
      </c>
      <c r="H69" s="152">
        <v>0</v>
      </c>
      <c r="I69" s="152">
        <v>16</v>
      </c>
      <c r="J69" s="154">
        <f t="shared" si="3"/>
        <v>2</v>
      </c>
      <c r="K69" s="40"/>
      <c r="L69" s="154"/>
      <c r="M69" s="154"/>
      <c r="N69" s="40"/>
      <c r="O69" s="41"/>
      <c r="P69" s="154"/>
      <c r="Q69" s="154"/>
      <c r="R69" s="154"/>
      <c r="S69" s="154"/>
      <c r="T69" s="154"/>
      <c r="U69" s="154"/>
      <c r="V69" s="154"/>
      <c r="W69" s="35"/>
      <c r="X69" s="154"/>
      <c r="Y69" s="35"/>
      <c r="Z69" s="154"/>
      <c r="AA69" s="154"/>
      <c r="AB69" s="154"/>
      <c r="AC69" s="154"/>
      <c r="AD69" s="154"/>
      <c r="AE69" s="154"/>
      <c r="AF69" s="154"/>
      <c r="AG69" s="154"/>
      <c r="AH69" s="154" t="s">
        <v>328</v>
      </c>
      <c r="AI69" s="154" t="s">
        <v>329</v>
      </c>
      <c r="AJ69" s="154"/>
      <c r="AK69" s="35"/>
      <c r="AL69" s="35"/>
      <c r="AM69" s="35">
        <f t="shared" si="6"/>
        <v>2.048</v>
      </c>
      <c r="AN69" s="35">
        <f t="shared" si="6"/>
        <v>0</v>
      </c>
      <c r="AO69" s="35">
        <f>IF(ISBLANK($A69),,ROUNDDOWN(I69*AQ6*1.024,))</f>
        <v>14</v>
      </c>
      <c r="AP69" s="35">
        <f>IF(ISBLANK($A69),,ROUNDDOWN(L69*AQ6*1.024,))</f>
        <v>0</v>
      </c>
      <c r="AQ69" s="35">
        <f>IF(ISBLANK($A69),,ROUNDDOWN(N69*AQ6*1.024,))</f>
        <v>0</v>
      </c>
      <c r="AR69" s="35">
        <f>IF(ISBLANK($A69),,ROUNDDOWN(P69*AQ6*1.024,))</f>
        <v>0</v>
      </c>
      <c r="AS69" s="35">
        <f>IF(ISBLANK($A69),,ROUNDDOWN(R69*AQ6*1.024,))</f>
        <v>0</v>
      </c>
      <c r="AT69" s="156">
        <f t="shared" si="5"/>
        <v>0</v>
      </c>
      <c r="AU69" s="35">
        <f>IF(ISBLANK($A69),,ROUNDDOWN(V69*AQ6*1.024,))</f>
        <v>0</v>
      </c>
      <c r="AV69" s="35">
        <f>IF(ISBLANK($A69),,ROUNDDOWN(X69*AQ6*1.024,))</f>
        <v>0</v>
      </c>
    </row>
    <row r="70" spans="1:48" ht="15">
      <c r="A70" s="156" t="s">
        <v>394</v>
      </c>
      <c r="B70" s="156"/>
      <c r="C70" s="156" t="s">
        <v>333</v>
      </c>
      <c r="D70" s="156" t="s">
        <v>453</v>
      </c>
      <c r="E70" s="156" t="s">
        <v>53</v>
      </c>
      <c r="F70" s="152">
        <v>6</v>
      </c>
      <c r="G70" s="152">
        <v>5</v>
      </c>
      <c r="H70" s="152">
        <v>0</v>
      </c>
      <c r="I70" s="152">
        <v>41</v>
      </c>
      <c r="J70" s="154">
        <f t="shared" si="3"/>
        <v>5</v>
      </c>
      <c r="K70" s="40"/>
      <c r="L70" s="154"/>
      <c r="M70" s="154"/>
      <c r="N70" s="40"/>
      <c r="O70" s="41"/>
      <c r="P70" s="154"/>
      <c r="Q70" s="154"/>
      <c r="R70" s="154"/>
      <c r="S70" s="154"/>
      <c r="T70" s="154"/>
      <c r="U70" s="154"/>
      <c r="V70" s="154"/>
      <c r="W70" s="35"/>
      <c r="X70" s="154"/>
      <c r="Y70" s="35"/>
      <c r="Z70" s="154"/>
      <c r="AA70" s="154"/>
      <c r="AB70" s="154"/>
      <c r="AC70" s="154"/>
      <c r="AD70" s="154"/>
      <c r="AE70" s="154"/>
      <c r="AF70" s="154"/>
      <c r="AG70" s="154"/>
      <c r="AH70" s="154" t="s">
        <v>328</v>
      </c>
      <c r="AI70" s="154" t="s">
        <v>329</v>
      </c>
      <c r="AJ70" s="154"/>
      <c r="AK70" s="35"/>
      <c r="AL70" s="35"/>
      <c r="AM70" s="35">
        <f t="shared" si="6"/>
        <v>5.12</v>
      </c>
      <c r="AN70" s="35">
        <f t="shared" si="6"/>
        <v>0</v>
      </c>
      <c r="AO70" s="35">
        <f>IF(ISBLANK($A70),,ROUNDDOWN(I70*AQ6*1.024,))</f>
        <v>37</v>
      </c>
      <c r="AP70" s="35">
        <f>IF(ISBLANK($A70),,ROUNDDOWN(L70*AQ6*1.024,))</f>
        <v>0</v>
      </c>
      <c r="AQ70" s="35">
        <f>IF(ISBLANK($A70),,ROUNDDOWN(N70*AQ6*1.024,))</f>
        <v>0</v>
      </c>
      <c r="AR70" s="35">
        <f>IF(ISBLANK($A70),,ROUNDDOWN(P70*AQ6*1.024,))</f>
        <v>0</v>
      </c>
      <c r="AS70" s="35">
        <f>IF(ISBLANK($A70),,ROUNDDOWN(R70*AQ6*1.024,))</f>
        <v>0</v>
      </c>
      <c r="AT70" s="156">
        <f t="shared" si="5"/>
        <v>0</v>
      </c>
      <c r="AU70" s="35">
        <f>IF(ISBLANK($A70),,ROUNDDOWN(V70*AQ6*1.024,))</f>
        <v>0</v>
      </c>
      <c r="AV70" s="35">
        <f>IF(ISBLANK($A70),,ROUNDDOWN(X70*AQ6*1.024,))</f>
        <v>0</v>
      </c>
    </row>
    <row r="71" spans="1:48" ht="15">
      <c r="A71" s="156" t="s">
        <v>395</v>
      </c>
      <c r="B71" s="156"/>
      <c r="C71" s="156" t="s">
        <v>333</v>
      </c>
      <c r="D71" s="156" t="s">
        <v>453</v>
      </c>
      <c r="E71" s="156" t="s">
        <v>57</v>
      </c>
      <c r="F71" s="152">
        <v>2</v>
      </c>
      <c r="G71" s="152">
        <v>2</v>
      </c>
      <c r="H71" s="152">
        <v>0</v>
      </c>
      <c r="I71" s="152">
        <v>31</v>
      </c>
      <c r="J71" s="152">
        <f t="shared" si="3"/>
        <v>2</v>
      </c>
      <c r="K71" s="40"/>
      <c r="L71" s="154"/>
      <c r="M71" s="154"/>
      <c r="N71" s="40"/>
      <c r="O71" s="41"/>
      <c r="P71" s="154"/>
      <c r="Q71" s="154"/>
      <c r="R71" s="154"/>
      <c r="S71" s="154"/>
      <c r="T71" s="154"/>
      <c r="U71" s="154"/>
      <c r="V71" s="154"/>
      <c r="W71" s="35"/>
      <c r="X71" s="154"/>
      <c r="Y71" s="115"/>
      <c r="Z71" s="114"/>
      <c r="AA71" s="114"/>
      <c r="AB71" s="114"/>
      <c r="AC71" s="114"/>
      <c r="AD71" s="114"/>
      <c r="AE71" s="114"/>
      <c r="AF71" s="114"/>
      <c r="AG71" s="114"/>
      <c r="AH71" s="114" t="s">
        <v>328</v>
      </c>
      <c r="AI71" s="114" t="s">
        <v>329</v>
      </c>
      <c r="AJ71" s="114"/>
      <c r="AK71" s="35"/>
      <c r="AL71" s="35"/>
      <c r="AM71" s="35">
        <f>IF(ISBLANK($A71),,G71*1.024)</f>
        <v>2.048</v>
      </c>
      <c r="AN71" s="35">
        <f>IF(ISBLANK($A71),,H71*1.024)</f>
        <v>0</v>
      </c>
      <c r="AO71" s="35">
        <f>IF(ISBLANK($A71),,ROUNDDOWN(I71*AQ6*1.024,))</f>
        <v>28</v>
      </c>
      <c r="AP71" s="35">
        <f>IF(ISBLANK($A71),,ROUNDDOWN(L71*AQ6*1.024,))</f>
        <v>0</v>
      </c>
      <c r="AQ71" s="35">
        <f>IF(ISBLANK($A71),,ROUNDDOWN(N71*AQ6*1.024,))</f>
        <v>0</v>
      </c>
      <c r="AR71" s="35">
        <f>IF(ISBLANK($A71),,ROUNDDOWN(P71*AQ6*1.024,))</f>
        <v>0</v>
      </c>
      <c r="AS71" s="35">
        <f>IF(ISBLANK($A71),,ROUNDDOWN(R71*AQ6*1.024,))</f>
        <v>0</v>
      </c>
      <c r="AT71" s="156">
        <f t="shared" si="5"/>
        <v>0</v>
      </c>
      <c r="AU71" s="35">
        <f>IF(ISBLANK($A71),,ROUNDDOWN(V71*AQ6*1.024,))</f>
        <v>0</v>
      </c>
      <c r="AV71" s="35">
        <f>IF(ISBLANK($A71),,ROUNDDOWN(X71*AQ6*1.024,))</f>
        <v>0</v>
      </c>
    </row>
    <row r="72" spans="1:48" s="42" customFormat="1" ht="15">
      <c r="A72" s="13" t="s">
        <v>655</v>
      </c>
      <c r="B72" s="13"/>
      <c r="C72" s="13" t="s">
        <v>333</v>
      </c>
      <c r="D72" s="13" t="s">
        <v>326</v>
      </c>
      <c r="E72" s="13" t="s">
        <v>656</v>
      </c>
      <c r="F72" s="8">
        <v>12</v>
      </c>
      <c r="G72" s="8">
        <v>24</v>
      </c>
      <c r="H72" s="8">
        <v>0</v>
      </c>
      <c r="I72" s="8">
        <v>2098</v>
      </c>
      <c r="J72" s="8">
        <f t="shared" si="3"/>
        <v>24</v>
      </c>
      <c r="K72" s="99"/>
      <c r="L72" s="36"/>
      <c r="M72" s="36"/>
      <c r="N72" s="99"/>
      <c r="O72" s="163"/>
      <c r="P72" s="36"/>
      <c r="Q72" s="36"/>
      <c r="R72" s="36"/>
      <c r="S72" s="36"/>
      <c r="T72" s="36"/>
      <c r="U72" s="36"/>
      <c r="V72" s="36"/>
      <c r="X72" s="36"/>
      <c r="Z72" s="36"/>
      <c r="AA72" s="36"/>
      <c r="AB72" s="36"/>
      <c r="AC72" s="36"/>
      <c r="AD72" s="36"/>
      <c r="AE72" s="36"/>
      <c r="AF72" s="36"/>
      <c r="AG72" s="36"/>
      <c r="AH72" s="36" t="s">
        <v>328</v>
      </c>
      <c r="AI72" s="36" t="s">
        <v>329</v>
      </c>
      <c r="AJ72" s="36"/>
      <c r="AM72" s="42">
        <f t="shared" ref="AM72:AN72" si="7">IF(ISBLANK($A72),,G72*1.024)</f>
        <v>24.576000000000001</v>
      </c>
      <c r="AN72" s="42">
        <f t="shared" si="7"/>
        <v>0</v>
      </c>
      <c r="AO72" s="42">
        <f>IF(ISBLANK($A72),,ROUNDDOWN(I72*AQ$6*1.024,))</f>
        <v>1933</v>
      </c>
      <c r="AP72" s="42">
        <f>IF(ISBLANK($A72),,ROUNDDOWN(L72*AQ$6*1.024,))</f>
        <v>0</v>
      </c>
      <c r="AQ72" s="42">
        <f>IF(ISBLANK($A72),,ROUNDDOWN(N72*AQ$6*1.024,))</f>
        <v>0</v>
      </c>
      <c r="AR72" s="42">
        <f>IF(ISBLANK($A72),,ROUNDDOWN(P72*AQ$6*1.024,))</f>
        <v>0</v>
      </c>
      <c r="AS72" s="42">
        <f>IF(ISBLANK($A72),,ROUNDDOWN(R72*AQ$6*1.024,))</f>
        <v>0</v>
      </c>
      <c r="AT72" s="42">
        <f>IF(ISBLANK($A72),,ROUNDDOWN(V72*AQ$6*1.024,))</f>
        <v>0</v>
      </c>
      <c r="AU72" s="42">
        <f>IF(ISBLANK($A72),,ROUNDDOWN(X72*AQ$6*1.024,))</f>
        <v>0</v>
      </c>
      <c r="AV72" s="42">
        <f>IF(ISBLANK($A72),,ROUNDDOWN(X72*AQ$6*1.024,))</f>
        <v>0</v>
      </c>
    </row>
    <row r="73" spans="1:48">
      <c r="A73" s="43"/>
      <c r="B73" s="43"/>
      <c r="C73" s="43"/>
      <c r="D73" s="43"/>
      <c r="E73" s="43"/>
      <c r="F73" s="44">
        <f>SUM(F48:F72)+F43</f>
        <v>342</v>
      </c>
      <c r="G73" s="44">
        <f>SUM(G48:G72)+G43</f>
        <v>904</v>
      </c>
      <c r="H73" s="44">
        <f>SUM(H48:H72)+H43</f>
        <v>359.25</v>
      </c>
      <c r="I73" s="44">
        <f>SUM(I48:I72)+I43</f>
        <v>7403</v>
      </c>
      <c r="J73" s="44"/>
      <c r="K73" s="44"/>
      <c r="L73" s="44">
        <f>SUM(L48:L72)+L43</f>
        <v>130</v>
      </c>
      <c r="M73" s="44"/>
      <c r="N73" s="44">
        <f>SUM(N48:N72)+N43</f>
        <v>2500</v>
      </c>
      <c r="O73" s="44"/>
      <c r="P73" s="44">
        <f>SUM(P48:P72)+P43</f>
        <v>3750</v>
      </c>
      <c r="Q73" s="44"/>
      <c r="R73" s="44">
        <f>SUM(R48:R72)+R43</f>
        <v>530</v>
      </c>
      <c r="S73" s="44"/>
      <c r="T73" s="44">
        <f>SUM(T48:T72)+T43</f>
        <v>300</v>
      </c>
      <c r="U73" s="44"/>
      <c r="V73" s="44">
        <f>SUM(V48:V72)+V43</f>
        <v>0</v>
      </c>
      <c r="W73" s="44"/>
      <c r="X73" s="44">
        <f>SUM(X48:X72)+X43</f>
        <v>11375</v>
      </c>
      <c r="Y73" s="35"/>
      <c r="Z73" s="44">
        <f>SUM(Z48:Z72)+Z43</f>
        <v>200</v>
      </c>
      <c r="AA73" s="35"/>
      <c r="AB73" s="44">
        <f>SUM(AB48:AB72)+AB43</f>
        <v>50</v>
      </c>
      <c r="AC73" s="35"/>
      <c r="AD73" s="44">
        <f>SUM(AD48:AD72)+AD43</f>
        <v>0</v>
      </c>
      <c r="AE73" s="35"/>
      <c r="AF73" s="44">
        <f>SUM(AF48:AF72)+AF43</f>
        <v>3700</v>
      </c>
      <c r="AG73" s="35"/>
      <c r="AH73" s="35"/>
      <c r="AI73" s="154" t="s">
        <v>518</v>
      </c>
      <c r="AJ73" s="154">
        <f>3</f>
        <v>3</v>
      </c>
      <c r="AK73" s="35"/>
      <c r="AL73" s="35"/>
      <c r="AM73" s="35"/>
      <c r="AN73" s="35"/>
      <c r="AO73" s="35"/>
      <c r="AP73" s="35"/>
      <c r="AQ73" s="35"/>
      <c r="AR73" s="35"/>
      <c r="AS73" s="35"/>
      <c r="AT73" s="35"/>
      <c r="AU73" s="35"/>
      <c r="AV73" s="35"/>
    </row>
    <row r="74" spans="1:48">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1:48">
      <c r="A75" s="7" t="s">
        <v>424</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row>
    <row r="76" spans="1:48">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row>
    <row r="77" spans="1:48">
      <c r="A77" s="156" t="s">
        <v>425</v>
      </c>
      <c r="B77" s="156"/>
      <c r="C77" s="156" t="s">
        <v>426</v>
      </c>
      <c r="D77" s="156" t="s">
        <v>427</v>
      </c>
      <c r="E77" s="156" t="s">
        <v>8</v>
      </c>
      <c r="F77" s="152">
        <v>2</v>
      </c>
      <c r="G77" s="152">
        <v>4</v>
      </c>
      <c r="H77" s="152">
        <v>4</v>
      </c>
      <c r="I77" s="152">
        <v>350</v>
      </c>
      <c r="J77" s="152">
        <f t="shared" ref="J77:J82" si="8">G77-H77</f>
        <v>0</v>
      </c>
      <c r="K77" s="154" t="s">
        <v>428</v>
      </c>
      <c r="L77" s="154"/>
      <c r="M77" s="154"/>
      <c r="N77" s="154"/>
      <c r="O77" s="154"/>
      <c r="P77" s="154"/>
      <c r="Q77" s="154"/>
      <c r="R77" s="154"/>
      <c r="S77" s="154"/>
      <c r="T77" s="154"/>
      <c r="U77" s="154"/>
      <c r="V77" s="154"/>
      <c r="W77" s="35"/>
      <c r="X77" s="35"/>
      <c r="Y77" s="35"/>
      <c r="Z77" s="154"/>
      <c r="AA77" s="154"/>
      <c r="AB77" s="154"/>
      <c r="AC77" s="154"/>
      <c r="AD77" s="154"/>
      <c r="AE77" s="154"/>
      <c r="AF77" s="154"/>
      <c r="AG77" s="154"/>
      <c r="AH77" s="154" t="s">
        <v>328</v>
      </c>
      <c r="AI77" s="154" t="s">
        <v>329</v>
      </c>
      <c r="AJ77" s="154"/>
      <c r="AK77" s="35"/>
      <c r="AL77" s="35"/>
      <c r="AM77" s="35">
        <f t="shared" ref="AM77:AN84" si="9">IF(ISBLANK($A77),,G77*1.024)</f>
        <v>4.0960000000000001</v>
      </c>
      <c r="AN77" s="35">
        <f t="shared" si="9"/>
        <v>4.0960000000000001</v>
      </c>
      <c r="AO77" s="35">
        <f>IF(ISBLANK($A77),,ROUNDDOWN(I77*AQ6*1.024,))</f>
        <v>322</v>
      </c>
      <c r="AP77" s="35">
        <f>IF(ISBLANK($A77),,ROUNDDOWN(L77*AQ6*1.024,))</f>
        <v>0</v>
      </c>
      <c r="AQ77" s="35">
        <f>IF(ISBLANK($A77),,ROUNDDOWN(N77*AQ6*1.024,))</f>
        <v>0</v>
      </c>
      <c r="AR77" s="35">
        <f>IF(ISBLANK($A77),,ROUNDDOWN(P77*AQ6*1.024,))</f>
        <v>0</v>
      </c>
      <c r="AS77" s="35">
        <f>IF(ISBLANK($A77),,ROUNDDOWN(R77*AQ6*1.024,))</f>
        <v>0</v>
      </c>
      <c r="AT77" s="156">
        <f t="shared" ref="AT77:AT84" si="10">IF(ISBLANK($A77),,ROUNDDOWN(T77*AQ$6*1.024,))</f>
        <v>0</v>
      </c>
      <c r="AU77" s="35">
        <f>IF(ISBLANK($A77),,ROUNDDOWN(V77*AQ6*1.024,))</f>
        <v>0</v>
      </c>
      <c r="AV77" s="35">
        <f>IF(ISBLANK($A77),,ROUNDDOWN(X77*AQ6*1.024,))</f>
        <v>0</v>
      </c>
    </row>
    <row r="78" spans="1:48">
      <c r="A78" s="156" t="s">
        <v>429</v>
      </c>
      <c r="B78" s="156"/>
      <c r="C78" s="156" t="s">
        <v>426</v>
      </c>
      <c r="D78" s="156" t="s">
        <v>427</v>
      </c>
      <c r="E78" s="156" t="s">
        <v>430</v>
      </c>
      <c r="F78" s="152">
        <v>6</v>
      </c>
      <c r="G78" s="152">
        <v>10</v>
      </c>
      <c r="H78" s="152">
        <v>10</v>
      </c>
      <c r="I78" s="152">
        <v>100</v>
      </c>
      <c r="J78" s="152">
        <f t="shared" si="8"/>
        <v>0</v>
      </c>
      <c r="K78" s="154" t="s">
        <v>428</v>
      </c>
      <c r="L78" s="154"/>
      <c r="M78" s="154"/>
      <c r="N78" s="154">
        <v>200</v>
      </c>
      <c r="O78" s="154" t="s">
        <v>431</v>
      </c>
      <c r="P78" s="154"/>
      <c r="Q78" s="154"/>
      <c r="R78" s="154"/>
      <c r="S78" s="154"/>
      <c r="T78" s="154"/>
      <c r="U78" s="154"/>
      <c r="V78" s="154"/>
      <c r="W78" s="35"/>
      <c r="X78" s="35"/>
      <c r="Y78" s="35"/>
      <c r="Z78" s="154"/>
      <c r="AA78" s="154"/>
      <c r="AB78" s="154"/>
      <c r="AC78" s="154"/>
      <c r="AD78" s="154"/>
      <c r="AE78" s="154"/>
      <c r="AF78" s="154"/>
      <c r="AG78" s="154"/>
      <c r="AH78" s="154" t="s">
        <v>328</v>
      </c>
      <c r="AI78" s="154" t="s">
        <v>329</v>
      </c>
      <c r="AJ78" s="154"/>
      <c r="AK78" s="35"/>
      <c r="AL78" s="35"/>
      <c r="AM78" s="35">
        <f t="shared" si="9"/>
        <v>10.24</v>
      </c>
      <c r="AN78" s="35">
        <f t="shared" si="9"/>
        <v>10.24</v>
      </c>
      <c r="AO78" s="35">
        <f>IF(ISBLANK($A78),,ROUNDDOWN(I78*AQ6*1.024,))</f>
        <v>92</v>
      </c>
      <c r="AP78" s="35">
        <f>IF(ISBLANK($A78),,ROUNDDOWN(L78*AQ6*1.024,))</f>
        <v>0</v>
      </c>
      <c r="AQ78" s="35">
        <f>IF(ISBLANK($A78),,ROUNDDOWN(N78*AQ6*1.024,))</f>
        <v>184</v>
      </c>
      <c r="AR78" s="35">
        <f>IF(ISBLANK($A78),,ROUNDDOWN(P78*AQ6*1.024,))</f>
        <v>0</v>
      </c>
      <c r="AS78" s="35">
        <f>IF(ISBLANK($A78),,ROUNDDOWN(R78*AQ6*1.024,))</f>
        <v>0</v>
      </c>
      <c r="AT78" s="156">
        <f t="shared" si="10"/>
        <v>0</v>
      </c>
      <c r="AU78" s="35">
        <f>IF(ISBLANK($A78),,ROUNDDOWN(V78*AQ6*1.024,))</f>
        <v>0</v>
      </c>
      <c r="AV78" s="35">
        <f>IF(ISBLANK($A78),,ROUNDDOWN(X78*AQ6*1.024,))</f>
        <v>0</v>
      </c>
    </row>
    <row r="79" spans="1:48">
      <c r="A79" s="156" t="s">
        <v>432</v>
      </c>
      <c r="B79" s="156"/>
      <c r="C79" s="156" t="s">
        <v>426</v>
      </c>
      <c r="D79" s="156" t="s">
        <v>427</v>
      </c>
      <c r="E79" s="156" t="s">
        <v>433</v>
      </c>
      <c r="F79" s="152">
        <v>8</v>
      </c>
      <c r="G79" s="152">
        <v>16</v>
      </c>
      <c r="H79" s="152">
        <v>16</v>
      </c>
      <c r="I79" s="152">
        <v>60</v>
      </c>
      <c r="J79" s="152">
        <f t="shared" si="8"/>
        <v>0</v>
      </c>
      <c r="K79" s="154" t="s">
        <v>434</v>
      </c>
      <c r="L79" s="154"/>
      <c r="M79" s="154"/>
      <c r="N79" s="154"/>
      <c r="O79" s="154"/>
      <c r="P79" s="154"/>
      <c r="Q79" s="154"/>
      <c r="R79" s="154"/>
      <c r="S79" s="154"/>
      <c r="T79" s="154"/>
      <c r="U79" s="154"/>
      <c r="V79" s="154"/>
      <c r="W79" s="35"/>
      <c r="X79" s="35"/>
      <c r="Y79" s="35"/>
      <c r="Z79" s="154"/>
      <c r="AA79" s="154"/>
      <c r="AB79" s="154"/>
      <c r="AC79" s="154"/>
      <c r="AD79" s="154"/>
      <c r="AE79" s="154"/>
      <c r="AF79" s="154"/>
      <c r="AG79" s="154"/>
      <c r="AH79" s="154" t="s">
        <v>346</v>
      </c>
      <c r="AI79" s="152" t="s">
        <v>347</v>
      </c>
      <c r="AJ79" s="154"/>
      <c r="AK79" s="35"/>
      <c r="AL79" s="35"/>
      <c r="AM79" s="35">
        <f t="shared" si="9"/>
        <v>16.384</v>
      </c>
      <c r="AN79" s="35">
        <f t="shared" si="9"/>
        <v>16.384</v>
      </c>
      <c r="AO79" s="35">
        <f>IF(ISBLANK($A79),,ROUNDDOWN(I79*AQ6*1.024,))</f>
        <v>55</v>
      </c>
      <c r="AP79" s="35">
        <f>IF(ISBLANK($A79),,ROUNDDOWN(L79*AQ6*1.024,))</f>
        <v>0</v>
      </c>
      <c r="AQ79" s="35">
        <f>IF(ISBLANK($A79),,ROUNDDOWN(N79*AQ6*1.024,))</f>
        <v>0</v>
      </c>
      <c r="AR79" s="35">
        <f>IF(ISBLANK($A79),,ROUNDDOWN(P79*AQ6*1.024,))</f>
        <v>0</v>
      </c>
      <c r="AS79" s="35">
        <f>IF(ISBLANK($A79),,ROUNDDOWN(R79*AQ6*1.024,))</f>
        <v>0</v>
      </c>
      <c r="AT79" s="156">
        <f t="shared" si="10"/>
        <v>0</v>
      </c>
      <c r="AU79" s="35">
        <f>IF(ISBLANK($A79),,ROUNDDOWN(V79*AQ6*1.024,))</f>
        <v>0</v>
      </c>
      <c r="AV79" s="35">
        <f>IF(ISBLANK($A79),,ROUNDDOWN(X79*AQ6*1.024,))</f>
        <v>0</v>
      </c>
    </row>
    <row r="80" spans="1:48">
      <c r="A80" s="156" t="s">
        <v>435</v>
      </c>
      <c r="B80" s="156"/>
      <c r="C80" s="156" t="s">
        <v>426</v>
      </c>
      <c r="D80" s="156" t="s">
        <v>427</v>
      </c>
      <c r="E80" s="156" t="s">
        <v>436</v>
      </c>
      <c r="F80" s="152">
        <v>10</v>
      </c>
      <c r="G80" s="152">
        <v>10</v>
      </c>
      <c r="H80" s="152">
        <v>10</v>
      </c>
      <c r="I80" s="152">
        <v>40</v>
      </c>
      <c r="J80" s="152">
        <f t="shared" si="8"/>
        <v>0</v>
      </c>
      <c r="K80" s="154" t="s">
        <v>434</v>
      </c>
      <c r="L80" s="154"/>
      <c r="M80" s="154"/>
      <c r="N80" s="154"/>
      <c r="O80" s="154"/>
      <c r="P80" s="154"/>
      <c r="Q80" s="154"/>
      <c r="R80" s="154"/>
      <c r="S80" s="154"/>
      <c r="T80" s="154"/>
      <c r="U80" s="154"/>
      <c r="V80" s="154"/>
      <c r="W80" s="35"/>
      <c r="X80" s="35"/>
      <c r="Y80" s="35"/>
      <c r="Z80" s="154"/>
      <c r="AA80" s="154"/>
      <c r="AB80" s="154"/>
      <c r="AC80" s="154"/>
      <c r="AD80" s="154"/>
      <c r="AE80" s="154"/>
      <c r="AF80" s="154"/>
      <c r="AG80" s="154"/>
      <c r="AH80" s="154" t="s">
        <v>346</v>
      </c>
      <c r="AI80" s="152" t="s">
        <v>347</v>
      </c>
      <c r="AJ80" s="154"/>
      <c r="AK80" s="35"/>
      <c r="AL80" s="35"/>
      <c r="AM80" s="35">
        <f t="shared" si="9"/>
        <v>10.24</v>
      </c>
      <c r="AN80" s="35">
        <f t="shared" si="9"/>
        <v>10.24</v>
      </c>
      <c r="AO80" s="35">
        <f>IF(ISBLANK($A80),,ROUNDDOWN(I80*AQ6*1.024,))</f>
        <v>36</v>
      </c>
      <c r="AP80" s="35">
        <f>IF(ISBLANK($A80),,ROUNDDOWN(L80*AQ6*1.024,))</f>
        <v>0</v>
      </c>
      <c r="AQ80" s="35">
        <f>IF(ISBLANK($A80),,ROUNDDOWN(N80*AQ6*1.024,))</f>
        <v>0</v>
      </c>
      <c r="AR80" s="35">
        <f>IF(ISBLANK($A80),,ROUNDDOWN(P80*AQ6*1.024,))</f>
        <v>0</v>
      </c>
      <c r="AS80" s="35">
        <f>IF(ISBLANK($A80),,ROUNDDOWN(R80*AQ6*1.024,))</f>
        <v>0</v>
      </c>
      <c r="AT80" s="156">
        <f t="shared" si="10"/>
        <v>0</v>
      </c>
      <c r="AU80" s="35">
        <f>IF(ISBLANK($A80),,ROUNDDOWN(V80*AQ6*1.024,))</f>
        <v>0</v>
      </c>
      <c r="AV80" s="35">
        <f>IF(ISBLANK($A80),,ROUNDDOWN(X80*AQ6*1.024,))</f>
        <v>0</v>
      </c>
    </row>
    <row r="81" spans="1:48">
      <c r="A81" s="156" t="s">
        <v>437</v>
      </c>
      <c r="B81" s="156"/>
      <c r="C81" s="156" t="s">
        <v>426</v>
      </c>
      <c r="D81" s="156" t="s">
        <v>427</v>
      </c>
      <c r="E81" s="156" t="s">
        <v>438</v>
      </c>
      <c r="F81" s="152">
        <v>4</v>
      </c>
      <c r="G81" s="152">
        <v>16</v>
      </c>
      <c r="H81" s="152">
        <v>0</v>
      </c>
      <c r="I81" s="152">
        <v>550</v>
      </c>
      <c r="J81" s="152">
        <f t="shared" si="8"/>
        <v>16</v>
      </c>
      <c r="K81" s="154" t="s">
        <v>439</v>
      </c>
      <c r="L81" s="154"/>
      <c r="M81" s="154"/>
      <c r="N81" s="154"/>
      <c r="O81" s="154"/>
      <c r="P81" s="154"/>
      <c r="Q81" s="154"/>
      <c r="R81" s="154"/>
      <c r="S81" s="154"/>
      <c r="T81" s="154"/>
      <c r="U81" s="154"/>
      <c r="V81" s="154"/>
      <c r="W81" s="35"/>
      <c r="X81" s="35"/>
      <c r="Y81" s="35"/>
      <c r="Z81" s="154"/>
      <c r="AA81" s="154"/>
      <c r="AB81" s="154"/>
      <c r="AC81" s="154"/>
      <c r="AD81" s="154"/>
      <c r="AE81" s="154"/>
      <c r="AF81" s="154"/>
      <c r="AG81" s="154"/>
      <c r="AH81" s="154" t="s">
        <v>346</v>
      </c>
      <c r="AI81" s="152" t="s">
        <v>347</v>
      </c>
      <c r="AJ81" s="154"/>
      <c r="AK81" s="35"/>
      <c r="AL81" s="35"/>
      <c r="AM81" s="35">
        <f t="shared" si="9"/>
        <v>16.384</v>
      </c>
      <c r="AN81" s="35">
        <f t="shared" si="9"/>
        <v>0</v>
      </c>
      <c r="AO81" s="35">
        <f>IF(ISBLANK($A81),,ROUNDDOWN(I81*AQ6*1.024,))</f>
        <v>506</v>
      </c>
      <c r="AP81" s="35">
        <f>IF(ISBLANK($A81),,ROUNDDOWN(L81*AQ6*1.024,))</f>
        <v>0</v>
      </c>
      <c r="AQ81" s="35">
        <f>IF(ISBLANK($A81),,ROUNDDOWN(N81*AQ6*1.024,))</f>
        <v>0</v>
      </c>
      <c r="AR81" s="35">
        <f>IF(ISBLANK($A81),,ROUNDDOWN(P81*AQ6*1.024,))</f>
        <v>0</v>
      </c>
      <c r="AS81" s="35">
        <f>IF(ISBLANK($A81),,ROUNDDOWN(R81*AQ6*1.024,))</f>
        <v>0</v>
      </c>
      <c r="AT81" s="156">
        <f t="shared" si="10"/>
        <v>0</v>
      </c>
      <c r="AU81" s="35">
        <f>IF(ISBLANK($A81),,ROUNDDOWN(V81*AQ6*1.024,))</f>
        <v>0</v>
      </c>
      <c r="AV81" s="35">
        <f>IF(ISBLANK($A81),,ROUNDDOWN(X81*AQ6*1.024,))</f>
        <v>0</v>
      </c>
    </row>
    <row r="82" spans="1:48">
      <c r="A82" s="156" t="s">
        <v>440</v>
      </c>
      <c r="B82" s="156"/>
      <c r="C82" s="156" t="s">
        <v>426</v>
      </c>
      <c r="D82" s="156" t="s">
        <v>427</v>
      </c>
      <c r="E82" s="156" t="s">
        <v>441</v>
      </c>
      <c r="F82" s="152">
        <v>2</v>
      </c>
      <c r="G82" s="152">
        <v>4</v>
      </c>
      <c r="H82" s="152">
        <v>4</v>
      </c>
      <c r="I82" s="152">
        <v>40</v>
      </c>
      <c r="J82" s="152">
        <f t="shared" si="8"/>
        <v>0</v>
      </c>
      <c r="K82" s="154" t="s">
        <v>434</v>
      </c>
      <c r="L82" s="154"/>
      <c r="M82" s="154"/>
      <c r="N82" s="154"/>
      <c r="O82" s="154"/>
      <c r="P82" s="154"/>
      <c r="Q82" s="154"/>
      <c r="R82" s="154">
        <v>50</v>
      </c>
      <c r="S82" s="154" t="s">
        <v>442</v>
      </c>
      <c r="T82" s="154"/>
      <c r="U82" s="154"/>
      <c r="V82" s="154"/>
      <c r="W82" s="35"/>
      <c r="X82" s="35"/>
      <c r="Y82" s="35"/>
      <c r="Z82" s="154"/>
      <c r="AA82" s="154"/>
      <c r="AB82" s="154"/>
      <c r="AC82" s="154"/>
      <c r="AD82" s="154"/>
      <c r="AE82" s="154"/>
      <c r="AF82" s="154"/>
      <c r="AG82" s="154"/>
      <c r="AH82" s="154" t="s">
        <v>328</v>
      </c>
      <c r="AI82" s="154" t="s">
        <v>329</v>
      </c>
      <c r="AJ82" s="154"/>
      <c r="AK82" s="35"/>
      <c r="AL82" s="35"/>
      <c r="AM82" s="35">
        <f>IF(ISBLANK($A82),,G82*1.024)</f>
        <v>4.0960000000000001</v>
      </c>
      <c r="AN82" s="35">
        <f>IF(ISBLANK($A82),,H82*1.024)</f>
        <v>4.0960000000000001</v>
      </c>
      <c r="AO82" s="35">
        <f>IF(ISBLANK($A82),,ROUNDDOWN(I82*AQ6*1.024,))</f>
        <v>36</v>
      </c>
      <c r="AP82" s="35">
        <f>IF(ISBLANK($A82),,ROUNDDOWN(L82*AQ6*1.024,))</f>
        <v>0</v>
      </c>
      <c r="AQ82" s="35">
        <f>IF(ISBLANK($A82),,ROUNDDOWN(N82*AQ6*1.024,))</f>
        <v>0</v>
      </c>
      <c r="AR82" s="35">
        <f>IF(ISBLANK($A82),,ROUNDDOWN(P82*AQ6*1.024,))</f>
        <v>0</v>
      </c>
      <c r="AS82" s="35">
        <f>IF(ISBLANK($A82),,ROUNDDOWN(R82*AQ6*1.024,))</f>
        <v>46</v>
      </c>
      <c r="AT82" s="156">
        <f t="shared" si="10"/>
        <v>0</v>
      </c>
      <c r="AU82" s="35">
        <f>IF(ISBLANK($A82),,ROUNDDOWN(V82*AQ6*1.024,))</f>
        <v>0</v>
      </c>
      <c r="AV82" s="35">
        <f>IF(ISBLANK($A82),,ROUNDDOWN(X82*AQ6*1.024,))</f>
        <v>0</v>
      </c>
    </row>
    <row r="83" spans="1:48">
      <c r="A83" s="35" t="s">
        <v>443</v>
      </c>
      <c r="B83" s="35"/>
      <c r="C83" s="156" t="s">
        <v>444</v>
      </c>
      <c r="D83" s="35" t="s">
        <v>427</v>
      </c>
      <c r="E83" s="156" t="s">
        <v>45</v>
      </c>
      <c r="F83" s="154">
        <v>8</v>
      </c>
      <c r="G83" s="154">
        <v>32</v>
      </c>
      <c r="H83" s="152">
        <v>0</v>
      </c>
      <c r="I83" s="154">
        <v>80</v>
      </c>
      <c r="J83" s="154">
        <f>G83-H83</f>
        <v>32</v>
      </c>
      <c r="K83" s="154" t="s">
        <v>445</v>
      </c>
      <c r="L83" s="154"/>
      <c r="M83" s="154"/>
      <c r="N83" s="154"/>
      <c r="O83" s="154"/>
      <c r="P83" s="154"/>
      <c r="Q83" s="154"/>
      <c r="R83" s="154"/>
      <c r="S83" s="154"/>
      <c r="T83" s="154"/>
      <c r="U83" s="154"/>
      <c r="V83" s="154"/>
      <c r="W83" s="35"/>
      <c r="X83" s="35"/>
      <c r="Y83" s="35"/>
      <c r="Z83" s="154"/>
      <c r="AA83" s="154"/>
      <c r="AB83" s="154"/>
      <c r="AC83" s="154"/>
      <c r="AD83" s="154"/>
      <c r="AE83" s="154"/>
      <c r="AF83" s="154"/>
      <c r="AG83" s="154"/>
      <c r="AH83" s="154" t="s">
        <v>328</v>
      </c>
      <c r="AI83" s="154" t="s">
        <v>329</v>
      </c>
      <c r="AJ83" s="154"/>
      <c r="AK83" s="35"/>
      <c r="AL83" s="35"/>
      <c r="AM83" s="35">
        <f t="shared" si="9"/>
        <v>32.768000000000001</v>
      </c>
      <c r="AN83" s="35">
        <f t="shared" si="9"/>
        <v>0</v>
      </c>
      <c r="AO83" s="35">
        <f>IF(ISBLANK($A83),,ROUNDDOWN(I83*AQ6*1.024,))</f>
        <v>73</v>
      </c>
      <c r="AP83" s="35">
        <f>IF(ISBLANK($A83),,ROUNDDOWN(L83*AQ6*1.024,))</f>
        <v>0</v>
      </c>
      <c r="AQ83" s="35">
        <f>IF(ISBLANK($A83),,ROUNDDOWN(N83*AQ6*1.024,))</f>
        <v>0</v>
      </c>
      <c r="AR83" s="35">
        <f>IF(ISBLANK($A83),,ROUNDDOWN(P83*AQ6*1.024,))</f>
        <v>0</v>
      </c>
      <c r="AS83" s="35">
        <f>IF(ISBLANK($A83),,ROUNDDOWN(R83*AQ6*1.024,))</f>
        <v>0</v>
      </c>
      <c r="AT83" s="156">
        <f t="shared" si="10"/>
        <v>0</v>
      </c>
      <c r="AU83" s="35">
        <f>IF(ISBLANK($A83),,ROUNDDOWN(V83*AQ6*1.024,))</f>
        <v>0</v>
      </c>
      <c r="AV83" s="35">
        <f>IF(ISBLANK($A83),,ROUNDDOWN(X83*AQ6*1.024,))</f>
        <v>0</v>
      </c>
    </row>
    <row r="84" spans="1:48" s="13" customFormat="1">
      <c r="A84" s="42" t="s">
        <v>446</v>
      </c>
      <c r="B84" s="42"/>
      <c r="C84" s="13" t="s">
        <v>444</v>
      </c>
      <c r="D84" s="42" t="s">
        <v>427</v>
      </c>
      <c r="E84" s="13" t="s">
        <v>45</v>
      </c>
      <c r="F84" s="36">
        <v>8</v>
      </c>
      <c r="G84" s="36">
        <v>32</v>
      </c>
      <c r="H84" s="8">
        <v>0</v>
      </c>
      <c r="I84" s="36">
        <v>80</v>
      </c>
      <c r="J84" s="36">
        <f>G84-H84</f>
        <v>32</v>
      </c>
      <c r="K84" s="36" t="s">
        <v>445</v>
      </c>
      <c r="L84" s="36"/>
      <c r="M84" s="36"/>
      <c r="N84" s="36"/>
      <c r="O84" s="36"/>
      <c r="P84" s="36"/>
      <c r="Q84" s="36"/>
      <c r="R84" s="36"/>
      <c r="S84" s="36"/>
      <c r="T84" s="36"/>
      <c r="U84" s="36"/>
      <c r="V84" s="36"/>
      <c r="W84" s="42"/>
      <c r="X84" s="42"/>
      <c r="Y84" s="42"/>
      <c r="Z84" s="36"/>
      <c r="AA84" s="36"/>
      <c r="AB84" s="36"/>
      <c r="AC84" s="36"/>
      <c r="AD84" s="36"/>
      <c r="AE84" s="36"/>
      <c r="AF84" s="36"/>
      <c r="AG84" s="36"/>
      <c r="AH84" s="36" t="s">
        <v>328</v>
      </c>
      <c r="AI84" s="36" t="s">
        <v>329</v>
      </c>
      <c r="AJ84" s="36"/>
      <c r="AK84" s="42"/>
      <c r="AL84" s="42"/>
      <c r="AM84" s="42">
        <f t="shared" si="9"/>
        <v>32.768000000000001</v>
      </c>
      <c r="AN84" s="42">
        <f t="shared" si="9"/>
        <v>0</v>
      </c>
      <c r="AO84" s="42">
        <f>IF(ISBLANK($A84),,ROUNDDOWN(I84*AQ6*1.024,))</f>
        <v>73</v>
      </c>
      <c r="AP84" s="42">
        <f>IF(ISBLANK($A84),,ROUNDDOWN(L84*AQ6*1.024,))</f>
        <v>0</v>
      </c>
      <c r="AQ84" s="42">
        <f>IF(ISBLANK($A84),,ROUNDDOWN(N84*AQ6*1.024,))</f>
        <v>0</v>
      </c>
      <c r="AR84" s="42">
        <f>IF(ISBLANK($A84),,ROUNDDOWN(P84*AQ6*1.024,))</f>
        <v>0</v>
      </c>
      <c r="AS84" s="42">
        <f>IF(ISBLANK($A84),,ROUNDDOWN(R84*AQ6*1.024,))</f>
        <v>0</v>
      </c>
      <c r="AT84" s="13">
        <f t="shared" si="10"/>
        <v>0</v>
      </c>
      <c r="AU84" s="42">
        <f>IF(ISBLANK($A84),,ROUNDDOWN(V84*AQ6*1.024,))</f>
        <v>0</v>
      </c>
      <c r="AV84" s="42">
        <f>IF(ISBLANK($A84),,ROUNDDOWN(X84*AQ6*1.024,))</f>
        <v>0</v>
      </c>
    </row>
    <row r="85" spans="1:48">
      <c r="A85" s="35"/>
      <c r="B85" s="35"/>
      <c r="C85" s="35"/>
      <c r="D85" s="35"/>
      <c r="E85" s="35"/>
      <c r="F85" s="154">
        <f>F73+SUM(F77:F84)</f>
        <v>390</v>
      </c>
      <c r="G85" s="162">
        <f>G73+SUM(G77:G84)</f>
        <v>1028</v>
      </c>
      <c r="H85" s="162">
        <f>H73+SUM(H77:H84)</f>
        <v>403.25</v>
      </c>
      <c r="I85" s="162">
        <f>I73+SUM(I77:I84)</f>
        <v>8703</v>
      </c>
      <c r="J85" s="154"/>
      <c r="K85" s="154"/>
      <c r="L85" s="162">
        <f>L73+SUM(L77:L84)</f>
        <v>130</v>
      </c>
      <c r="M85" s="154"/>
      <c r="N85" s="162">
        <f>N73+SUM(N77:N84)</f>
        <v>2700</v>
      </c>
      <c r="O85" s="154"/>
      <c r="P85" s="162">
        <f>P73+SUM(P77:P84)</f>
        <v>3750</v>
      </c>
      <c r="Q85" s="154"/>
      <c r="R85" s="162">
        <f>R73+SUM(R77:R84)</f>
        <v>580</v>
      </c>
      <c r="S85" s="154"/>
      <c r="T85" s="162">
        <f>T73+SUM(T77:T84)</f>
        <v>300</v>
      </c>
      <c r="U85" s="154"/>
      <c r="V85" s="162">
        <f>V73+SUM(V77:V84)</f>
        <v>0</v>
      </c>
      <c r="W85" s="154"/>
      <c r="X85" s="162">
        <f>X73+SUM(X77:X84)</f>
        <v>11375</v>
      </c>
      <c r="Y85" s="154"/>
      <c r="Z85" s="162">
        <f>Z73+SUM(Z77:Z84)</f>
        <v>200</v>
      </c>
      <c r="AA85" s="154"/>
      <c r="AB85" s="162">
        <f>AB73+SUM(AB77:AB84)</f>
        <v>50</v>
      </c>
      <c r="AC85" s="154"/>
      <c r="AD85" s="162">
        <f>AD73+SUM(AD77:AD84)</f>
        <v>0</v>
      </c>
      <c r="AE85" s="154"/>
      <c r="AF85" s="162">
        <f>AF73+SUM(AF77:AF84)</f>
        <v>3700</v>
      </c>
      <c r="AG85" s="154"/>
      <c r="AH85" s="154"/>
      <c r="AI85" s="154" t="s">
        <v>659</v>
      </c>
      <c r="AJ85" s="154">
        <v>3</v>
      </c>
      <c r="AK85" s="35"/>
      <c r="AL85" s="35"/>
      <c r="AM85" s="35"/>
      <c r="AN85" s="35"/>
      <c r="AO85" s="35"/>
      <c r="AP85" s="35"/>
      <c r="AQ85" s="35"/>
      <c r="AR85" s="35"/>
      <c r="AS85" s="35"/>
      <c r="AT85" s="35"/>
      <c r="AU85" s="35"/>
      <c r="AV85" s="35"/>
    </row>
    <row r="100" spans="1:7">
      <c r="A100" s="116"/>
      <c r="B100" s="212"/>
      <c r="C100" s="212"/>
      <c r="D100" s="212"/>
      <c r="E100" s="212"/>
      <c r="F100" s="212"/>
      <c r="G100" s="212"/>
    </row>
    <row r="101" spans="1:7">
      <c r="A101" s="116"/>
      <c r="B101" s="116"/>
      <c r="C101" s="116"/>
      <c r="D101" s="116"/>
      <c r="E101" s="116"/>
      <c r="F101" s="116"/>
      <c r="G101" s="116"/>
    </row>
    <row r="102" spans="1:7">
      <c r="A102" s="116"/>
      <c r="B102" s="116"/>
      <c r="C102" s="116"/>
      <c r="D102" s="116"/>
      <c r="E102" s="116"/>
      <c r="F102" s="116"/>
      <c r="G102" s="116"/>
    </row>
    <row r="106" spans="1:7">
      <c r="A106" s="139"/>
      <c r="B106" s="140" t="s">
        <v>472</v>
      </c>
      <c r="C106" s="140" t="s">
        <v>473</v>
      </c>
      <c r="D106" s="141" t="s">
        <v>475</v>
      </c>
      <c r="E106" s="141" t="s">
        <v>122</v>
      </c>
      <c r="F106" s="140" t="s">
        <v>476</v>
      </c>
      <c r="G106" s="141" t="s">
        <v>126</v>
      </c>
    </row>
    <row r="107" spans="1:7">
      <c r="A107" s="142" t="s">
        <v>479</v>
      </c>
      <c r="B107" s="139">
        <v>2500</v>
      </c>
      <c r="C107" s="139">
        <v>2304</v>
      </c>
      <c r="D107" s="139">
        <v>90</v>
      </c>
      <c r="E107" s="147">
        <v>3750</v>
      </c>
      <c r="F107" s="139">
        <v>3456</v>
      </c>
      <c r="G107" s="147">
        <v>10875</v>
      </c>
    </row>
    <row r="108" spans="1:7">
      <c r="A108" s="142" t="s">
        <v>480</v>
      </c>
      <c r="B108" s="139">
        <v>6150</v>
      </c>
      <c r="C108" s="139">
        <f>B108*0.9*1.024</f>
        <v>5667.84</v>
      </c>
      <c r="D108" s="139">
        <v>115</v>
      </c>
      <c r="E108" s="139">
        <v>5100</v>
      </c>
      <c r="F108" s="139">
        <f>E108*0.9*1.024</f>
        <v>4700.16</v>
      </c>
      <c r="G108" s="139">
        <v>18450</v>
      </c>
    </row>
  </sheetData>
  <mergeCells count="1">
    <mergeCell ref="F3:G3"/>
  </mergeCells>
  <dataValidations count="1">
    <dataValidation type="list" allowBlank="1" showInputMessage="1" showErrorMessage="1" sqref="N10" xr:uid="{95919964-4A39-4FAD-9743-D7593A24DDFB}">
      <formula1>$B107:$B108</formula1>
    </dataValidation>
  </dataValidations>
  <hyperlinks>
    <hyperlink ref="F3:G3" location="Shortcuts!A1" display="Back to shortcuts" xr:uid="{FA8C5DA6-5D43-4DFE-AEF2-D20E2E9C1407}"/>
  </hyperlink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F3463-08AE-4E7F-9973-358AD902AC3C}">
  <dimension ref="A1:BN107"/>
  <sheetViews>
    <sheetView zoomScale="85" zoomScaleNormal="85" zoomScalePageLayoutView="70" workbookViewId="0">
      <selection activeCell="A11" sqref="A11"/>
    </sheetView>
  </sheetViews>
  <sheetFormatPr defaultColWidth="8.5703125" defaultRowHeight="12.75"/>
  <cols>
    <col min="1" max="1" width="8.5703125" style="3"/>
    <col min="2" max="2" width="20.85546875" style="3" customWidth="1"/>
    <col min="3" max="3" width="24" style="3" customWidth="1"/>
    <col min="4" max="4" width="55.5703125" style="3" customWidth="1"/>
    <col min="5" max="5" width="14.42578125" style="3" customWidth="1"/>
    <col min="6" max="7" width="8.5703125" style="3"/>
    <col min="8" max="9" width="8.42578125" style="3" customWidth="1"/>
    <col min="10" max="10" width="6.140625" style="3" customWidth="1"/>
    <col min="11" max="11" width="15.42578125" style="3" customWidth="1"/>
    <col min="12" max="12" width="6.5703125" style="3" customWidth="1"/>
    <col min="13" max="13" width="8.5703125" style="3"/>
    <col min="14" max="14" width="6.140625" style="3" customWidth="1"/>
    <col min="15" max="15" width="15.42578125" style="3" customWidth="1"/>
    <col min="16" max="16" width="6.5703125" style="3" customWidth="1"/>
    <col min="17" max="17" width="8.5703125" style="3"/>
    <col min="18" max="18" width="6.140625" style="3" customWidth="1"/>
    <col min="19" max="19" width="15.42578125" style="3" customWidth="1"/>
    <col min="20" max="20" width="6.5703125" style="3" customWidth="1"/>
    <col min="21" max="21" width="8.5703125" style="3"/>
    <col min="22" max="22" width="6.140625" style="3" customWidth="1"/>
    <col min="23" max="23" width="11.42578125" style="3" customWidth="1"/>
    <col min="24" max="24" width="6.5703125" style="3" customWidth="1"/>
    <col min="25" max="25" width="8.5703125" style="3"/>
    <col min="26" max="26" width="6.140625" style="3" customWidth="1"/>
    <col min="27" max="27" width="15.42578125" style="3" customWidth="1"/>
    <col min="28" max="28" width="6.5703125" style="3" customWidth="1"/>
    <col min="29" max="29" width="8.5703125" style="3"/>
    <col min="30" max="30" width="6.140625" style="3" customWidth="1"/>
    <col min="31" max="31" width="15.42578125" style="3" customWidth="1"/>
    <col min="32" max="32" width="6.5703125" style="3" customWidth="1"/>
    <col min="33" max="33" width="13.42578125" style="3" customWidth="1"/>
    <col min="34" max="34" width="6.140625" style="3" customWidth="1"/>
    <col min="35" max="36" width="11.42578125" style="3" customWidth="1"/>
    <col min="37" max="37" width="7.42578125" style="3" customWidth="1"/>
    <col min="38" max="38" width="6.140625" style="3" customWidth="1"/>
    <col min="39" max="39" width="15.42578125" style="3" customWidth="1"/>
    <col min="40" max="40" width="6.5703125" style="3" customWidth="1"/>
    <col min="41" max="41" width="11.42578125" style="3" customWidth="1"/>
    <col min="42" max="48" width="6.5703125" style="3" customWidth="1"/>
    <col min="49" max="49" width="14.42578125" style="3" customWidth="1"/>
    <col min="50" max="52" width="6.5703125" style="3" customWidth="1"/>
    <col min="53" max="53" width="9.5703125" style="3" customWidth="1"/>
    <col min="54" max="54" width="12.42578125" style="3" customWidth="1"/>
    <col min="55" max="56" width="13.42578125" style="3" customWidth="1"/>
    <col min="57" max="57" width="6.42578125" style="3" customWidth="1"/>
    <col min="58" max="58" width="18.42578125" style="3" customWidth="1"/>
    <col min="59" max="59" width="17.42578125" style="3" customWidth="1"/>
    <col min="60" max="60" width="18.5703125" style="3" customWidth="1"/>
    <col min="61" max="62" width="13.42578125" style="3" customWidth="1"/>
    <col min="63" max="63" width="22.5703125" style="3" customWidth="1"/>
    <col min="64" max="64" width="17.5703125" style="3" customWidth="1"/>
    <col min="65" max="74" width="8.5703125" style="3"/>
    <col min="75" max="75" width="10.42578125" style="3" customWidth="1"/>
    <col min="76" max="16384" width="8.5703125" style="3"/>
  </cols>
  <sheetData>
    <row r="1" spans="1:64">
      <c r="A1" s="215" t="s">
        <v>4</v>
      </c>
      <c r="B1" s="215"/>
      <c r="C1" s="215"/>
      <c r="D1" s="216"/>
      <c r="E1" s="156"/>
      <c r="F1" s="155" t="s">
        <v>709</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c r="BI1" s="156"/>
      <c r="BJ1" s="156"/>
      <c r="BK1" s="156"/>
      <c r="BL1" s="156"/>
    </row>
    <row r="3" spans="1:64" ht="15">
      <c r="A3" s="225" t="s">
        <v>632</v>
      </c>
      <c r="B3" s="225"/>
      <c r="C3" s="16"/>
      <c r="D3" s="156" t="s">
        <v>553</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c r="AW3" s="156"/>
      <c r="AX3" s="156"/>
      <c r="AY3" s="156"/>
      <c r="AZ3" s="156"/>
      <c r="BA3" s="156"/>
      <c r="BB3" s="156"/>
      <c r="BC3" s="156"/>
      <c r="BD3" s="156"/>
      <c r="BE3" s="156"/>
      <c r="BF3" s="156"/>
      <c r="BG3" s="156"/>
      <c r="BH3" s="156"/>
      <c r="BI3" s="156"/>
      <c r="BJ3" s="156"/>
      <c r="BK3" s="156"/>
      <c r="BL3" s="156"/>
    </row>
    <row r="4" spans="1:64">
      <c r="A4" s="225" t="s">
        <v>303</v>
      </c>
      <c r="B4" s="225"/>
      <c r="C4" s="16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c r="BI4" s="156"/>
      <c r="BJ4" s="156"/>
      <c r="BK4" s="156"/>
      <c r="BL4" s="156"/>
    </row>
    <row r="5" spans="1:64">
      <c r="A5" s="225" t="s">
        <v>305</v>
      </c>
      <c r="B5" s="225"/>
      <c r="C5" s="156"/>
      <c r="D5" s="35" t="s">
        <v>307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c r="AW5" s="156"/>
      <c r="AX5" s="156"/>
      <c r="AY5" s="156"/>
      <c r="AZ5" s="156"/>
      <c r="BA5" s="156"/>
      <c r="BB5" s="156"/>
      <c r="BC5" s="156"/>
      <c r="BD5" s="156"/>
      <c r="BE5" s="156"/>
      <c r="BF5" s="156"/>
      <c r="BG5" s="156"/>
      <c r="BH5" s="156"/>
      <c r="BI5" s="156"/>
      <c r="BJ5" s="156"/>
      <c r="BK5" s="156"/>
      <c r="BL5" s="156"/>
    </row>
    <row r="6" spans="1:64">
      <c r="A6" s="156"/>
      <c r="B6" s="156"/>
      <c r="C6" s="156"/>
      <c r="D6" s="156" t="s">
        <v>558</v>
      </c>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156"/>
      <c r="AN6" s="156"/>
      <c r="AO6" s="156"/>
      <c r="AP6" s="156"/>
      <c r="AQ6" s="156"/>
      <c r="AR6" s="156"/>
      <c r="AS6" s="156"/>
      <c r="AT6" s="156"/>
      <c r="AU6" s="156"/>
      <c r="AV6" s="156"/>
      <c r="AW6" s="156"/>
      <c r="AX6" s="156"/>
      <c r="AY6" s="156"/>
      <c r="AZ6" s="156"/>
      <c r="BA6" s="156"/>
      <c r="BB6" s="156"/>
      <c r="BC6" s="156"/>
      <c r="BD6" s="156"/>
      <c r="BE6" s="156"/>
      <c r="BF6" s="156"/>
      <c r="BG6" s="156"/>
      <c r="BH6" s="156"/>
      <c r="BI6" s="156"/>
      <c r="BJ6" s="156"/>
      <c r="BK6" s="156"/>
      <c r="BL6" s="156"/>
    </row>
    <row r="7" spans="1:64" ht="51">
      <c r="A7" s="5" t="s">
        <v>164</v>
      </c>
      <c r="B7" s="5" t="s">
        <v>310</v>
      </c>
      <c r="C7" s="5" t="s">
        <v>312</v>
      </c>
      <c r="D7" s="5" t="s">
        <v>313</v>
      </c>
      <c r="E7" s="4" t="s">
        <v>559</v>
      </c>
      <c r="F7" s="4" t="s">
        <v>103</v>
      </c>
      <c r="G7" s="4" t="s">
        <v>109</v>
      </c>
      <c r="H7" s="4" t="s">
        <v>560</v>
      </c>
      <c r="I7" s="4" t="s">
        <v>315</v>
      </c>
      <c r="J7" s="4" t="s">
        <v>561</v>
      </c>
      <c r="K7" s="4" t="s">
        <v>562</v>
      </c>
      <c r="L7" s="4" t="s">
        <v>563</v>
      </c>
      <c r="M7" s="4" t="s">
        <v>118</v>
      </c>
      <c r="N7" s="4" t="s">
        <v>561</v>
      </c>
      <c r="O7" s="4" t="s">
        <v>562</v>
      </c>
      <c r="P7" s="4" t="s">
        <v>563</v>
      </c>
      <c r="Q7" s="4" t="s">
        <v>20</v>
      </c>
      <c r="R7" s="4" t="s">
        <v>561</v>
      </c>
      <c r="S7" s="4" t="s">
        <v>562</v>
      </c>
      <c r="T7" s="4" t="s">
        <v>563</v>
      </c>
      <c r="U7" s="4" t="s">
        <v>122</v>
      </c>
      <c r="V7" s="4" t="s">
        <v>561</v>
      </c>
      <c r="W7" s="4" t="s">
        <v>562</v>
      </c>
      <c r="X7" s="4" t="s">
        <v>563</v>
      </c>
      <c r="Y7" s="4" t="s">
        <v>130</v>
      </c>
      <c r="Z7" s="4" t="s">
        <v>561</v>
      </c>
      <c r="AA7" s="4" t="s">
        <v>562</v>
      </c>
      <c r="AB7" s="4" t="s">
        <v>563</v>
      </c>
      <c r="AC7" s="4" t="s">
        <v>501</v>
      </c>
      <c r="AD7" s="4" t="s">
        <v>561</v>
      </c>
      <c r="AE7" s="4" t="s">
        <v>562</v>
      </c>
      <c r="AF7" s="4" t="s">
        <v>563</v>
      </c>
      <c r="AG7" s="4" t="s">
        <v>126</v>
      </c>
      <c r="AH7" s="4" t="s">
        <v>561</v>
      </c>
      <c r="AI7" s="4" t="s">
        <v>562</v>
      </c>
      <c r="AJ7" s="4" t="s">
        <v>563</v>
      </c>
      <c r="AK7" s="4" t="s">
        <v>481</v>
      </c>
      <c r="AL7" s="4" t="s">
        <v>561</v>
      </c>
      <c r="AM7" s="4" t="s">
        <v>562</v>
      </c>
      <c r="AN7" s="4" t="s">
        <v>563</v>
      </c>
      <c r="AO7" s="95" t="s">
        <v>564</v>
      </c>
      <c r="AP7" s="4" t="s">
        <v>561</v>
      </c>
      <c r="AQ7" s="4" t="s">
        <v>562</v>
      </c>
      <c r="AR7" s="4" t="s">
        <v>563</v>
      </c>
      <c r="AS7" s="95" t="s">
        <v>140</v>
      </c>
      <c r="AT7" s="4" t="s">
        <v>561</v>
      </c>
      <c r="AU7" s="4" t="s">
        <v>562</v>
      </c>
      <c r="AV7" s="4" t="s">
        <v>563</v>
      </c>
      <c r="AW7" s="95" t="s">
        <v>565</v>
      </c>
      <c r="AX7" s="4" t="s">
        <v>561</v>
      </c>
      <c r="AY7" s="4" t="s">
        <v>562</v>
      </c>
      <c r="AZ7" s="4" t="s">
        <v>563</v>
      </c>
      <c r="BA7" s="4" t="s">
        <v>136</v>
      </c>
      <c r="BB7" s="4" t="s">
        <v>323</v>
      </c>
      <c r="BC7" s="4" t="s">
        <v>324</v>
      </c>
      <c r="BD7" s="4" t="s">
        <v>566</v>
      </c>
      <c r="BE7" s="4" t="s">
        <v>567</v>
      </c>
      <c r="BF7" s="4" t="s">
        <v>568</v>
      </c>
      <c r="BG7" s="4" t="s">
        <v>569</v>
      </c>
      <c r="BH7" s="95" t="s">
        <v>570</v>
      </c>
      <c r="BI7" s="4" t="s">
        <v>571</v>
      </c>
      <c r="BJ7" s="4" t="s">
        <v>572</v>
      </c>
      <c r="BK7" s="4" t="s">
        <v>573</v>
      </c>
      <c r="BL7" s="4" t="s">
        <v>574</v>
      </c>
    </row>
    <row r="8" spans="1:64">
      <c r="A8" s="156" t="s">
        <v>575</v>
      </c>
      <c r="B8" s="152"/>
      <c r="C8" s="156" t="s">
        <v>326</v>
      </c>
      <c r="D8" s="156" t="s">
        <v>576</v>
      </c>
      <c r="E8" s="152" t="s">
        <v>577</v>
      </c>
      <c r="F8" s="152">
        <v>4</v>
      </c>
      <c r="G8" s="152">
        <v>8</v>
      </c>
      <c r="H8" s="78">
        <v>20</v>
      </c>
      <c r="I8" s="31">
        <v>0</v>
      </c>
      <c r="J8" s="152" t="s">
        <v>578</v>
      </c>
      <c r="K8" s="156" t="s">
        <v>579</v>
      </c>
      <c r="L8" s="152">
        <v>4.7</v>
      </c>
      <c r="M8" s="78"/>
      <c r="N8" s="152"/>
      <c r="O8" s="152"/>
      <c r="P8" s="152"/>
      <c r="Q8" s="78"/>
      <c r="R8" s="152"/>
      <c r="S8" s="152"/>
      <c r="T8" s="152"/>
      <c r="U8" s="78"/>
      <c r="V8" s="152"/>
      <c r="W8" s="152"/>
      <c r="X8" s="152"/>
      <c r="Y8" s="78"/>
      <c r="Z8" s="152"/>
      <c r="AA8" s="152"/>
      <c r="AB8" s="152"/>
      <c r="AC8" s="78"/>
      <c r="AD8" s="152"/>
      <c r="AE8" s="152"/>
      <c r="AF8" s="152"/>
      <c r="AG8" s="78">
        <v>0</v>
      </c>
      <c r="AH8" s="152" t="s">
        <v>575</v>
      </c>
      <c r="AI8" s="156" t="s">
        <v>575</v>
      </c>
      <c r="AJ8" s="152" t="s">
        <v>575</v>
      </c>
      <c r="AK8" s="152"/>
      <c r="AL8" s="152"/>
      <c r="AM8" s="152"/>
      <c r="AN8" s="152"/>
      <c r="AO8" s="152"/>
      <c r="AP8" s="152"/>
      <c r="AQ8" s="152"/>
      <c r="AR8" s="152"/>
      <c r="AS8" s="152"/>
      <c r="AT8" s="152"/>
      <c r="AU8" s="152"/>
      <c r="AV8" s="152"/>
      <c r="AW8" s="152"/>
      <c r="AX8" s="152"/>
      <c r="AY8" s="152"/>
      <c r="AZ8" s="152"/>
      <c r="BA8" s="152">
        <v>1</v>
      </c>
      <c r="BB8" s="156"/>
      <c r="BC8" s="152"/>
      <c r="BD8" s="152" t="s">
        <v>329</v>
      </c>
      <c r="BE8" s="152">
        <v>2</v>
      </c>
      <c r="BF8" s="152" t="s">
        <v>329</v>
      </c>
      <c r="BG8" s="152"/>
      <c r="BH8" s="156"/>
      <c r="BI8" s="156"/>
      <c r="BJ8" s="156"/>
      <c r="BK8" s="156"/>
      <c r="BL8" s="152"/>
    </row>
    <row r="9" spans="1:64">
      <c r="A9" s="156" t="s">
        <v>325</v>
      </c>
      <c r="B9" s="156"/>
      <c r="C9" s="156" t="s">
        <v>326</v>
      </c>
      <c r="D9" s="11" t="s">
        <v>8</v>
      </c>
      <c r="E9" s="152" t="s">
        <v>580</v>
      </c>
      <c r="F9" s="152">
        <v>4</v>
      </c>
      <c r="G9" s="152">
        <v>4</v>
      </c>
      <c r="H9" s="78">
        <v>350</v>
      </c>
      <c r="I9" s="31">
        <v>4096</v>
      </c>
      <c r="J9" s="152" t="s">
        <v>581</v>
      </c>
      <c r="K9" s="156" t="s">
        <v>579</v>
      </c>
      <c r="L9" s="152">
        <v>5.9</v>
      </c>
      <c r="M9" s="78"/>
      <c r="N9" s="152"/>
      <c r="O9" s="152"/>
      <c r="P9" s="152"/>
      <c r="Q9" s="78"/>
      <c r="R9" s="152"/>
      <c r="S9" s="152"/>
      <c r="T9" s="152"/>
      <c r="U9" s="78"/>
      <c r="V9" s="152"/>
      <c r="W9" s="152"/>
      <c r="X9" s="152"/>
      <c r="Y9" s="78"/>
      <c r="Z9" s="152"/>
      <c r="AA9" s="152"/>
      <c r="AB9" s="152"/>
      <c r="AC9" s="78"/>
      <c r="AD9" s="152"/>
      <c r="AE9" s="152"/>
      <c r="AF9" s="152"/>
      <c r="AG9" s="78">
        <f>2*H9</f>
        <v>700</v>
      </c>
      <c r="AH9" s="152" t="s">
        <v>581</v>
      </c>
      <c r="AI9" s="156" t="s">
        <v>579</v>
      </c>
      <c r="AJ9" s="152" t="s">
        <v>575</v>
      </c>
      <c r="AK9" s="152"/>
      <c r="AL9" s="152"/>
      <c r="AM9" s="152"/>
      <c r="AN9" s="152"/>
      <c r="AO9" s="152"/>
      <c r="AP9" s="152"/>
      <c r="AQ9" s="152"/>
      <c r="AR9" s="152"/>
      <c r="AS9" s="152"/>
      <c r="AT9" s="152"/>
      <c r="AU9" s="152"/>
      <c r="AV9" s="152"/>
      <c r="AW9" s="152"/>
      <c r="AX9" s="152"/>
      <c r="AY9" s="152"/>
      <c r="AZ9" s="152"/>
      <c r="BA9" s="152">
        <v>2</v>
      </c>
      <c r="BB9" s="152" t="s">
        <v>329</v>
      </c>
      <c r="BC9" s="152"/>
      <c r="BD9" s="152"/>
      <c r="BE9" s="152">
        <v>2</v>
      </c>
      <c r="BF9" s="152"/>
      <c r="BG9" s="152"/>
      <c r="BH9" s="152" t="s">
        <v>329</v>
      </c>
      <c r="BI9" s="152"/>
      <c r="BJ9" s="152"/>
      <c r="BK9" s="152"/>
      <c r="BL9" s="152"/>
    </row>
    <row r="10" spans="1:64">
      <c r="A10" s="156" t="s">
        <v>331</v>
      </c>
      <c r="B10" s="152" t="s">
        <v>332</v>
      </c>
      <c r="C10" s="156" t="s">
        <v>326</v>
      </c>
      <c r="D10" s="11" t="s">
        <v>16</v>
      </c>
      <c r="E10" s="152" t="s">
        <v>582</v>
      </c>
      <c r="F10" s="152">
        <v>6</v>
      </c>
      <c r="G10" s="152">
        <v>6</v>
      </c>
      <c r="H10" s="78">
        <v>40.96</v>
      </c>
      <c r="I10" s="31">
        <v>4096</v>
      </c>
      <c r="J10" s="152" t="s">
        <v>581</v>
      </c>
      <c r="K10" s="156" t="s">
        <v>579</v>
      </c>
      <c r="L10" s="152">
        <v>2.6</v>
      </c>
      <c r="M10" s="78"/>
      <c r="N10" s="152"/>
      <c r="O10" s="152"/>
      <c r="P10" s="152"/>
      <c r="Q10" s="78"/>
      <c r="R10" s="152"/>
      <c r="S10" s="152"/>
      <c r="T10" s="152"/>
      <c r="U10" s="78"/>
      <c r="V10" s="152"/>
      <c r="W10" s="152"/>
      <c r="X10" s="152"/>
      <c r="Y10" s="78"/>
      <c r="Z10" s="152"/>
      <c r="AA10" s="152"/>
      <c r="AB10" s="152"/>
      <c r="AC10" s="78"/>
      <c r="AD10" s="152"/>
      <c r="AE10" s="152"/>
      <c r="AF10" s="152"/>
      <c r="AG10" s="78">
        <f>H10*2</f>
        <v>81.92</v>
      </c>
      <c r="AH10" s="152" t="s">
        <v>581</v>
      </c>
      <c r="AI10" s="156" t="s">
        <v>579</v>
      </c>
      <c r="AJ10" s="152" t="s">
        <v>575</v>
      </c>
      <c r="AK10" s="152"/>
      <c r="AL10" s="152"/>
      <c r="AM10" s="152"/>
      <c r="AN10" s="152"/>
      <c r="AO10" s="152"/>
      <c r="AP10" s="152"/>
      <c r="AQ10" s="152"/>
      <c r="AR10" s="152"/>
      <c r="AS10" s="152"/>
      <c r="AT10" s="152"/>
      <c r="AU10" s="152"/>
      <c r="AV10" s="152"/>
      <c r="AW10" s="152"/>
      <c r="AX10" s="152"/>
      <c r="AY10" s="152"/>
      <c r="AZ10" s="152"/>
      <c r="BA10" s="152">
        <v>2</v>
      </c>
      <c r="BB10" s="152" t="s">
        <v>329</v>
      </c>
      <c r="BC10" s="152"/>
      <c r="BD10" s="152"/>
      <c r="BE10" s="152">
        <v>2</v>
      </c>
      <c r="BF10" s="152"/>
      <c r="BG10" s="152"/>
      <c r="BH10" s="152" t="s">
        <v>329</v>
      </c>
      <c r="BI10" s="152"/>
      <c r="BJ10" s="152"/>
      <c r="BK10" s="152"/>
      <c r="BL10" s="152"/>
    </row>
    <row r="11" spans="1:64">
      <c r="A11" s="156" t="s">
        <v>336</v>
      </c>
      <c r="B11" s="152"/>
      <c r="C11" s="156" t="s">
        <v>326</v>
      </c>
      <c r="D11" s="11" t="s">
        <v>20</v>
      </c>
      <c r="E11" s="152" t="s">
        <v>583</v>
      </c>
      <c r="F11" s="152">
        <v>16</v>
      </c>
      <c r="G11" s="146">
        <f>VLOOKUP(Q11,B106:F107,2,FALSE)</f>
        <v>90</v>
      </c>
      <c r="H11" s="78">
        <v>87.04</v>
      </c>
      <c r="I11" s="31">
        <v>32768</v>
      </c>
      <c r="J11" s="152" t="s">
        <v>581</v>
      </c>
      <c r="K11" s="156" t="s">
        <v>579</v>
      </c>
      <c r="L11" s="152">
        <v>2.6</v>
      </c>
      <c r="M11" s="148">
        <v>119.8</v>
      </c>
      <c r="N11" s="152" t="s">
        <v>581</v>
      </c>
      <c r="O11" s="156" t="s">
        <v>584</v>
      </c>
      <c r="P11" s="152">
        <f>50/1000</f>
        <v>0.05</v>
      </c>
      <c r="Q11" s="214">
        <v>2304</v>
      </c>
      <c r="R11" s="152" t="s">
        <v>581</v>
      </c>
      <c r="S11" s="156" t="s">
        <v>584</v>
      </c>
      <c r="T11" s="152">
        <f>50/1000</f>
        <v>0.05</v>
      </c>
      <c r="U11" s="211">
        <f>VLOOKUP(Q11,B106:D107,3,FALSE)</f>
        <v>3456</v>
      </c>
      <c r="V11" s="152" t="s">
        <v>581</v>
      </c>
      <c r="W11" s="156" t="s">
        <v>579</v>
      </c>
      <c r="X11" s="152">
        <f>50/1000</f>
        <v>0.05</v>
      </c>
      <c r="Y11" s="78"/>
      <c r="Z11" s="152"/>
      <c r="AA11" s="152"/>
      <c r="AB11" s="152"/>
      <c r="AC11" s="78"/>
      <c r="AD11" s="152"/>
      <c r="AE11" s="152"/>
      <c r="AF11" s="152"/>
      <c r="AG11" s="143">
        <f>2*H11+VLOOKUP(Q11,B106:E107,4,FALSE)</f>
        <v>10196.48</v>
      </c>
      <c r="AH11" s="152" t="s">
        <v>581</v>
      </c>
      <c r="AI11" s="156" t="s">
        <v>579</v>
      </c>
      <c r="AJ11" s="152" t="s">
        <v>575</v>
      </c>
      <c r="AK11" s="152"/>
      <c r="AL11" s="152"/>
      <c r="AM11" s="152"/>
      <c r="AN11" s="152"/>
      <c r="AO11" s="152"/>
      <c r="AP11" s="152"/>
      <c r="AQ11" s="152"/>
      <c r="AR11" s="152"/>
      <c r="AS11" s="152"/>
      <c r="AT11" s="152"/>
      <c r="AU11" s="152"/>
      <c r="AV11" s="152"/>
      <c r="AW11" s="152">
        <v>3145.7280000000001</v>
      </c>
      <c r="AX11" s="152" t="s">
        <v>581</v>
      </c>
      <c r="AY11" s="156" t="s">
        <v>579</v>
      </c>
      <c r="AZ11" s="152">
        <f>50/1000</f>
        <v>0.05</v>
      </c>
      <c r="BA11" s="152">
        <v>6</v>
      </c>
      <c r="BB11" s="152" t="s">
        <v>329</v>
      </c>
      <c r="BC11" s="152"/>
      <c r="BD11" s="152"/>
      <c r="BE11" s="152">
        <v>2</v>
      </c>
      <c r="BF11" s="152"/>
      <c r="BG11" s="152"/>
      <c r="BH11" s="152" t="s">
        <v>329</v>
      </c>
      <c r="BI11" s="152"/>
      <c r="BJ11" s="152"/>
      <c r="BK11" s="152"/>
      <c r="BL11" s="152"/>
    </row>
    <row r="12" spans="1:64">
      <c r="A12" s="156" t="s">
        <v>342</v>
      </c>
      <c r="B12" s="152" t="s">
        <v>332</v>
      </c>
      <c r="C12" s="156" t="s">
        <v>326</v>
      </c>
      <c r="D12" s="11" t="s">
        <v>622</v>
      </c>
      <c r="E12" s="152" t="s">
        <v>585</v>
      </c>
      <c r="F12" s="152">
        <v>8</v>
      </c>
      <c r="G12" s="152">
        <v>7</v>
      </c>
      <c r="H12" s="78">
        <v>46.08</v>
      </c>
      <c r="I12" s="31">
        <v>4096</v>
      </c>
      <c r="J12" s="152" t="s">
        <v>581</v>
      </c>
      <c r="K12" s="156" t="s">
        <v>579</v>
      </c>
      <c r="L12" s="152">
        <v>2.6</v>
      </c>
      <c r="M12" s="78"/>
      <c r="N12" s="152"/>
      <c r="O12" s="152"/>
      <c r="P12" s="152"/>
      <c r="Q12" s="78"/>
      <c r="R12" s="152"/>
      <c r="S12" s="152"/>
      <c r="T12" s="152"/>
      <c r="U12" s="78"/>
      <c r="V12" s="152"/>
      <c r="W12" s="152"/>
      <c r="X12" s="152"/>
      <c r="Y12" s="78">
        <v>490.5</v>
      </c>
      <c r="Z12" s="152" t="s">
        <v>581</v>
      </c>
      <c r="AA12" s="156" t="s">
        <v>579</v>
      </c>
      <c r="AB12" s="152">
        <v>0.1</v>
      </c>
      <c r="AC12" s="78">
        <f>300*0.9*1.024</f>
        <v>276.48</v>
      </c>
      <c r="AD12" s="152" t="s">
        <v>581</v>
      </c>
      <c r="AE12" s="156" t="s">
        <v>579</v>
      </c>
      <c r="AF12" s="152" t="s">
        <v>575</v>
      </c>
      <c r="AG12" s="78">
        <v>638.98</v>
      </c>
      <c r="AH12" s="152" t="s">
        <v>581</v>
      </c>
      <c r="AI12" s="156" t="s">
        <v>579</v>
      </c>
      <c r="AJ12" s="152" t="s">
        <v>575</v>
      </c>
      <c r="AK12" s="152"/>
      <c r="AL12" s="152"/>
      <c r="AM12" s="152"/>
      <c r="AN12" s="152"/>
      <c r="AO12" s="152"/>
      <c r="AP12" s="152"/>
      <c r="AQ12" s="152"/>
      <c r="AR12" s="152"/>
      <c r="AS12" s="152"/>
      <c r="AT12" s="152"/>
      <c r="AU12" s="152"/>
      <c r="AV12" s="152"/>
      <c r="AW12" s="152"/>
      <c r="AX12" s="152"/>
      <c r="AY12" s="152"/>
      <c r="AZ12" s="152"/>
      <c r="BA12" s="152">
        <v>4</v>
      </c>
      <c r="BB12" s="152" t="s">
        <v>329</v>
      </c>
      <c r="BC12" s="152"/>
      <c r="BD12" s="152"/>
      <c r="BE12" s="152">
        <v>2</v>
      </c>
      <c r="BF12" s="152"/>
      <c r="BG12" s="152"/>
      <c r="BH12" s="152" t="s">
        <v>329</v>
      </c>
      <c r="BI12" s="152"/>
      <c r="BJ12" s="152"/>
      <c r="BK12" s="152"/>
      <c r="BL12" s="152"/>
    </row>
    <row r="13" spans="1:64">
      <c r="A13" s="156" t="s">
        <v>345</v>
      </c>
      <c r="B13" s="156"/>
      <c r="C13" s="156" t="s">
        <v>326</v>
      </c>
      <c r="D13" s="11" t="s">
        <v>28</v>
      </c>
      <c r="E13" s="152" t="s">
        <v>586</v>
      </c>
      <c r="F13" s="152">
        <v>4</v>
      </c>
      <c r="G13" s="152">
        <v>4</v>
      </c>
      <c r="H13" s="78">
        <v>30.72</v>
      </c>
      <c r="I13" s="31">
        <v>4096</v>
      </c>
      <c r="J13" s="152" t="s">
        <v>581</v>
      </c>
      <c r="K13" s="156" t="s">
        <v>579</v>
      </c>
      <c r="L13" s="152">
        <v>2.6</v>
      </c>
      <c r="M13" s="78"/>
      <c r="N13" s="152"/>
      <c r="O13" s="152"/>
      <c r="P13" s="152"/>
      <c r="Q13" s="78"/>
      <c r="R13" s="152"/>
      <c r="S13" s="152"/>
      <c r="T13" s="152"/>
      <c r="U13" s="78"/>
      <c r="V13" s="152"/>
      <c r="W13" s="152"/>
      <c r="X13" s="152"/>
      <c r="Y13" s="78"/>
      <c r="Z13" s="152"/>
      <c r="AA13" s="152"/>
      <c r="AB13" s="152"/>
      <c r="AC13" s="78"/>
      <c r="AD13" s="152"/>
      <c r="AE13" s="152"/>
      <c r="AF13" s="152"/>
      <c r="AG13" s="78">
        <f t="shared" ref="AG13:AG43" si="0">2*H13</f>
        <v>61.44</v>
      </c>
      <c r="AH13" s="152" t="s">
        <v>581</v>
      </c>
      <c r="AI13" s="156" t="s">
        <v>579</v>
      </c>
      <c r="AJ13" s="152" t="s">
        <v>575</v>
      </c>
      <c r="AK13" s="152"/>
      <c r="AL13" s="152"/>
      <c r="AM13" s="152"/>
      <c r="AN13" s="152"/>
      <c r="AO13" s="152"/>
      <c r="AP13" s="152"/>
      <c r="AQ13" s="152"/>
      <c r="AR13" s="152"/>
      <c r="AS13" s="152"/>
      <c r="AT13" s="152"/>
      <c r="AU13" s="152"/>
      <c r="AV13" s="152"/>
      <c r="AW13" s="152"/>
      <c r="AX13" s="152"/>
      <c r="AY13" s="152"/>
      <c r="AZ13" s="152"/>
      <c r="BA13" s="152">
        <v>2</v>
      </c>
      <c r="BB13" s="152" t="s">
        <v>329</v>
      </c>
      <c r="BC13" s="152" t="s">
        <v>329</v>
      </c>
      <c r="BD13" s="152"/>
      <c r="BE13" s="152">
        <v>2</v>
      </c>
      <c r="BF13" s="152"/>
      <c r="BG13" s="152"/>
      <c r="BH13" s="152" t="s">
        <v>329</v>
      </c>
      <c r="BI13" s="152"/>
      <c r="BJ13" s="152"/>
      <c r="BK13" s="152"/>
      <c r="BL13" s="152"/>
    </row>
    <row r="14" spans="1:64">
      <c r="A14" s="156" t="s">
        <v>348</v>
      </c>
      <c r="B14" s="156"/>
      <c r="C14" s="156" t="s">
        <v>326</v>
      </c>
      <c r="D14" s="11" t="s">
        <v>555</v>
      </c>
      <c r="E14" s="152" t="s">
        <v>587</v>
      </c>
      <c r="F14" s="152">
        <v>2</v>
      </c>
      <c r="G14" s="152">
        <v>3</v>
      </c>
      <c r="H14" s="78">
        <v>30.72</v>
      </c>
      <c r="I14" s="31">
        <v>4096</v>
      </c>
      <c r="J14" s="152" t="s">
        <v>581</v>
      </c>
      <c r="K14" s="156" t="s">
        <v>579</v>
      </c>
      <c r="L14" s="152">
        <v>2.6</v>
      </c>
      <c r="M14" s="78"/>
      <c r="N14" s="152"/>
      <c r="O14" s="152"/>
      <c r="P14" s="152"/>
      <c r="Q14" s="78"/>
      <c r="R14" s="152"/>
      <c r="S14" s="152"/>
      <c r="T14" s="152"/>
      <c r="U14" s="78"/>
      <c r="V14" s="152"/>
      <c r="W14" s="152"/>
      <c r="X14" s="152"/>
      <c r="Y14" s="78"/>
      <c r="Z14" s="152"/>
      <c r="AA14" s="152"/>
      <c r="AB14" s="152"/>
      <c r="AC14" s="78"/>
      <c r="AD14" s="152"/>
      <c r="AE14" s="152"/>
      <c r="AF14" s="152"/>
      <c r="AG14" s="78">
        <f t="shared" si="0"/>
        <v>61.44</v>
      </c>
      <c r="AH14" s="152" t="s">
        <v>581</v>
      </c>
      <c r="AI14" s="156" t="s">
        <v>579</v>
      </c>
      <c r="AJ14" s="152" t="s">
        <v>575</v>
      </c>
      <c r="AK14" s="152"/>
      <c r="AL14" s="152"/>
      <c r="AM14" s="152"/>
      <c r="AN14" s="152"/>
      <c r="AO14" s="152"/>
      <c r="AP14" s="152"/>
      <c r="AQ14" s="152"/>
      <c r="AR14" s="152"/>
      <c r="AS14" s="152"/>
      <c r="AT14" s="152"/>
      <c r="AU14" s="152"/>
      <c r="AV14" s="152"/>
      <c r="AW14" s="152"/>
      <c r="AX14" s="152"/>
      <c r="AY14" s="152"/>
      <c r="AZ14" s="152"/>
      <c r="BA14" s="152">
        <v>2</v>
      </c>
      <c r="BB14" s="152" t="s">
        <v>329</v>
      </c>
      <c r="BC14" s="152"/>
      <c r="BD14" s="152"/>
      <c r="BE14" s="152">
        <v>2</v>
      </c>
      <c r="BF14" s="152"/>
      <c r="BG14" s="152"/>
      <c r="BH14" s="152" t="s">
        <v>329</v>
      </c>
      <c r="BI14" s="152"/>
      <c r="BJ14" s="152"/>
      <c r="BK14" s="152"/>
      <c r="BL14" s="152"/>
    </row>
    <row r="15" spans="1:64">
      <c r="A15" s="156" t="s">
        <v>349</v>
      </c>
      <c r="B15" s="156"/>
      <c r="C15" s="156" t="s">
        <v>326</v>
      </c>
      <c r="D15" s="11" t="s">
        <v>482</v>
      </c>
      <c r="E15" s="152" t="s">
        <v>588</v>
      </c>
      <c r="F15" s="152">
        <v>3</v>
      </c>
      <c r="G15" s="152">
        <v>6</v>
      </c>
      <c r="H15" s="78">
        <v>40.96</v>
      </c>
      <c r="I15" s="31">
        <v>4096</v>
      </c>
      <c r="J15" s="152" t="s">
        <v>581</v>
      </c>
      <c r="K15" s="156" t="s">
        <v>579</v>
      </c>
      <c r="L15" s="152">
        <v>2.6</v>
      </c>
      <c r="M15" s="78"/>
      <c r="N15" s="152"/>
      <c r="O15" s="152"/>
      <c r="P15" s="152"/>
      <c r="Q15" s="78"/>
      <c r="R15" s="152"/>
      <c r="S15" s="152"/>
      <c r="T15" s="152"/>
      <c r="U15" s="78"/>
      <c r="V15" s="152"/>
      <c r="W15" s="152"/>
      <c r="X15" s="152"/>
      <c r="Y15" s="78"/>
      <c r="Z15" s="152"/>
      <c r="AA15" s="152"/>
      <c r="AB15" s="152"/>
      <c r="AC15" s="78"/>
      <c r="AD15" s="152"/>
      <c r="AE15" s="152"/>
      <c r="AF15" s="152"/>
      <c r="AG15" s="78">
        <f t="shared" si="0"/>
        <v>81.92</v>
      </c>
      <c r="AH15" s="152" t="s">
        <v>581</v>
      </c>
      <c r="AI15" s="156" t="s">
        <v>579</v>
      </c>
      <c r="AJ15" s="152" t="s">
        <v>575</v>
      </c>
      <c r="AK15" s="152"/>
      <c r="AL15" s="152"/>
      <c r="AM15" s="152"/>
      <c r="AN15" s="152"/>
      <c r="AO15" s="152"/>
      <c r="AP15" s="152"/>
      <c r="AQ15" s="152"/>
      <c r="AR15" s="152"/>
      <c r="AS15" s="152"/>
      <c r="AT15" s="152"/>
      <c r="AU15" s="152"/>
      <c r="AV15" s="152"/>
      <c r="AW15" s="152"/>
      <c r="AX15" s="152"/>
      <c r="AY15" s="152"/>
      <c r="AZ15" s="152"/>
      <c r="BA15" s="152">
        <v>2</v>
      </c>
      <c r="BB15" s="152" t="s">
        <v>329</v>
      </c>
      <c r="BC15" s="152"/>
      <c r="BD15" s="152"/>
      <c r="BE15" s="152">
        <v>2</v>
      </c>
      <c r="BF15" s="152"/>
      <c r="BG15" s="152"/>
      <c r="BH15" s="152" t="s">
        <v>329</v>
      </c>
      <c r="BI15" s="152"/>
      <c r="BJ15" s="152"/>
      <c r="BK15" s="152"/>
      <c r="BL15" s="152"/>
    </row>
    <row r="16" spans="1:64">
      <c r="A16" s="156" t="s">
        <v>351</v>
      </c>
      <c r="B16" s="156"/>
      <c r="C16" s="156" t="s">
        <v>326</v>
      </c>
      <c r="D16" s="11" t="s">
        <v>40</v>
      </c>
      <c r="E16" s="152" t="s">
        <v>589</v>
      </c>
      <c r="F16" s="152">
        <v>5</v>
      </c>
      <c r="G16" s="152">
        <v>7</v>
      </c>
      <c r="H16" s="78">
        <v>56.32</v>
      </c>
      <c r="I16" s="31">
        <v>4096</v>
      </c>
      <c r="J16" s="152" t="s">
        <v>581</v>
      </c>
      <c r="K16" s="156" t="s">
        <v>579</v>
      </c>
      <c r="L16" s="152">
        <v>2.6</v>
      </c>
      <c r="M16" s="78"/>
      <c r="N16" s="152"/>
      <c r="O16" s="152"/>
      <c r="P16" s="152"/>
      <c r="Q16" s="78"/>
      <c r="R16" s="152"/>
      <c r="S16" s="152"/>
      <c r="T16" s="152"/>
      <c r="U16" s="78"/>
      <c r="V16" s="152"/>
      <c r="W16" s="152"/>
      <c r="X16" s="152"/>
      <c r="Y16" s="78"/>
      <c r="Z16" s="152"/>
      <c r="AA16" s="152"/>
      <c r="AB16" s="152"/>
      <c r="AC16" s="78"/>
      <c r="AD16" s="152"/>
      <c r="AE16" s="152"/>
      <c r="AF16" s="152"/>
      <c r="AG16" s="78">
        <f t="shared" si="0"/>
        <v>112.64</v>
      </c>
      <c r="AH16" s="152" t="s">
        <v>581</v>
      </c>
      <c r="AI16" s="156" t="s">
        <v>579</v>
      </c>
      <c r="AJ16" s="152" t="s">
        <v>575</v>
      </c>
      <c r="AK16" s="152"/>
      <c r="AL16" s="152"/>
      <c r="AM16" s="152"/>
      <c r="AN16" s="152"/>
      <c r="AO16" s="152"/>
      <c r="AP16" s="152"/>
      <c r="AQ16" s="152"/>
      <c r="AR16" s="152"/>
      <c r="AS16" s="152"/>
      <c r="AT16" s="152"/>
      <c r="AU16" s="152"/>
      <c r="AV16" s="152"/>
      <c r="AW16" s="152"/>
      <c r="AX16" s="152"/>
      <c r="AY16" s="152"/>
      <c r="AZ16" s="152"/>
      <c r="BA16" s="152">
        <v>2</v>
      </c>
      <c r="BB16" s="152" t="s">
        <v>329</v>
      </c>
      <c r="BC16" s="152"/>
      <c r="BD16" s="152"/>
      <c r="BE16" s="152">
        <v>2</v>
      </c>
      <c r="BF16" s="152"/>
      <c r="BG16" s="152"/>
      <c r="BH16" s="152" t="s">
        <v>329</v>
      </c>
      <c r="BI16" s="152"/>
      <c r="BJ16" s="152"/>
      <c r="BK16" s="152"/>
      <c r="BL16" s="152"/>
    </row>
    <row r="17" spans="1:64">
      <c r="A17" s="156" t="s">
        <v>352</v>
      </c>
      <c r="B17" s="156"/>
      <c r="C17" s="156" t="s">
        <v>326</v>
      </c>
      <c r="D17" s="11" t="s">
        <v>43</v>
      </c>
      <c r="E17" s="152" t="s">
        <v>590</v>
      </c>
      <c r="F17" s="152">
        <v>4</v>
      </c>
      <c r="G17" s="152">
        <v>6</v>
      </c>
      <c r="H17" s="78">
        <v>30.72</v>
      </c>
      <c r="I17" s="31">
        <v>4096</v>
      </c>
      <c r="J17" s="152" t="s">
        <v>581</v>
      </c>
      <c r="K17" s="156" t="s">
        <v>579</v>
      </c>
      <c r="L17" s="152">
        <v>2.6</v>
      </c>
      <c r="M17" s="78"/>
      <c r="N17" s="152"/>
      <c r="O17" s="152"/>
      <c r="P17" s="152"/>
      <c r="Q17" s="78"/>
      <c r="R17" s="152"/>
      <c r="S17" s="152"/>
      <c r="T17" s="152"/>
      <c r="U17" s="78"/>
      <c r="V17" s="152"/>
      <c r="W17" s="152"/>
      <c r="X17" s="152"/>
      <c r="Y17" s="78"/>
      <c r="Z17" s="152"/>
      <c r="AA17" s="152"/>
      <c r="AB17" s="152"/>
      <c r="AC17" s="78"/>
      <c r="AD17" s="152"/>
      <c r="AE17" s="152"/>
      <c r="AF17" s="152"/>
      <c r="AG17" s="78">
        <f t="shared" si="0"/>
        <v>61.44</v>
      </c>
      <c r="AH17" s="152" t="s">
        <v>581</v>
      </c>
      <c r="AI17" s="156" t="s">
        <v>579</v>
      </c>
      <c r="AJ17" s="152" t="s">
        <v>575</v>
      </c>
      <c r="AK17" s="152"/>
      <c r="AL17" s="152"/>
      <c r="AM17" s="152"/>
      <c r="AN17" s="152"/>
      <c r="AO17" s="152"/>
      <c r="AP17" s="152"/>
      <c r="AQ17" s="152"/>
      <c r="AR17" s="152"/>
      <c r="AS17" s="152"/>
      <c r="AT17" s="152"/>
      <c r="AU17" s="152"/>
      <c r="AV17" s="152"/>
      <c r="AW17" s="152"/>
      <c r="AX17" s="152"/>
      <c r="AY17" s="152"/>
      <c r="AZ17" s="152"/>
      <c r="BA17" s="152">
        <v>2</v>
      </c>
      <c r="BB17" s="152" t="s">
        <v>329</v>
      </c>
      <c r="BC17" s="152"/>
      <c r="BD17" s="152"/>
      <c r="BE17" s="152">
        <v>2</v>
      </c>
      <c r="BF17" s="152"/>
      <c r="BG17" s="152"/>
      <c r="BH17" s="152" t="s">
        <v>329</v>
      </c>
      <c r="BI17" s="152"/>
      <c r="BJ17" s="152"/>
      <c r="BK17" s="152"/>
      <c r="BL17" s="152"/>
    </row>
    <row r="18" spans="1:64">
      <c r="A18" s="156" t="s">
        <v>353</v>
      </c>
      <c r="B18" s="156"/>
      <c r="C18" s="156" t="s">
        <v>326</v>
      </c>
      <c r="D18" s="11" t="s">
        <v>47</v>
      </c>
      <c r="E18" s="152" t="s">
        <v>586</v>
      </c>
      <c r="F18" s="152">
        <v>4</v>
      </c>
      <c r="G18" s="152">
        <v>4</v>
      </c>
      <c r="H18" s="78">
        <v>30.72</v>
      </c>
      <c r="I18" s="31">
        <v>4096</v>
      </c>
      <c r="J18" s="152" t="s">
        <v>581</v>
      </c>
      <c r="K18" s="156" t="s">
        <v>579</v>
      </c>
      <c r="L18" s="152">
        <v>2.6</v>
      </c>
      <c r="M18" s="78"/>
      <c r="N18" s="152"/>
      <c r="O18" s="152"/>
      <c r="P18" s="152"/>
      <c r="Q18" s="78"/>
      <c r="R18" s="152"/>
      <c r="S18" s="152"/>
      <c r="T18" s="152"/>
      <c r="U18" s="78"/>
      <c r="V18" s="152"/>
      <c r="W18" s="152"/>
      <c r="X18" s="152"/>
      <c r="Y18" s="78"/>
      <c r="Z18" s="152"/>
      <c r="AA18" s="152"/>
      <c r="AB18" s="152"/>
      <c r="AC18" s="78"/>
      <c r="AD18" s="152"/>
      <c r="AE18" s="152"/>
      <c r="AF18" s="152"/>
      <c r="AG18" s="78">
        <f t="shared" si="0"/>
        <v>61.44</v>
      </c>
      <c r="AH18" s="152" t="s">
        <v>581</v>
      </c>
      <c r="AI18" s="156" t="s">
        <v>579</v>
      </c>
      <c r="AJ18" s="152" t="s">
        <v>575</v>
      </c>
      <c r="AK18" s="152"/>
      <c r="AL18" s="152"/>
      <c r="AM18" s="152"/>
      <c r="AN18" s="152"/>
      <c r="AO18" s="152"/>
      <c r="AP18" s="152"/>
      <c r="AQ18" s="152"/>
      <c r="AR18" s="152"/>
      <c r="AS18" s="152"/>
      <c r="AT18" s="152"/>
      <c r="AU18" s="152"/>
      <c r="AV18" s="152"/>
      <c r="AW18" s="152"/>
      <c r="AX18" s="152"/>
      <c r="AY18" s="152"/>
      <c r="AZ18" s="152"/>
      <c r="BA18" s="152">
        <v>2</v>
      </c>
      <c r="BB18" s="152" t="s">
        <v>329</v>
      </c>
      <c r="BC18" s="152" t="s">
        <v>329</v>
      </c>
      <c r="BD18" s="152"/>
      <c r="BE18" s="152">
        <v>2</v>
      </c>
      <c r="BF18" s="152"/>
      <c r="BG18" s="152"/>
      <c r="BH18" s="152" t="s">
        <v>329</v>
      </c>
      <c r="BI18" s="152"/>
      <c r="BJ18" s="152"/>
      <c r="BK18" s="152"/>
      <c r="BL18" s="152"/>
    </row>
    <row r="19" spans="1:64">
      <c r="A19" s="156" t="s">
        <v>354</v>
      </c>
      <c r="B19" s="156"/>
      <c r="C19" s="156" t="s">
        <v>326</v>
      </c>
      <c r="D19" s="11" t="s">
        <v>355</v>
      </c>
      <c r="E19" s="152" t="s">
        <v>591</v>
      </c>
      <c r="F19" s="152">
        <v>8</v>
      </c>
      <c r="G19" s="152">
        <v>10</v>
      </c>
      <c r="H19" s="78">
        <v>102.4</v>
      </c>
      <c r="I19" s="31">
        <v>16384</v>
      </c>
      <c r="J19" s="152" t="s">
        <v>581</v>
      </c>
      <c r="K19" s="156" t="s">
        <v>579</v>
      </c>
      <c r="L19" s="152">
        <v>2.6</v>
      </c>
      <c r="M19" s="78"/>
      <c r="N19" s="152"/>
      <c r="O19" s="152"/>
      <c r="P19" s="152"/>
      <c r="Q19" s="78"/>
      <c r="R19" s="152"/>
      <c r="S19" s="152"/>
      <c r="T19" s="152"/>
      <c r="U19" s="78"/>
      <c r="V19" s="152"/>
      <c r="W19" s="152"/>
      <c r="X19" s="152"/>
      <c r="Y19" s="78"/>
      <c r="Z19" s="152"/>
      <c r="AA19" s="152"/>
      <c r="AB19" s="152"/>
      <c r="AC19" s="78"/>
      <c r="AD19" s="152"/>
      <c r="AE19" s="152"/>
      <c r="AF19" s="152"/>
      <c r="AG19" s="78">
        <f>2*(H19+AO19)</f>
        <v>307.20000000000005</v>
      </c>
      <c r="AH19" s="152" t="s">
        <v>581</v>
      </c>
      <c r="AI19" s="156" t="s">
        <v>579</v>
      </c>
      <c r="AJ19" s="152" t="s">
        <v>575</v>
      </c>
      <c r="AK19" s="152"/>
      <c r="AL19" s="152"/>
      <c r="AM19" s="152"/>
      <c r="AN19" s="152"/>
      <c r="AO19" s="152">
        <v>51.2</v>
      </c>
      <c r="AP19" s="152" t="s">
        <v>581</v>
      </c>
      <c r="AQ19" s="156" t="s">
        <v>579</v>
      </c>
      <c r="AR19" s="152">
        <f>50/1000</f>
        <v>0.05</v>
      </c>
      <c r="AS19" s="152"/>
      <c r="AT19" s="152"/>
      <c r="AU19" s="152"/>
      <c r="AV19" s="152"/>
      <c r="AW19" s="152"/>
      <c r="AX19" s="152"/>
      <c r="AY19" s="152"/>
      <c r="AZ19" s="152"/>
      <c r="BA19" s="152">
        <v>3</v>
      </c>
      <c r="BB19" s="152" t="s">
        <v>329</v>
      </c>
      <c r="BC19" s="152"/>
      <c r="BD19" s="152"/>
      <c r="BE19" s="152">
        <v>2</v>
      </c>
      <c r="BF19" s="152"/>
      <c r="BG19" s="152"/>
      <c r="BH19" s="152" t="s">
        <v>329</v>
      </c>
      <c r="BI19" s="152"/>
      <c r="BJ19" s="152"/>
      <c r="BK19" s="152"/>
      <c r="BL19" s="152"/>
    </row>
    <row r="20" spans="1:64">
      <c r="A20" s="156" t="s">
        <v>356</v>
      </c>
      <c r="B20" s="156"/>
      <c r="C20" s="156" t="s">
        <v>326</v>
      </c>
      <c r="D20" s="11" t="s">
        <v>55</v>
      </c>
      <c r="E20" s="152" t="s">
        <v>592</v>
      </c>
      <c r="F20" s="152">
        <v>6</v>
      </c>
      <c r="G20" s="152">
        <v>6</v>
      </c>
      <c r="H20" s="78">
        <v>133.12</v>
      </c>
      <c r="I20" s="31">
        <v>4096</v>
      </c>
      <c r="J20" s="152" t="s">
        <v>581</v>
      </c>
      <c r="K20" s="156" t="s">
        <v>579</v>
      </c>
      <c r="L20" s="152">
        <v>2.6</v>
      </c>
      <c r="M20" s="78"/>
      <c r="N20" s="152"/>
      <c r="O20" s="152"/>
      <c r="P20" s="152"/>
      <c r="Q20" s="78"/>
      <c r="R20" s="152"/>
      <c r="S20" s="152"/>
      <c r="T20" s="152"/>
      <c r="U20" s="78"/>
      <c r="V20" s="152"/>
      <c r="W20" s="152"/>
      <c r="X20" s="152"/>
      <c r="Y20" s="78"/>
      <c r="Z20" s="152"/>
      <c r="AA20" s="152"/>
      <c r="AB20" s="152"/>
      <c r="AC20" s="78"/>
      <c r="AD20" s="152"/>
      <c r="AE20" s="152"/>
      <c r="AF20" s="152"/>
      <c r="AG20" s="78">
        <f t="shared" si="0"/>
        <v>266.24</v>
      </c>
      <c r="AH20" s="152" t="s">
        <v>581</v>
      </c>
      <c r="AI20" s="156" t="s">
        <v>579</v>
      </c>
      <c r="AJ20" s="152" t="s">
        <v>575</v>
      </c>
      <c r="AK20" s="152"/>
      <c r="AL20" s="152"/>
      <c r="AM20" s="152"/>
      <c r="AN20" s="152"/>
      <c r="AO20" s="152"/>
      <c r="AP20" s="152"/>
      <c r="AQ20" s="152"/>
      <c r="AR20" s="152"/>
      <c r="AS20" s="152"/>
      <c r="AT20" s="152"/>
      <c r="AU20" s="152"/>
      <c r="AV20" s="152"/>
      <c r="AW20" s="152"/>
      <c r="AX20" s="152"/>
      <c r="AY20" s="152"/>
      <c r="AZ20" s="152"/>
      <c r="BA20" s="152">
        <v>2</v>
      </c>
      <c r="BB20" s="152" t="s">
        <v>329</v>
      </c>
      <c r="BC20" s="152"/>
      <c r="BD20" s="152"/>
      <c r="BE20" s="152">
        <v>2</v>
      </c>
      <c r="BF20" s="152"/>
      <c r="BG20" s="152"/>
      <c r="BH20" s="152" t="s">
        <v>329</v>
      </c>
      <c r="BI20" s="152"/>
      <c r="BJ20" s="152"/>
      <c r="BK20" s="152"/>
      <c r="BL20" s="152"/>
    </row>
    <row r="21" spans="1:64">
      <c r="A21" s="156" t="s">
        <v>357</v>
      </c>
      <c r="B21" s="156"/>
      <c r="C21" s="156" t="s">
        <v>326</v>
      </c>
      <c r="D21" s="11" t="s">
        <v>59</v>
      </c>
      <c r="E21" s="152" t="s">
        <v>618</v>
      </c>
      <c r="F21" s="152">
        <v>6</v>
      </c>
      <c r="G21" s="152">
        <v>7</v>
      </c>
      <c r="H21" s="78">
        <v>61.44</v>
      </c>
      <c r="I21" s="31">
        <v>4096</v>
      </c>
      <c r="J21" s="152" t="s">
        <v>581</v>
      </c>
      <c r="K21" s="156" t="s">
        <v>579</v>
      </c>
      <c r="L21" s="152">
        <v>2.6</v>
      </c>
      <c r="M21" s="78"/>
      <c r="N21" s="152"/>
      <c r="O21" s="152"/>
      <c r="P21" s="152"/>
      <c r="Q21" s="78"/>
      <c r="R21" s="152"/>
      <c r="S21" s="152"/>
      <c r="T21" s="152"/>
      <c r="U21" s="78"/>
      <c r="V21" s="152"/>
      <c r="W21" s="152"/>
      <c r="X21" s="152"/>
      <c r="Y21" s="78"/>
      <c r="Z21" s="152"/>
      <c r="AA21" s="152"/>
      <c r="AB21" s="152"/>
      <c r="AC21" s="78"/>
      <c r="AD21" s="152"/>
      <c r="AE21" s="152"/>
      <c r="AF21" s="152"/>
      <c r="AG21" s="78">
        <f t="shared" si="0"/>
        <v>122.88</v>
      </c>
      <c r="AH21" s="152" t="s">
        <v>581</v>
      </c>
      <c r="AI21" s="156" t="s">
        <v>579</v>
      </c>
      <c r="AJ21" s="152" t="s">
        <v>575</v>
      </c>
      <c r="AK21" s="152"/>
      <c r="AL21" s="152"/>
      <c r="AM21" s="152"/>
      <c r="AN21" s="152"/>
      <c r="AO21" s="152"/>
      <c r="AP21" s="152"/>
      <c r="AQ21" s="152"/>
      <c r="AR21" s="152"/>
      <c r="AS21" s="152"/>
      <c r="AT21" s="152"/>
      <c r="AU21" s="152"/>
      <c r="AV21" s="152"/>
      <c r="AW21" s="152"/>
      <c r="AX21" s="152"/>
      <c r="AY21" s="152"/>
      <c r="AZ21" s="152"/>
      <c r="BA21" s="152">
        <v>2</v>
      </c>
      <c r="BB21" s="152" t="s">
        <v>329</v>
      </c>
      <c r="BC21" s="152"/>
      <c r="BD21" s="152"/>
      <c r="BE21" s="152">
        <v>2</v>
      </c>
      <c r="BF21" s="152"/>
      <c r="BG21" s="152"/>
      <c r="BH21" s="152" t="s">
        <v>329</v>
      </c>
      <c r="BI21" s="152"/>
      <c r="BJ21" s="152"/>
      <c r="BK21" s="152"/>
      <c r="BL21" s="152"/>
    </row>
    <row r="22" spans="1:64">
      <c r="A22" s="156" t="s">
        <v>358</v>
      </c>
      <c r="B22" s="156"/>
      <c r="C22" s="156" t="s">
        <v>326</v>
      </c>
      <c r="D22" s="11" t="s">
        <v>59</v>
      </c>
      <c r="E22" s="152" t="s">
        <v>618</v>
      </c>
      <c r="F22" s="152">
        <v>6</v>
      </c>
      <c r="G22" s="152">
        <v>7</v>
      </c>
      <c r="H22" s="78">
        <v>61.44</v>
      </c>
      <c r="I22" s="31">
        <v>4096</v>
      </c>
      <c r="J22" s="152" t="s">
        <v>581</v>
      </c>
      <c r="K22" s="156" t="s">
        <v>579</v>
      </c>
      <c r="L22" s="152">
        <v>2.6</v>
      </c>
      <c r="M22" s="78"/>
      <c r="N22" s="152"/>
      <c r="O22" s="152"/>
      <c r="P22" s="152"/>
      <c r="Q22" s="78"/>
      <c r="R22" s="152"/>
      <c r="S22" s="152"/>
      <c r="T22" s="152"/>
      <c r="U22" s="78"/>
      <c r="V22" s="152"/>
      <c r="W22" s="152"/>
      <c r="X22" s="152"/>
      <c r="Y22" s="78"/>
      <c r="Z22" s="152"/>
      <c r="AA22" s="152"/>
      <c r="AB22" s="152"/>
      <c r="AC22" s="78"/>
      <c r="AD22" s="152"/>
      <c r="AE22" s="152"/>
      <c r="AF22" s="152"/>
      <c r="AG22" s="78">
        <f t="shared" si="0"/>
        <v>122.88</v>
      </c>
      <c r="AH22" s="152" t="s">
        <v>581</v>
      </c>
      <c r="AI22" s="156" t="s">
        <v>579</v>
      </c>
      <c r="AJ22" s="152" t="s">
        <v>575</v>
      </c>
      <c r="AK22" s="152"/>
      <c r="AL22" s="152"/>
      <c r="AM22" s="152"/>
      <c r="AN22" s="152"/>
      <c r="AO22" s="152"/>
      <c r="AP22" s="152"/>
      <c r="AQ22" s="152"/>
      <c r="AR22" s="152"/>
      <c r="AS22" s="152"/>
      <c r="AT22" s="152"/>
      <c r="AU22" s="152"/>
      <c r="AV22" s="152"/>
      <c r="AW22" s="152"/>
      <c r="AX22" s="152"/>
      <c r="AY22" s="152"/>
      <c r="AZ22" s="152"/>
      <c r="BA22" s="152">
        <v>2</v>
      </c>
      <c r="BB22" s="152" t="s">
        <v>329</v>
      </c>
      <c r="BC22" s="152"/>
      <c r="BD22" s="152"/>
      <c r="BE22" s="152">
        <v>2</v>
      </c>
      <c r="BF22" s="152"/>
      <c r="BG22" s="152"/>
      <c r="BH22" s="152" t="s">
        <v>329</v>
      </c>
      <c r="BI22" s="152"/>
      <c r="BJ22" s="152"/>
      <c r="BK22" s="152"/>
      <c r="BL22" s="152"/>
    </row>
    <row r="23" spans="1:64">
      <c r="A23" s="156" t="s">
        <v>359</v>
      </c>
      <c r="B23" s="156"/>
      <c r="C23" s="156" t="s">
        <v>326</v>
      </c>
      <c r="D23" s="11" t="s">
        <v>63</v>
      </c>
      <c r="E23" s="152" t="s">
        <v>593</v>
      </c>
      <c r="F23" s="152">
        <v>6</v>
      </c>
      <c r="G23" s="152">
        <v>13</v>
      </c>
      <c r="H23" s="78">
        <v>56.32</v>
      </c>
      <c r="I23" s="31">
        <v>16384</v>
      </c>
      <c r="J23" s="152" t="s">
        <v>581</v>
      </c>
      <c r="K23" s="156" t="s">
        <v>579</v>
      </c>
      <c r="L23" s="152">
        <v>2.6</v>
      </c>
      <c r="M23" s="78"/>
      <c r="N23" s="152"/>
      <c r="O23" s="152"/>
      <c r="P23" s="152"/>
      <c r="Q23" s="78"/>
      <c r="R23" s="152"/>
      <c r="S23" s="152"/>
      <c r="T23" s="152"/>
      <c r="U23" s="78"/>
      <c r="V23" s="152"/>
      <c r="W23" s="152"/>
      <c r="X23" s="152"/>
      <c r="Y23" s="78"/>
      <c r="Z23" s="152"/>
      <c r="AA23" s="152"/>
      <c r="AB23" s="152"/>
      <c r="AC23" s="78"/>
      <c r="AD23" s="152"/>
      <c r="AE23" s="152"/>
      <c r="AF23" s="152"/>
      <c r="AG23" s="78">
        <f t="shared" si="0"/>
        <v>112.64</v>
      </c>
      <c r="AH23" s="152" t="s">
        <v>581</v>
      </c>
      <c r="AI23" s="156" t="s">
        <v>579</v>
      </c>
      <c r="AJ23" s="152" t="s">
        <v>575</v>
      </c>
      <c r="AK23" s="152"/>
      <c r="AL23" s="152"/>
      <c r="AM23" s="152"/>
      <c r="AN23" s="152"/>
      <c r="AO23" s="152"/>
      <c r="AP23" s="152"/>
      <c r="AQ23" s="152"/>
      <c r="AR23" s="152"/>
      <c r="AS23" s="152">
        <v>87.04</v>
      </c>
      <c r="AT23" s="152" t="s">
        <v>581</v>
      </c>
      <c r="AU23" s="156" t="s">
        <v>579</v>
      </c>
      <c r="AV23" s="152">
        <f>50/1000</f>
        <v>0.05</v>
      </c>
      <c r="AW23" s="152"/>
      <c r="AX23" s="152"/>
      <c r="AY23" s="152"/>
      <c r="AZ23" s="152"/>
      <c r="BA23" s="152">
        <v>3</v>
      </c>
      <c r="BB23" s="152" t="s">
        <v>329</v>
      </c>
      <c r="BC23" s="152"/>
      <c r="BD23" s="152"/>
      <c r="BE23" s="152">
        <v>2</v>
      </c>
      <c r="BF23" s="152"/>
      <c r="BG23" s="152"/>
      <c r="BH23" s="152" t="s">
        <v>329</v>
      </c>
      <c r="BI23" s="152"/>
      <c r="BJ23" s="152"/>
      <c r="BK23" s="152"/>
      <c r="BL23" s="152"/>
    </row>
    <row r="24" spans="1:64">
      <c r="A24" s="156" t="s">
        <v>360</v>
      </c>
      <c r="B24" s="156"/>
      <c r="C24" s="156" t="s">
        <v>326</v>
      </c>
      <c r="D24" s="11" t="s">
        <v>67</v>
      </c>
      <c r="E24" s="152" t="s">
        <v>593</v>
      </c>
      <c r="F24" s="152">
        <v>6</v>
      </c>
      <c r="G24" s="152">
        <v>13</v>
      </c>
      <c r="H24" s="78">
        <v>56.32</v>
      </c>
      <c r="I24" s="31">
        <v>16384</v>
      </c>
      <c r="J24" s="152" t="s">
        <v>581</v>
      </c>
      <c r="K24" s="156" t="s">
        <v>579</v>
      </c>
      <c r="L24" s="152">
        <v>2.6</v>
      </c>
      <c r="M24" s="78"/>
      <c r="N24" s="152"/>
      <c r="O24" s="152"/>
      <c r="P24" s="152"/>
      <c r="Q24" s="78"/>
      <c r="R24" s="152"/>
      <c r="S24" s="152"/>
      <c r="T24" s="152"/>
      <c r="U24" s="78"/>
      <c r="V24" s="152"/>
      <c r="W24" s="152"/>
      <c r="X24" s="152"/>
      <c r="Y24" s="78"/>
      <c r="Z24" s="152"/>
      <c r="AA24" s="152"/>
      <c r="AB24" s="152"/>
      <c r="AC24" s="78"/>
      <c r="AD24" s="152"/>
      <c r="AE24" s="152"/>
      <c r="AF24" s="152"/>
      <c r="AG24" s="78">
        <f t="shared" si="0"/>
        <v>112.64</v>
      </c>
      <c r="AH24" s="152" t="s">
        <v>581</v>
      </c>
      <c r="AI24" s="156" t="s">
        <v>579</v>
      </c>
      <c r="AJ24" s="152" t="s">
        <v>575</v>
      </c>
      <c r="AK24" s="152"/>
      <c r="AL24" s="152"/>
      <c r="AM24" s="152"/>
      <c r="AN24" s="152"/>
      <c r="AO24" s="152"/>
      <c r="AP24" s="152"/>
      <c r="AQ24" s="152"/>
      <c r="AR24" s="152"/>
      <c r="AS24" s="152">
        <v>87.04</v>
      </c>
      <c r="AT24" s="152" t="s">
        <v>581</v>
      </c>
      <c r="AU24" s="156" t="s">
        <v>579</v>
      </c>
      <c r="AV24" s="152">
        <f>50/1000</f>
        <v>0.05</v>
      </c>
      <c r="AW24" s="152"/>
      <c r="AX24" s="152"/>
      <c r="AY24" s="152"/>
      <c r="AZ24" s="152"/>
      <c r="BA24" s="152">
        <v>3</v>
      </c>
      <c r="BB24" s="152" t="s">
        <v>329</v>
      </c>
      <c r="BC24" s="152"/>
      <c r="BD24" s="152"/>
      <c r="BE24" s="152">
        <v>2</v>
      </c>
      <c r="BF24" s="152"/>
      <c r="BG24" s="152"/>
      <c r="BH24" s="152" t="s">
        <v>329</v>
      </c>
      <c r="BI24" s="152"/>
      <c r="BJ24" s="152"/>
      <c r="BK24" s="152"/>
      <c r="BL24" s="152"/>
    </row>
    <row r="25" spans="1:64">
      <c r="A25" s="156" t="s">
        <v>361</v>
      </c>
      <c r="B25" s="156"/>
      <c r="C25" s="156" t="s">
        <v>326</v>
      </c>
      <c r="D25" s="11" t="s">
        <v>71</v>
      </c>
      <c r="E25" s="152" t="s">
        <v>594</v>
      </c>
      <c r="F25" s="152">
        <v>5</v>
      </c>
      <c r="G25" s="152">
        <v>7</v>
      </c>
      <c r="H25" s="78">
        <v>40.96</v>
      </c>
      <c r="I25" s="31">
        <v>4096</v>
      </c>
      <c r="J25" s="152" t="s">
        <v>581</v>
      </c>
      <c r="K25" s="156" t="s">
        <v>579</v>
      </c>
      <c r="L25" s="152">
        <v>2.6</v>
      </c>
      <c r="M25" s="78"/>
      <c r="N25" s="152"/>
      <c r="O25" s="152"/>
      <c r="P25" s="152"/>
      <c r="Q25" s="78"/>
      <c r="R25" s="152"/>
      <c r="S25" s="152"/>
      <c r="T25" s="152"/>
      <c r="U25" s="78"/>
      <c r="V25" s="152"/>
      <c r="W25" s="152"/>
      <c r="X25" s="152"/>
      <c r="Y25" s="78"/>
      <c r="Z25" s="152"/>
      <c r="AA25" s="152"/>
      <c r="AB25" s="152"/>
      <c r="AC25" s="78"/>
      <c r="AD25" s="152"/>
      <c r="AE25" s="152"/>
      <c r="AF25" s="152"/>
      <c r="AG25" s="78">
        <f t="shared" si="0"/>
        <v>81.92</v>
      </c>
      <c r="AH25" s="152" t="s">
        <v>581</v>
      </c>
      <c r="AI25" s="156" t="s">
        <v>579</v>
      </c>
      <c r="AJ25" s="152" t="s">
        <v>575</v>
      </c>
      <c r="AK25" s="152"/>
      <c r="AL25" s="152"/>
      <c r="AM25" s="152"/>
      <c r="AN25" s="152"/>
      <c r="AO25" s="152"/>
      <c r="AP25" s="152"/>
      <c r="AQ25" s="152"/>
      <c r="AR25" s="152"/>
      <c r="AS25" s="152"/>
      <c r="AT25" s="152"/>
      <c r="AU25" s="152"/>
      <c r="AV25" s="152"/>
      <c r="AW25" s="152"/>
      <c r="AX25" s="152"/>
      <c r="AY25" s="152"/>
      <c r="AZ25" s="152"/>
      <c r="BA25" s="152">
        <v>2</v>
      </c>
      <c r="BB25" s="152" t="s">
        <v>329</v>
      </c>
      <c r="BC25" s="152"/>
      <c r="BD25" s="152"/>
      <c r="BE25" s="152">
        <v>2</v>
      </c>
      <c r="BF25" s="152"/>
      <c r="BG25" s="152"/>
      <c r="BH25" s="152" t="s">
        <v>329</v>
      </c>
      <c r="BI25" s="152"/>
      <c r="BJ25" s="152"/>
      <c r="BK25" s="152"/>
      <c r="BL25" s="152"/>
    </row>
    <row r="26" spans="1:64">
      <c r="A26" s="156" t="s">
        <v>363</v>
      </c>
      <c r="B26" s="156"/>
      <c r="C26" s="156" t="s">
        <v>326</v>
      </c>
      <c r="D26" s="11" t="s">
        <v>71</v>
      </c>
      <c r="E26" s="152" t="s">
        <v>594</v>
      </c>
      <c r="F26" s="152">
        <v>5</v>
      </c>
      <c r="G26" s="152">
        <v>7</v>
      </c>
      <c r="H26" s="78">
        <v>40.96</v>
      </c>
      <c r="I26" s="31">
        <v>4096</v>
      </c>
      <c r="J26" s="152" t="s">
        <v>581</v>
      </c>
      <c r="K26" s="156" t="s">
        <v>579</v>
      </c>
      <c r="L26" s="152">
        <v>2.6</v>
      </c>
      <c r="M26" s="78"/>
      <c r="N26" s="152"/>
      <c r="O26" s="152"/>
      <c r="P26" s="152"/>
      <c r="Q26" s="78"/>
      <c r="R26" s="152"/>
      <c r="S26" s="152"/>
      <c r="T26" s="152"/>
      <c r="U26" s="78"/>
      <c r="V26" s="152"/>
      <c r="W26" s="152"/>
      <c r="X26" s="152"/>
      <c r="Y26" s="78"/>
      <c r="Z26" s="152"/>
      <c r="AA26" s="152"/>
      <c r="AB26" s="152"/>
      <c r="AC26" s="78"/>
      <c r="AD26" s="152"/>
      <c r="AE26" s="152"/>
      <c r="AF26" s="152"/>
      <c r="AG26" s="78">
        <f t="shared" si="0"/>
        <v>81.92</v>
      </c>
      <c r="AH26" s="152" t="s">
        <v>581</v>
      </c>
      <c r="AI26" s="156" t="s">
        <v>579</v>
      </c>
      <c r="AJ26" s="152" t="s">
        <v>575</v>
      </c>
      <c r="AK26" s="152"/>
      <c r="AL26" s="152"/>
      <c r="AM26" s="152"/>
      <c r="AN26" s="152"/>
      <c r="AO26" s="152"/>
      <c r="AP26" s="152"/>
      <c r="AQ26" s="152"/>
      <c r="AR26" s="152"/>
      <c r="AS26" s="152"/>
      <c r="AT26" s="152"/>
      <c r="AU26" s="152"/>
      <c r="AV26" s="152"/>
      <c r="AW26" s="152"/>
      <c r="AX26" s="152"/>
      <c r="AY26" s="152"/>
      <c r="AZ26" s="152"/>
      <c r="BA26" s="152">
        <v>2</v>
      </c>
      <c r="BB26" s="152" t="s">
        <v>329</v>
      </c>
      <c r="BC26" s="152"/>
      <c r="BD26" s="152"/>
      <c r="BE26" s="152">
        <v>2</v>
      </c>
      <c r="BF26" s="152"/>
      <c r="BG26" s="152"/>
      <c r="BH26" s="152" t="s">
        <v>329</v>
      </c>
      <c r="BI26" s="152"/>
      <c r="BJ26" s="152"/>
      <c r="BK26" s="152"/>
      <c r="BL26" s="152"/>
    </row>
    <row r="27" spans="1:64">
      <c r="A27" s="156" t="s">
        <v>484</v>
      </c>
      <c r="B27" s="156"/>
      <c r="C27" s="156" t="s">
        <v>326</v>
      </c>
      <c r="D27" s="11" t="s">
        <v>73</v>
      </c>
      <c r="E27" s="152" t="s">
        <v>595</v>
      </c>
      <c r="F27" s="152">
        <v>8</v>
      </c>
      <c r="G27" s="152">
        <v>34</v>
      </c>
      <c r="H27" s="78">
        <v>138.24</v>
      </c>
      <c r="I27" s="31">
        <v>16384</v>
      </c>
      <c r="J27" s="152" t="s">
        <v>581</v>
      </c>
      <c r="K27" s="156" t="s">
        <v>579</v>
      </c>
      <c r="L27" s="152">
        <v>2.6</v>
      </c>
      <c r="M27" s="78"/>
      <c r="N27" s="152"/>
      <c r="O27" s="152"/>
      <c r="P27" s="152"/>
      <c r="Q27" s="78"/>
      <c r="R27" s="152"/>
      <c r="S27" s="152"/>
      <c r="T27" s="152"/>
      <c r="U27" s="78"/>
      <c r="V27" s="152"/>
      <c r="W27" s="152"/>
      <c r="X27" s="152"/>
      <c r="Y27" s="78"/>
      <c r="Z27" s="152"/>
      <c r="AA27" s="152"/>
      <c r="AB27" s="152"/>
      <c r="AC27" s="78"/>
      <c r="AD27" s="152"/>
      <c r="AE27" s="152"/>
      <c r="AF27" s="152"/>
      <c r="AG27" s="78">
        <f t="shared" si="0"/>
        <v>276.48</v>
      </c>
      <c r="AH27" s="152" t="s">
        <v>581</v>
      </c>
      <c r="AI27" s="156" t="s">
        <v>579</v>
      </c>
      <c r="AJ27" s="152" t="s">
        <v>575</v>
      </c>
      <c r="AK27" s="152"/>
      <c r="AL27" s="152"/>
      <c r="AM27" s="152"/>
      <c r="AN27" s="152"/>
      <c r="AO27" s="152"/>
      <c r="AP27" s="152"/>
      <c r="AQ27" s="152"/>
      <c r="AR27" s="152"/>
      <c r="AS27" s="152"/>
      <c r="AT27" s="152"/>
      <c r="AU27" s="152"/>
      <c r="AV27" s="152"/>
      <c r="AW27" s="152"/>
      <c r="AX27" s="152"/>
      <c r="AY27" s="152"/>
      <c r="AZ27" s="152"/>
      <c r="BA27" s="152">
        <v>2</v>
      </c>
      <c r="BB27" s="152" t="s">
        <v>329</v>
      </c>
      <c r="BC27" s="152"/>
      <c r="BD27" s="152"/>
      <c r="BE27" s="152">
        <v>2</v>
      </c>
      <c r="BF27" s="152"/>
      <c r="BG27" s="152"/>
      <c r="BH27" s="152" t="s">
        <v>329</v>
      </c>
      <c r="BI27" s="152"/>
      <c r="BJ27" s="152"/>
      <c r="BK27" s="152"/>
      <c r="BL27" s="152"/>
    </row>
    <row r="28" spans="1:64">
      <c r="A28" s="156" t="s">
        <v>485</v>
      </c>
      <c r="B28" s="156"/>
      <c r="C28" s="156" t="s">
        <v>326</v>
      </c>
      <c r="D28" s="11" t="s">
        <v>73</v>
      </c>
      <c r="E28" s="152" t="s">
        <v>595</v>
      </c>
      <c r="F28" s="152">
        <v>8</v>
      </c>
      <c r="G28" s="152">
        <v>34</v>
      </c>
      <c r="H28" s="78">
        <v>138.24</v>
      </c>
      <c r="I28" s="31">
        <v>16384</v>
      </c>
      <c r="J28" s="152" t="s">
        <v>581</v>
      </c>
      <c r="K28" s="156" t="s">
        <v>579</v>
      </c>
      <c r="L28" s="152">
        <v>2.6</v>
      </c>
      <c r="M28" s="78"/>
      <c r="N28" s="152"/>
      <c r="O28" s="152"/>
      <c r="P28" s="152"/>
      <c r="Q28" s="78"/>
      <c r="R28" s="152"/>
      <c r="S28" s="152"/>
      <c r="T28" s="152"/>
      <c r="U28" s="78"/>
      <c r="V28" s="152"/>
      <c r="W28" s="152"/>
      <c r="X28" s="152"/>
      <c r="Y28" s="78"/>
      <c r="Z28" s="152"/>
      <c r="AA28" s="152"/>
      <c r="AB28" s="152"/>
      <c r="AC28" s="78"/>
      <c r="AD28" s="152"/>
      <c r="AE28" s="152"/>
      <c r="AF28" s="152"/>
      <c r="AG28" s="78">
        <f t="shared" si="0"/>
        <v>276.48</v>
      </c>
      <c r="AH28" s="152" t="s">
        <v>581</v>
      </c>
      <c r="AI28" s="156" t="s">
        <v>579</v>
      </c>
      <c r="AJ28" s="152" t="s">
        <v>575</v>
      </c>
      <c r="AK28" s="152"/>
      <c r="AL28" s="152"/>
      <c r="AM28" s="152"/>
      <c r="AN28" s="152"/>
      <c r="AO28" s="152"/>
      <c r="AP28" s="152"/>
      <c r="AQ28" s="152"/>
      <c r="AR28" s="152"/>
      <c r="AS28" s="152"/>
      <c r="AT28" s="152"/>
      <c r="AU28" s="152"/>
      <c r="AV28" s="152"/>
      <c r="AW28" s="152"/>
      <c r="AX28" s="152"/>
      <c r="AY28" s="152"/>
      <c r="AZ28" s="152"/>
      <c r="BA28" s="152">
        <v>2</v>
      </c>
      <c r="BB28" s="152" t="s">
        <v>329</v>
      </c>
      <c r="BC28" s="152"/>
      <c r="BD28" s="152"/>
      <c r="BE28" s="152">
        <v>2</v>
      </c>
      <c r="BF28" s="152"/>
      <c r="BG28" s="152"/>
      <c r="BH28" s="152" t="s">
        <v>329</v>
      </c>
      <c r="BI28" s="152"/>
      <c r="BJ28" s="152"/>
      <c r="BK28" s="152"/>
      <c r="BL28" s="152"/>
    </row>
    <row r="29" spans="1:64">
      <c r="A29" s="156" t="s">
        <v>486</v>
      </c>
      <c r="B29" s="156"/>
      <c r="C29" s="156" t="s">
        <v>326</v>
      </c>
      <c r="D29" s="11" t="s">
        <v>73</v>
      </c>
      <c r="E29" s="152" t="s">
        <v>595</v>
      </c>
      <c r="F29" s="152">
        <v>8</v>
      </c>
      <c r="G29" s="152">
        <v>34</v>
      </c>
      <c r="H29" s="78">
        <v>138.24</v>
      </c>
      <c r="I29" s="31">
        <v>16384</v>
      </c>
      <c r="J29" s="152" t="s">
        <v>581</v>
      </c>
      <c r="K29" s="156" t="s">
        <v>579</v>
      </c>
      <c r="L29" s="152">
        <v>2.6</v>
      </c>
      <c r="M29" s="78"/>
      <c r="N29" s="152"/>
      <c r="O29" s="152"/>
      <c r="P29" s="152"/>
      <c r="Q29" s="78"/>
      <c r="R29" s="152"/>
      <c r="S29" s="152"/>
      <c r="T29" s="152"/>
      <c r="U29" s="78"/>
      <c r="V29" s="152"/>
      <c r="W29" s="152"/>
      <c r="X29" s="152"/>
      <c r="Y29" s="78"/>
      <c r="Z29" s="152"/>
      <c r="AA29" s="152"/>
      <c r="AB29" s="152"/>
      <c r="AC29" s="78"/>
      <c r="AD29" s="152"/>
      <c r="AE29" s="152"/>
      <c r="AF29" s="152"/>
      <c r="AG29" s="78">
        <f t="shared" si="0"/>
        <v>276.48</v>
      </c>
      <c r="AH29" s="152" t="s">
        <v>581</v>
      </c>
      <c r="AI29" s="156" t="s">
        <v>579</v>
      </c>
      <c r="AJ29" s="152" t="s">
        <v>575</v>
      </c>
      <c r="AK29" s="152"/>
      <c r="AL29" s="152"/>
      <c r="AM29" s="152"/>
      <c r="AN29" s="152"/>
      <c r="AO29" s="152"/>
      <c r="AP29" s="152"/>
      <c r="AQ29" s="152"/>
      <c r="AR29" s="152"/>
      <c r="AS29" s="152"/>
      <c r="AT29" s="152"/>
      <c r="AU29" s="152"/>
      <c r="AV29" s="152"/>
      <c r="AW29" s="152"/>
      <c r="AX29" s="152"/>
      <c r="AY29" s="152"/>
      <c r="AZ29" s="152"/>
      <c r="BA29" s="152">
        <v>2</v>
      </c>
      <c r="BB29" s="152" t="s">
        <v>329</v>
      </c>
      <c r="BC29" s="152"/>
      <c r="BD29" s="152"/>
      <c r="BE29" s="152">
        <v>2</v>
      </c>
      <c r="BF29" s="152"/>
      <c r="BG29" s="152"/>
      <c r="BH29" s="152" t="s">
        <v>329</v>
      </c>
      <c r="BI29" s="152"/>
      <c r="BJ29" s="152"/>
      <c r="BK29" s="152"/>
      <c r="BL29" s="152"/>
    </row>
    <row r="30" spans="1:64">
      <c r="A30" s="156" t="s">
        <v>487</v>
      </c>
      <c r="B30" s="156"/>
      <c r="C30" s="156" t="s">
        <v>326</v>
      </c>
      <c r="D30" s="11" t="s">
        <v>73</v>
      </c>
      <c r="E30" s="152" t="s">
        <v>595</v>
      </c>
      <c r="F30" s="152">
        <v>8</v>
      </c>
      <c r="G30" s="152">
        <v>34</v>
      </c>
      <c r="H30" s="78">
        <v>138.24</v>
      </c>
      <c r="I30" s="31">
        <v>16384</v>
      </c>
      <c r="J30" s="152" t="s">
        <v>581</v>
      </c>
      <c r="K30" s="156" t="s">
        <v>579</v>
      </c>
      <c r="L30" s="152">
        <v>2.6</v>
      </c>
      <c r="M30" s="78"/>
      <c r="N30" s="152"/>
      <c r="O30" s="152"/>
      <c r="P30" s="152"/>
      <c r="Q30" s="78"/>
      <c r="R30" s="152"/>
      <c r="S30" s="152"/>
      <c r="T30" s="152"/>
      <c r="U30" s="78"/>
      <c r="V30" s="152"/>
      <c r="W30" s="152"/>
      <c r="X30" s="152"/>
      <c r="Y30" s="78"/>
      <c r="Z30" s="152"/>
      <c r="AA30" s="152"/>
      <c r="AB30" s="152"/>
      <c r="AC30" s="78"/>
      <c r="AD30" s="152"/>
      <c r="AE30" s="152"/>
      <c r="AF30" s="152"/>
      <c r="AG30" s="78">
        <f t="shared" si="0"/>
        <v>276.48</v>
      </c>
      <c r="AH30" s="152" t="s">
        <v>581</v>
      </c>
      <c r="AI30" s="156" t="s">
        <v>579</v>
      </c>
      <c r="AJ30" s="152" t="s">
        <v>575</v>
      </c>
      <c r="AK30" s="152"/>
      <c r="AL30" s="152"/>
      <c r="AM30" s="152"/>
      <c r="AN30" s="152"/>
      <c r="AO30" s="152"/>
      <c r="AP30" s="152"/>
      <c r="AQ30" s="152"/>
      <c r="AR30" s="152"/>
      <c r="AS30" s="152"/>
      <c r="AT30" s="152"/>
      <c r="AU30" s="152"/>
      <c r="AV30" s="152"/>
      <c r="AW30" s="152"/>
      <c r="AX30" s="152"/>
      <c r="AY30" s="152"/>
      <c r="AZ30" s="152"/>
      <c r="BA30" s="152">
        <v>2</v>
      </c>
      <c r="BB30" s="152" t="s">
        <v>329</v>
      </c>
      <c r="BC30" s="152"/>
      <c r="BD30" s="152"/>
      <c r="BE30" s="152">
        <v>2</v>
      </c>
      <c r="BF30" s="152"/>
      <c r="BG30" s="152"/>
      <c r="BH30" s="152" t="s">
        <v>329</v>
      </c>
      <c r="BI30" s="152"/>
      <c r="BJ30" s="152"/>
      <c r="BK30" s="152"/>
      <c r="BL30" s="152"/>
    </row>
    <row r="31" spans="1:64">
      <c r="A31" s="156" t="s">
        <v>488</v>
      </c>
      <c r="B31" s="156"/>
      <c r="C31" s="156" t="s">
        <v>326</v>
      </c>
      <c r="D31" s="11" t="s">
        <v>73</v>
      </c>
      <c r="E31" s="152" t="s">
        <v>595</v>
      </c>
      <c r="F31" s="152">
        <v>8</v>
      </c>
      <c r="G31" s="152">
        <v>34</v>
      </c>
      <c r="H31" s="78">
        <v>138.24</v>
      </c>
      <c r="I31" s="31">
        <v>16384</v>
      </c>
      <c r="J31" s="152" t="s">
        <v>581</v>
      </c>
      <c r="K31" s="156" t="s">
        <v>579</v>
      </c>
      <c r="L31" s="152">
        <v>2.6</v>
      </c>
      <c r="M31" s="78"/>
      <c r="N31" s="152"/>
      <c r="O31" s="152"/>
      <c r="P31" s="152"/>
      <c r="Q31" s="78"/>
      <c r="R31" s="152"/>
      <c r="S31" s="152"/>
      <c r="T31" s="152"/>
      <c r="U31" s="78"/>
      <c r="V31" s="152"/>
      <c r="W31" s="152"/>
      <c r="X31" s="152"/>
      <c r="Y31" s="78"/>
      <c r="Z31" s="152"/>
      <c r="AA31" s="152"/>
      <c r="AB31" s="152"/>
      <c r="AC31" s="78"/>
      <c r="AD31" s="152"/>
      <c r="AE31" s="152"/>
      <c r="AF31" s="152"/>
      <c r="AG31" s="78">
        <f t="shared" si="0"/>
        <v>276.48</v>
      </c>
      <c r="AH31" s="152" t="s">
        <v>581</v>
      </c>
      <c r="AI31" s="156" t="s">
        <v>579</v>
      </c>
      <c r="AJ31" s="152" t="s">
        <v>575</v>
      </c>
      <c r="AK31" s="152"/>
      <c r="AL31" s="152"/>
      <c r="AM31" s="152"/>
      <c r="AN31" s="152"/>
      <c r="AO31" s="152"/>
      <c r="AP31" s="152"/>
      <c r="AQ31" s="152"/>
      <c r="AR31" s="152"/>
      <c r="AS31" s="152"/>
      <c r="AT31" s="152"/>
      <c r="AU31" s="152"/>
      <c r="AV31" s="152"/>
      <c r="AW31" s="152"/>
      <c r="AX31" s="152"/>
      <c r="AY31" s="152"/>
      <c r="AZ31" s="152"/>
      <c r="BA31" s="152">
        <v>2</v>
      </c>
      <c r="BB31" s="152" t="s">
        <v>329</v>
      </c>
      <c r="BC31" s="152"/>
      <c r="BD31" s="152"/>
      <c r="BE31" s="152">
        <v>2</v>
      </c>
      <c r="BF31" s="152"/>
      <c r="BG31" s="152"/>
      <c r="BH31" s="152" t="s">
        <v>329</v>
      </c>
      <c r="BI31" s="152"/>
      <c r="BJ31" s="152"/>
      <c r="BK31" s="152"/>
      <c r="BL31" s="152"/>
    </row>
    <row r="32" spans="1:64">
      <c r="A32" s="156" t="s">
        <v>489</v>
      </c>
      <c r="B32" s="156"/>
      <c r="C32" s="156" t="s">
        <v>326</v>
      </c>
      <c r="D32" s="11" t="s">
        <v>73</v>
      </c>
      <c r="E32" s="152" t="s">
        <v>595</v>
      </c>
      <c r="F32" s="152">
        <v>8</v>
      </c>
      <c r="G32" s="152">
        <v>34</v>
      </c>
      <c r="H32" s="78">
        <v>138.24</v>
      </c>
      <c r="I32" s="31">
        <v>16384</v>
      </c>
      <c r="J32" s="152" t="s">
        <v>581</v>
      </c>
      <c r="K32" s="156" t="s">
        <v>579</v>
      </c>
      <c r="L32" s="152">
        <v>2.6</v>
      </c>
      <c r="M32" s="78"/>
      <c r="N32" s="152"/>
      <c r="O32" s="152"/>
      <c r="P32" s="152"/>
      <c r="Q32" s="78"/>
      <c r="R32" s="152"/>
      <c r="S32" s="152"/>
      <c r="T32" s="152"/>
      <c r="U32" s="78"/>
      <c r="V32" s="152"/>
      <c r="W32" s="152"/>
      <c r="X32" s="152"/>
      <c r="Y32" s="78"/>
      <c r="Z32" s="152"/>
      <c r="AA32" s="152"/>
      <c r="AB32" s="152"/>
      <c r="AC32" s="78"/>
      <c r="AD32" s="152"/>
      <c r="AE32" s="152"/>
      <c r="AF32" s="152"/>
      <c r="AG32" s="78">
        <f t="shared" si="0"/>
        <v>276.48</v>
      </c>
      <c r="AH32" s="152" t="s">
        <v>581</v>
      </c>
      <c r="AI32" s="156" t="s">
        <v>579</v>
      </c>
      <c r="AJ32" s="152" t="s">
        <v>575</v>
      </c>
      <c r="AK32" s="152"/>
      <c r="AL32" s="152"/>
      <c r="AM32" s="152"/>
      <c r="AN32" s="152"/>
      <c r="AO32" s="152"/>
      <c r="AP32" s="152"/>
      <c r="AQ32" s="152"/>
      <c r="AR32" s="152"/>
      <c r="AS32" s="152"/>
      <c r="AT32" s="152"/>
      <c r="AU32" s="152"/>
      <c r="AV32" s="152"/>
      <c r="AW32" s="152"/>
      <c r="AX32" s="152"/>
      <c r="AY32" s="152"/>
      <c r="AZ32" s="152"/>
      <c r="BA32" s="152">
        <v>2</v>
      </c>
      <c r="BB32" s="152" t="s">
        <v>329</v>
      </c>
      <c r="BC32" s="152"/>
      <c r="BD32" s="152"/>
      <c r="BE32" s="152">
        <v>2</v>
      </c>
      <c r="BF32" s="152"/>
      <c r="BG32" s="152"/>
      <c r="BH32" s="152" t="s">
        <v>329</v>
      </c>
      <c r="BI32" s="152"/>
      <c r="BJ32" s="152"/>
      <c r="BK32" s="152"/>
      <c r="BL32" s="152"/>
    </row>
    <row r="33" spans="1:64">
      <c r="A33" s="156" t="s">
        <v>502</v>
      </c>
      <c r="B33" s="156"/>
      <c r="C33" s="156" t="s">
        <v>326</v>
      </c>
      <c r="D33" s="11" t="s">
        <v>73</v>
      </c>
      <c r="E33" s="152" t="s">
        <v>595</v>
      </c>
      <c r="F33" s="152">
        <v>8</v>
      </c>
      <c r="G33" s="152">
        <v>34</v>
      </c>
      <c r="H33" s="78">
        <v>138.24</v>
      </c>
      <c r="I33" s="31">
        <v>16384</v>
      </c>
      <c r="J33" s="152" t="s">
        <v>581</v>
      </c>
      <c r="K33" s="156" t="s">
        <v>579</v>
      </c>
      <c r="L33" s="152">
        <v>2.6</v>
      </c>
      <c r="M33" s="78"/>
      <c r="N33" s="152"/>
      <c r="O33" s="152"/>
      <c r="P33" s="152"/>
      <c r="Q33" s="78"/>
      <c r="R33" s="152"/>
      <c r="S33" s="152"/>
      <c r="T33" s="152"/>
      <c r="U33" s="78"/>
      <c r="V33" s="152"/>
      <c r="W33" s="152"/>
      <c r="X33" s="152"/>
      <c r="Y33" s="78"/>
      <c r="Z33" s="152"/>
      <c r="AA33" s="152"/>
      <c r="AB33" s="152"/>
      <c r="AC33" s="78"/>
      <c r="AD33" s="152"/>
      <c r="AE33" s="152"/>
      <c r="AF33" s="152"/>
      <c r="AG33" s="78">
        <f t="shared" si="0"/>
        <v>276.48</v>
      </c>
      <c r="AH33" s="152" t="s">
        <v>581</v>
      </c>
      <c r="AI33" s="156" t="s">
        <v>579</v>
      </c>
      <c r="AJ33" s="152" t="s">
        <v>575</v>
      </c>
      <c r="AK33" s="152"/>
      <c r="AL33" s="152"/>
      <c r="AM33" s="152"/>
      <c r="AN33" s="152"/>
      <c r="AO33" s="152"/>
      <c r="AP33" s="152"/>
      <c r="AQ33" s="152"/>
      <c r="AR33" s="152"/>
      <c r="AS33" s="152"/>
      <c r="AT33" s="152"/>
      <c r="AU33" s="152"/>
      <c r="AV33" s="152"/>
      <c r="AW33" s="152"/>
      <c r="AX33" s="152"/>
      <c r="AY33" s="152"/>
      <c r="AZ33" s="152"/>
      <c r="BA33" s="152">
        <v>2</v>
      </c>
      <c r="BB33" s="152" t="s">
        <v>329</v>
      </c>
      <c r="BC33" s="152"/>
      <c r="BD33" s="152"/>
      <c r="BE33" s="152">
        <v>2</v>
      </c>
      <c r="BF33" s="152"/>
      <c r="BG33" s="152"/>
      <c r="BH33" s="152" t="s">
        <v>329</v>
      </c>
      <c r="BI33" s="152"/>
      <c r="BJ33" s="152"/>
      <c r="BK33" s="152"/>
      <c r="BL33" s="152"/>
    </row>
    <row r="34" spans="1:64">
      <c r="A34" s="156" t="s">
        <v>503</v>
      </c>
      <c r="B34" s="156"/>
      <c r="C34" s="156" t="s">
        <v>326</v>
      </c>
      <c r="D34" s="11" t="s">
        <v>73</v>
      </c>
      <c r="E34" s="152" t="s">
        <v>595</v>
      </c>
      <c r="F34" s="152">
        <v>8</v>
      </c>
      <c r="G34" s="152">
        <v>34</v>
      </c>
      <c r="H34" s="78">
        <v>138.24</v>
      </c>
      <c r="I34" s="31">
        <v>16384</v>
      </c>
      <c r="J34" s="152" t="s">
        <v>581</v>
      </c>
      <c r="K34" s="156" t="s">
        <v>579</v>
      </c>
      <c r="L34" s="152">
        <v>2.6</v>
      </c>
      <c r="M34" s="78"/>
      <c r="N34" s="152"/>
      <c r="O34" s="152"/>
      <c r="P34" s="152"/>
      <c r="Q34" s="78"/>
      <c r="R34" s="152"/>
      <c r="S34" s="152"/>
      <c r="T34" s="152"/>
      <c r="U34" s="78"/>
      <c r="V34" s="152"/>
      <c r="W34" s="152"/>
      <c r="X34" s="152"/>
      <c r="Y34" s="78"/>
      <c r="Z34" s="152"/>
      <c r="AA34" s="152"/>
      <c r="AB34" s="152"/>
      <c r="AC34" s="78"/>
      <c r="AD34" s="152"/>
      <c r="AE34" s="152"/>
      <c r="AF34" s="152"/>
      <c r="AG34" s="78">
        <f t="shared" si="0"/>
        <v>276.48</v>
      </c>
      <c r="AH34" s="152" t="s">
        <v>581</v>
      </c>
      <c r="AI34" s="156" t="s">
        <v>579</v>
      </c>
      <c r="AJ34" s="152" t="s">
        <v>575</v>
      </c>
      <c r="AK34" s="152"/>
      <c r="AL34" s="152"/>
      <c r="AM34" s="152"/>
      <c r="AN34" s="152"/>
      <c r="AO34" s="152"/>
      <c r="AP34" s="152"/>
      <c r="AQ34" s="152"/>
      <c r="AR34" s="152"/>
      <c r="AS34" s="152"/>
      <c r="AT34" s="152"/>
      <c r="AU34" s="152"/>
      <c r="AV34" s="152"/>
      <c r="AW34" s="152"/>
      <c r="AX34" s="152"/>
      <c r="AY34" s="152"/>
      <c r="AZ34" s="152"/>
      <c r="BA34" s="152">
        <v>2</v>
      </c>
      <c r="BB34" s="152" t="s">
        <v>329</v>
      </c>
      <c r="BC34" s="152"/>
      <c r="BD34" s="152"/>
      <c r="BE34" s="152">
        <v>2</v>
      </c>
      <c r="BF34" s="152"/>
      <c r="BG34" s="152"/>
      <c r="BH34" s="152" t="s">
        <v>329</v>
      </c>
      <c r="BI34" s="152"/>
      <c r="BJ34" s="152"/>
      <c r="BK34" s="152"/>
      <c r="BL34" s="152"/>
    </row>
    <row r="35" spans="1:64">
      <c r="A35" s="156" t="s">
        <v>504</v>
      </c>
      <c r="B35" s="156"/>
      <c r="C35" s="11" t="s">
        <v>362</v>
      </c>
      <c r="D35" s="156" t="s">
        <v>75</v>
      </c>
      <c r="E35" s="152" t="s">
        <v>596</v>
      </c>
      <c r="F35" s="152">
        <v>4</v>
      </c>
      <c r="G35" s="152">
        <v>4</v>
      </c>
      <c r="H35" s="78">
        <v>102.4</v>
      </c>
      <c r="I35" s="31">
        <v>0</v>
      </c>
      <c r="J35" s="152" t="s">
        <v>578</v>
      </c>
      <c r="K35" s="156" t="s">
        <v>579</v>
      </c>
      <c r="L35" s="152">
        <v>100</v>
      </c>
      <c r="M35" s="78"/>
      <c r="N35" s="152"/>
      <c r="O35" s="152"/>
      <c r="P35" s="152"/>
      <c r="Q35" s="78"/>
      <c r="R35" s="152"/>
      <c r="S35" s="152"/>
      <c r="T35" s="152"/>
      <c r="U35" s="78"/>
      <c r="V35" s="152"/>
      <c r="W35" s="152"/>
      <c r="X35" s="152"/>
      <c r="Y35" s="78"/>
      <c r="Z35" s="152"/>
      <c r="AA35" s="152"/>
      <c r="AB35" s="152"/>
      <c r="AC35" s="78"/>
      <c r="AD35" s="152"/>
      <c r="AE35" s="152"/>
      <c r="AF35" s="152"/>
      <c r="AG35" s="78">
        <f t="shared" si="0"/>
        <v>204.8</v>
      </c>
      <c r="AH35" s="152" t="s">
        <v>581</v>
      </c>
      <c r="AI35" s="156" t="s">
        <v>579</v>
      </c>
      <c r="AJ35" s="152" t="s">
        <v>575</v>
      </c>
      <c r="AK35" s="152"/>
      <c r="AL35" s="152"/>
      <c r="AM35" s="152"/>
      <c r="AN35" s="152"/>
      <c r="AO35" s="152"/>
      <c r="AP35" s="152"/>
      <c r="AQ35" s="152"/>
      <c r="AR35" s="152"/>
      <c r="AS35" s="152"/>
      <c r="AT35" s="152"/>
      <c r="AU35" s="152"/>
      <c r="AV35" s="152"/>
      <c r="AW35" s="152"/>
      <c r="AX35" s="152"/>
      <c r="AY35" s="152"/>
      <c r="AZ35" s="152"/>
      <c r="BA35" s="152">
        <v>4</v>
      </c>
      <c r="BB35" s="152" t="s">
        <v>329</v>
      </c>
      <c r="BC35" s="152"/>
      <c r="BD35" s="152"/>
      <c r="BE35" s="152">
        <v>2</v>
      </c>
      <c r="BF35" s="152"/>
      <c r="BG35" s="152"/>
      <c r="BH35" s="152" t="s">
        <v>329</v>
      </c>
      <c r="BI35" s="152"/>
      <c r="BJ35" s="152"/>
      <c r="BK35" s="152"/>
      <c r="BL35" s="152"/>
    </row>
    <row r="36" spans="1:64">
      <c r="A36" s="156" t="s">
        <v>505</v>
      </c>
      <c r="B36" s="156"/>
      <c r="C36" s="11" t="s">
        <v>362</v>
      </c>
      <c r="D36" s="156" t="s">
        <v>79</v>
      </c>
      <c r="E36" s="152" t="s">
        <v>597</v>
      </c>
      <c r="F36" s="152">
        <v>4</v>
      </c>
      <c r="G36" s="152">
        <v>16</v>
      </c>
      <c r="H36" s="78">
        <v>102.4</v>
      </c>
      <c r="I36" s="31">
        <v>0</v>
      </c>
      <c r="J36" s="152" t="s">
        <v>578</v>
      </c>
      <c r="K36" s="156" t="s">
        <v>579</v>
      </c>
      <c r="L36" s="152">
        <v>110</v>
      </c>
      <c r="M36" s="78"/>
      <c r="N36" s="152"/>
      <c r="O36" s="152"/>
      <c r="P36" s="152"/>
      <c r="Q36" s="78"/>
      <c r="R36" s="152"/>
      <c r="S36" s="152"/>
      <c r="T36" s="152"/>
      <c r="U36" s="78"/>
      <c r="V36" s="152"/>
      <c r="W36" s="152"/>
      <c r="X36" s="152"/>
      <c r="Y36" s="78"/>
      <c r="Z36" s="152"/>
      <c r="AA36" s="152"/>
      <c r="AB36" s="152"/>
      <c r="AC36" s="78"/>
      <c r="AD36" s="152"/>
      <c r="AE36" s="152"/>
      <c r="AF36" s="152"/>
      <c r="AG36" s="78">
        <f t="shared" si="0"/>
        <v>204.8</v>
      </c>
      <c r="AH36" s="152" t="s">
        <v>581</v>
      </c>
      <c r="AI36" s="156" t="s">
        <v>579</v>
      </c>
      <c r="AJ36" s="152" t="s">
        <v>575</v>
      </c>
      <c r="AK36" s="152"/>
      <c r="AL36" s="152"/>
      <c r="AM36" s="152"/>
      <c r="AN36" s="152"/>
      <c r="AO36" s="152"/>
      <c r="AP36" s="152"/>
      <c r="AQ36" s="152"/>
      <c r="AR36" s="152"/>
      <c r="AS36" s="152"/>
      <c r="AT36" s="152"/>
      <c r="AU36" s="152"/>
      <c r="AV36" s="152"/>
      <c r="AW36" s="152"/>
      <c r="AX36" s="152"/>
      <c r="AY36" s="152"/>
      <c r="AZ36" s="152"/>
      <c r="BA36" s="152">
        <v>4</v>
      </c>
      <c r="BB36" s="152" t="s">
        <v>329</v>
      </c>
      <c r="BC36" s="152"/>
      <c r="BD36" s="152"/>
      <c r="BE36" s="152">
        <v>2</v>
      </c>
      <c r="BF36" s="152"/>
      <c r="BG36" s="152"/>
      <c r="BH36" s="152" t="s">
        <v>329</v>
      </c>
      <c r="BI36" s="152"/>
      <c r="BJ36" s="152"/>
      <c r="BK36" s="152"/>
      <c r="BL36" s="152"/>
    </row>
    <row r="37" spans="1:64">
      <c r="A37" s="156" t="s">
        <v>364</v>
      </c>
      <c r="B37" s="156"/>
      <c r="C37" s="11" t="s">
        <v>362</v>
      </c>
      <c r="D37" s="156" t="s">
        <v>77</v>
      </c>
      <c r="E37" s="152" t="s">
        <v>598</v>
      </c>
      <c r="F37" s="152">
        <v>4</v>
      </c>
      <c r="G37" s="152">
        <v>14</v>
      </c>
      <c r="H37" s="78">
        <v>102.4</v>
      </c>
      <c r="I37" s="31">
        <v>0</v>
      </c>
      <c r="J37" s="152" t="s">
        <v>578</v>
      </c>
      <c r="K37" s="156" t="s">
        <v>579</v>
      </c>
      <c r="L37" s="152">
        <v>100</v>
      </c>
      <c r="M37" s="78"/>
      <c r="N37" s="152"/>
      <c r="O37" s="152"/>
      <c r="P37" s="152"/>
      <c r="Q37" s="78"/>
      <c r="R37" s="152"/>
      <c r="S37" s="152"/>
      <c r="T37" s="152"/>
      <c r="U37" s="78"/>
      <c r="V37" s="152"/>
      <c r="W37" s="152"/>
      <c r="X37" s="152"/>
      <c r="Y37" s="78"/>
      <c r="Z37" s="152"/>
      <c r="AA37" s="152"/>
      <c r="AB37" s="152"/>
      <c r="AC37" s="78"/>
      <c r="AD37" s="152"/>
      <c r="AE37" s="152"/>
      <c r="AF37" s="152"/>
      <c r="AG37" s="78">
        <f t="shared" si="0"/>
        <v>204.8</v>
      </c>
      <c r="AH37" s="152" t="s">
        <v>581</v>
      </c>
      <c r="AI37" s="156" t="s">
        <v>579</v>
      </c>
      <c r="AJ37" s="152" t="s">
        <v>575</v>
      </c>
      <c r="AK37" s="152"/>
      <c r="AL37" s="152"/>
      <c r="AM37" s="152"/>
      <c r="AN37" s="152"/>
      <c r="AO37" s="152"/>
      <c r="AP37" s="152"/>
      <c r="AQ37" s="152"/>
      <c r="AR37" s="152"/>
      <c r="AS37" s="152"/>
      <c r="AT37" s="152"/>
      <c r="AU37" s="152"/>
      <c r="AV37" s="152"/>
      <c r="AW37" s="152"/>
      <c r="AX37" s="152"/>
      <c r="AY37" s="152"/>
      <c r="AZ37" s="152"/>
      <c r="BA37" s="152">
        <v>4</v>
      </c>
      <c r="BB37" s="152" t="s">
        <v>329</v>
      </c>
      <c r="BC37" s="152"/>
      <c r="BD37" s="152"/>
      <c r="BE37" s="152">
        <v>2</v>
      </c>
      <c r="BF37" s="152"/>
      <c r="BG37" s="152"/>
      <c r="BH37" s="152" t="s">
        <v>329</v>
      </c>
      <c r="BI37" s="152"/>
      <c r="BJ37" s="152"/>
      <c r="BK37" s="152"/>
      <c r="BL37" s="152"/>
    </row>
    <row r="38" spans="1:64">
      <c r="A38" s="156" t="s">
        <v>365</v>
      </c>
      <c r="B38" s="152"/>
      <c r="C38" s="156" t="s">
        <v>326</v>
      </c>
      <c r="D38" s="11" t="s">
        <v>81</v>
      </c>
      <c r="E38" s="152" t="s">
        <v>599</v>
      </c>
      <c r="F38" s="152">
        <v>9</v>
      </c>
      <c r="G38" s="152">
        <v>12</v>
      </c>
      <c r="H38" s="78">
        <v>46.08</v>
      </c>
      <c r="I38" s="31">
        <v>16384</v>
      </c>
      <c r="J38" s="152" t="s">
        <v>581</v>
      </c>
      <c r="K38" s="156" t="s">
        <v>579</v>
      </c>
      <c r="L38" s="152">
        <v>2.6</v>
      </c>
      <c r="M38" s="78"/>
      <c r="N38" s="152"/>
      <c r="O38" s="152"/>
      <c r="P38" s="152"/>
      <c r="Q38" s="78"/>
      <c r="R38" s="152"/>
      <c r="S38" s="152"/>
      <c r="T38" s="152"/>
      <c r="U38" s="78"/>
      <c r="V38" s="152"/>
      <c r="W38" s="152"/>
      <c r="X38" s="152"/>
      <c r="Y38" s="78"/>
      <c r="Z38" s="152"/>
      <c r="AA38" s="152"/>
      <c r="AB38" s="152"/>
      <c r="AC38" s="78"/>
      <c r="AD38" s="152"/>
      <c r="AE38" s="152"/>
      <c r="AF38" s="152"/>
      <c r="AG38" s="78">
        <f>2*(H38+AK38)</f>
        <v>184.32</v>
      </c>
      <c r="AH38" s="152" t="s">
        <v>581</v>
      </c>
      <c r="AI38" s="156" t="s">
        <v>579</v>
      </c>
      <c r="AJ38" s="152" t="s">
        <v>575</v>
      </c>
      <c r="AK38" s="78">
        <v>46.08</v>
      </c>
      <c r="AL38" s="154" t="s">
        <v>581</v>
      </c>
      <c r="AM38" s="156" t="s">
        <v>579</v>
      </c>
      <c r="AN38" s="152">
        <f>50/1000</f>
        <v>0.05</v>
      </c>
      <c r="AO38" s="152"/>
      <c r="AP38" s="152"/>
      <c r="AQ38" s="152"/>
      <c r="AR38" s="152"/>
      <c r="AS38" s="152"/>
      <c r="AT38" s="152"/>
      <c r="AU38" s="152"/>
      <c r="AV38" s="152"/>
      <c r="AW38" s="152"/>
      <c r="AX38" s="152"/>
      <c r="AY38" s="152"/>
      <c r="AZ38" s="152"/>
      <c r="BA38" s="154">
        <v>3</v>
      </c>
      <c r="BB38" s="152" t="s">
        <v>329</v>
      </c>
      <c r="BC38" s="152"/>
      <c r="BD38" s="152"/>
      <c r="BE38" s="152">
        <v>2</v>
      </c>
      <c r="BF38" s="152"/>
      <c r="BG38" s="152"/>
      <c r="BH38" s="152" t="s">
        <v>329</v>
      </c>
      <c r="BI38" s="152"/>
      <c r="BJ38" s="152"/>
      <c r="BK38" s="152"/>
      <c r="BL38" s="152"/>
    </row>
    <row r="39" spans="1:64">
      <c r="A39" s="156" t="s">
        <v>367</v>
      </c>
      <c r="B39" s="156"/>
      <c r="C39" s="156" t="s">
        <v>326</v>
      </c>
      <c r="D39" s="11" t="s">
        <v>81</v>
      </c>
      <c r="E39" s="152" t="s">
        <v>599</v>
      </c>
      <c r="F39" s="152">
        <v>9</v>
      </c>
      <c r="G39" s="152">
        <v>12</v>
      </c>
      <c r="H39" s="78">
        <v>46.08</v>
      </c>
      <c r="I39" s="31">
        <v>16384</v>
      </c>
      <c r="J39" s="152" t="s">
        <v>581</v>
      </c>
      <c r="K39" s="156" t="s">
        <v>579</v>
      </c>
      <c r="L39" s="152">
        <v>2.6</v>
      </c>
      <c r="M39" s="78"/>
      <c r="N39" s="152"/>
      <c r="O39" s="152"/>
      <c r="P39" s="152"/>
      <c r="Q39" s="78"/>
      <c r="R39" s="152"/>
      <c r="S39" s="152"/>
      <c r="T39" s="152"/>
      <c r="U39" s="78"/>
      <c r="V39" s="152"/>
      <c r="W39" s="152"/>
      <c r="X39" s="152"/>
      <c r="Y39" s="78"/>
      <c r="Z39" s="152"/>
      <c r="AA39" s="152"/>
      <c r="AB39" s="152"/>
      <c r="AC39" s="78"/>
      <c r="AD39" s="152"/>
      <c r="AE39" s="152"/>
      <c r="AF39" s="152"/>
      <c r="AG39" s="78">
        <f>2*(H39+AK39)</f>
        <v>184.32</v>
      </c>
      <c r="AH39" s="152" t="s">
        <v>581</v>
      </c>
      <c r="AI39" s="156" t="s">
        <v>579</v>
      </c>
      <c r="AJ39" s="152" t="s">
        <v>575</v>
      </c>
      <c r="AK39" s="78">
        <v>46.08</v>
      </c>
      <c r="AL39" s="154" t="s">
        <v>581</v>
      </c>
      <c r="AM39" s="156" t="s">
        <v>579</v>
      </c>
      <c r="AN39" s="152">
        <f>50/1000</f>
        <v>0.05</v>
      </c>
      <c r="AO39" s="152"/>
      <c r="AP39" s="152"/>
      <c r="AQ39" s="152"/>
      <c r="AR39" s="152"/>
      <c r="AS39" s="152"/>
      <c r="AT39" s="152"/>
      <c r="AU39" s="152"/>
      <c r="AV39" s="152"/>
      <c r="AW39" s="152"/>
      <c r="AX39" s="152"/>
      <c r="AY39" s="152"/>
      <c r="AZ39" s="152"/>
      <c r="BA39" s="154">
        <v>3</v>
      </c>
      <c r="BB39" s="152" t="s">
        <v>329</v>
      </c>
      <c r="BC39" s="152"/>
      <c r="BD39" s="152"/>
      <c r="BE39" s="152">
        <v>2</v>
      </c>
      <c r="BF39" s="152"/>
      <c r="BG39" s="152"/>
      <c r="BH39" s="152" t="s">
        <v>329</v>
      </c>
      <c r="BI39" s="152"/>
      <c r="BJ39" s="152"/>
      <c r="BK39" s="152"/>
      <c r="BL39" s="152"/>
    </row>
    <row r="40" spans="1:64">
      <c r="A40" s="156" t="s">
        <v>506</v>
      </c>
      <c r="B40" s="156"/>
      <c r="C40" s="156" t="s">
        <v>326</v>
      </c>
      <c r="D40" s="11" t="s">
        <v>81</v>
      </c>
      <c r="E40" s="152" t="s">
        <v>599</v>
      </c>
      <c r="F40" s="152">
        <v>9</v>
      </c>
      <c r="G40" s="152">
        <v>12</v>
      </c>
      <c r="H40" s="78">
        <v>46.08</v>
      </c>
      <c r="I40" s="31">
        <v>16384</v>
      </c>
      <c r="J40" s="152" t="s">
        <v>581</v>
      </c>
      <c r="K40" s="156" t="s">
        <v>579</v>
      </c>
      <c r="L40" s="152">
        <v>2.6</v>
      </c>
      <c r="M40" s="78"/>
      <c r="N40" s="152"/>
      <c r="O40" s="152"/>
      <c r="P40" s="152"/>
      <c r="Q40" s="78"/>
      <c r="R40" s="152"/>
      <c r="S40" s="152"/>
      <c r="T40" s="152"/>
      <c r="U40" s="78"/>
      <c r="V40" s="152"/>
      <c r="W40" s="152"/>
      <c r="X40" s="152"/>
      <c r="Y40" s="78"/>
      <c r="Z40" s="152"/>
      <c r="AA40" s="152"/>
      <c r="AB40" s="152"/>
      <c r="AC40" s="78"/>
      <c r="AD40" s="152"/>
      <c r="AE40" s="152"/>
      <c r="AF40" s="152"/>
      <c r="AG40" s="78">
        <f>2*(H40+AK40)</f>
        <v>184.32</v>
      </c>
      <c r="AH40" s="152" t="s">
        <v>581</v>
      </c>
      <c r="AI40" s="156" t="s">
        <v>579</v>
      </c>
      <c r="AJ40" s="152" t="s">
        <v>575</v>
      </c>
      <c r="AK40" s="78">
        <v>46.08</v>
      </c>
      <c r="AL40" s="154" t="s">
        <v>581</v>
      </c>
      <c r="AM40" s="156" t="s">
        <v>579</v>
      </c>
      <c r="AN40" s="152">
        <f>50/1000</f>
        <v>0.05</v>
      </c>
      <c r="AO40" s="152"/>
      <c r="AP40" s="152"/>
      <c r="AQ40" s="152"/>
      <c r="AR40" s="152"/>
      <c r="AS40" s="152"/>
      <c r="AT40" s="152"/>
      <c r="AU40" s="152"/>
      <c r="AV40" s="152"/>
      <c r="AW40" s="152"/>
      <c r="AX40" s="152"/>
      <c r="AY40" s="152"/>
      <c r="AZ40" s="152"/>
      <c r="BA40" s="154">
        <v>3</v>
      </c>
      <c r="BB40" s="152" t="s">
        <v>329</v>
      </c>
      <c r="BC40" s="152"/>
      <c r="BD40" s="152"/>
      <c r="BE40" s="152">
        <v>2</v>
      </c>
      <c r="BF40" s="152"/>
      <c r="BG40" s="152"/>
      <c r="BH40" s="152" t="s">
        <v>329</v>
      </c>
      <c r="BI40" s="152"/>
      <c r="BJ40" s="152"/>
      <c r="BK40" s="152"/>
      <c r="BL40" s="152"/>
    </row>
    <row r="41" spans="1:64">
      <c r="A41" s="156" t="s">
        <v>507</v>
      </c>
      <c r="B41" s="156"/>
      <c r="C41" s="156" t="s">
        <v>326</v>
      </c>
      <c r="D41" s="11" t="s">
        <v>81</v>
      </c>
      <c r="E41" s="152" t="s">
        <v>599</v>
      </c>
      <c r="F41" s="152">
        <v>9</v>
      </c>
      <c r="G41" s="152">
        <v>12</v>
      </c>
      <c r="H41" s="78">
        <v>46.08</v>
      </c>
      <c r="I41" s="31">
        <v>16384</v>
      </c>
      <c r="J41" s="152" t="s">
        <v>581</v>
      </c>
      <c r="K41" s="156" t="s">
        <v>579</v>
      </c>
      <c r="L41" s="152">
        <v>2.6</v>
      </c>
      <c r="M41" s="78"/>
      <c r="N41" s="152"/>
      <c r="O41" s="152"/>
      <c r="P41" s="152"/>
      <c r="Q41" s="78"/>
      <c r="R41" s="152"/>
      <c r="S41" s="152"/>
      <c r="T41" s="152"/>
      <c r="U41" s="78"/>
      <c r="V41" s="152"/>
      <c r="W41" s="152"/>
      <c r="X41" s="152"/>
      <c r="Y41" s="78"/>
      <c r="Z41" s="152"/>
      <c r="AA41" s="152"/>
      <c r="AB41" s="152"/>
      <c r="AC41" s="78"/>
      <c r="AD41" s="152"/>
      <c r="AE41" s="152"/>
      <c r="AF41" s="152"/>
      <c r="AG41" s="78">
        <f>2*(H41+AK41)</f>
        <v>184.32</v>
      </c>
      <c r="AH41" s="152" t="s">
        <v>581</v>
      </c>
      <c r="AI41" s="156" t="s">
        <v>579</v>
      </c>
      <c r="AJ41" s="152" t="s">
        <v>575</v>
      </c>
      <c r="AK41" s="78">
        <v>46.08</v>
      </c>
      <c r="AL41" s="154" t="s">
        <v>581</v>
      </c>
      <c r="AM41" s="156" t="s">
        <v>579</v>
      </c>
      <c r="AN41" s="152">
        <f>50/1000</f>
        <v>0.05</v>
      </c>
      <c r="AO41" s="152"/>
      <c r="AP41" s="152"/>
      <c r="AQ41" s="152"/>
      <c r="AR41" s="152"/>
      <c r="AS41" s="152"/>
      <c r="AT41" s="152"/>
      <c r="AU41" s="152"/>
      <c r="AV41" s="152"/>
      <c r="AW41" s="152"/>
      <c r="AX41" s="152"/>
      <c r="AY41" s="152"/>
      <c r="AZ41" s="152"/>
      <c r="BA41" s="154">
        <v>3</v>
      </c>
      <c r="BB41" s="152" t="s">
        <v>329</v>
      </c>
      <c r="BC41" s="152"/>
      <c r="BD41" s="152"/>
      <c r="BE41" s="152">
        <v>2</v>
      </c>
      <c r="BF41" s="152"/>
      <c r="BG41" s="152"/>
      <c r="BH41" s="152" t="s">
        <v>329</v>
      </c>
      <c r="BI41" s="152"/>
      <c r="BJ41" s="152"/>
      <c r="BK41" s="152"/>
      <c r="BL41" s="152"/>
    </row>
    <row r="42" spans="1:64">
      <c r="A42" s="156" t="s">
        <v>368</v>
      </c>
      <c r="B42" s="156"/>
      <c r="C42" s="156" t="s">
        <v>326</v>
      </c>
      <c r="D42" s="11" t="s">
        <v>369</v>
      </c>
      <c r="E42" s="152" t="s">
        <v>600</v>
      </c>
      <c r="F42" s="152">
        <v>4</v>
      </c>
      <c r="G42" s="152">
        <v>4</v>
      </c>
      <c r="H42" s="78">
        <v>40.96</v>
      </c>
      <c r="I42" s="31">
        <v>4096</v>
      </c>
      <c r="J42" s="152" t="s">
        <v>581</v>
      </c>
      <c r="K42" s="156" t="s">
        <v>579</v>
      </c>
      <c r="L42" s="152">
        <v>2.6</v>
      </c>
      <c r="M42" s="78"/>
      <c r="N42" s="152"/>
      <c r="O42" s="152"/>
      <c r="P42" s="152"/>
      <c r="Q42" s="78"/>
      <c r="R42" s="152"/>
      <c r="S42" s="152"/>
      <c r="T42" s="152"/>
      <c r="U42" s="78"/>
      <c r="V42" s="152"/>
      <c r="W42" s="152"/>
      <c r="X42" s="152"/>
      <c r="Y42" s="78"/>
      <c r="Z42" s="152"/>
      <c r="AA42" s="152"/>
      <c r="AB42" s="152"/>
      <c r="AC42" s="78"/>
      <c r="AD42" s="152"/>
      <c r="AE42" s="152"/>
      <c r="AF42" s="152"/>
      <c r="AG42" s="78">
        <f t="shared" si="0"/>
        <v>81.92</v>
      </c>
      <c r="AH42" s="152" t="s">
        <v>581</v>
      </c>
      <c r="AI42" s="156" t="s">
        <v>579</v>
      </c>
      <c r="AJ42" s="152" t="s">
        <v>575</v>
      </c>
      <c r="AK42" s="82"/>
      <c r="AL42" s="154"/>
      <c r="AM42" s="154"/>
      <c r="AN42" s="154"/>
      <c r="AO42" s="154"/>
      <c r="AP42" s="154"/>
      <c r="AQ42" s="154"/>
      <c r="AR42" s="154"/>
      <c r="AS42" s="154"/>
      <c r="AT42" s="154"/>
      <c r="AU42" s="154"/>
      <c r="AV42" s="154"/>
      <c r="AW42" s="154"/>
      <c r="AX42" s="154"/>
      <c r="AY42" s="154"/>
      <c r="AZ42" s="154"/>
      <c r="BA42" s="154">
        <v>2</v>
      </c>
      <c r="BB42" s="152" t="s">
        <v>329</v>
      </c>
      <c r="BC42" s="152"/>
      <c r="BD42" s="152"/>
      <c r="BE42" s="152">
        <v>2</v>
      </c>
      <c r="BF42" s="152"/>
      <c r="BG42" s="152"/>
      <c r="BH42" s="152" t="s">
        <v>329</v>
      </c>
      <c r="BI42" s="152"/>
      <c r="BJ42" s="152"/>
      <c r="BK42" s="152"/>
      <c r="BL42" s="152"/>
    </row>
    <row r="43" spans="1:64">
      <c r="A43" s="156" t="s">
        <v>370</v>
      </c>
      <c r="B43" s="156"/>
      <c r="C43" s="156" t="s">
        <v>326</v>
      </c>
      <c r="D43" s="11" t="s">
        <v>371</v>
      </c>
      <c r="E43" s="152" t="s">
        <v>600</v>
      </c>
      <c r="F43" s="152">
        <v>4</v>
      </c>
      <c r="G43" s="152">
        <v>4</v>
      </c>
      <c r="H43" s="78">
        <v>40.96</v>
      </c>
      <c r="I43" s="31">
        <v>4096</v>
      </c>
      <c r="J43" s="152" t="s">
        <v>581</v>
      </c>
      <c r="K43" s="156" t="s">
        <v>579</v>
      </c>
      <c r="L43" s="152">
        <v>2.6</v>
      </c>
      <c r="M43" s="78"/>
      <c r="N43" s="152"/>
      <c r="O43" s="152"/>
      <c r="P43" s="152"/>
      <c r="Q43" s="78"/>
      <c r="R43" s="152"/>
      <c r="S43" s="152"/>
      <c r="T43" s="152"/>
      <c r="U43" s="78"/>
      <c r="V43" s="152"/>
      <c r="W43" s="152"/>
      <c r="X43" s="152"/>
      <c r="Y43" s="78"/>
      <c r="Z43" s="152"/>
      <c r="AA43" s="152"/>
      <c r="AB43" s="152"/>
      <c r="AC43" s="78"/>
      <c r="AD43" s="152"/>
      <c r="AE43" s="152"/>
      <c r="AF43" s="152"/>
      <c r="AG43" s="78">
        <f t="shared" si="0"/>
        <v>81.92</v>
      </c>
      <c r="AH43" s="152" t="s">
        <v>581</v>
      </c>
      <c r="AI43" s="13" t="s">
        <v>579</v>
      </c>
      <c r="AJ43" s="8" t="s">
        <v>575</v>
      </c>
      <c r="AK43" s="83"/>
      <c r="AL43" s="36"/>
      <c r="AM43" s="36"/>
      <c r="AN43" s="36"/>
      <c r="AO43" s="36"/>
      <c r="AP43" s="36"/>
      <c r="AQ43" s="36"/>
      <c r="AR43" s="36"/>
      <c r="AS43" s="36"/>
      <c r="AT43" s="36"/>
      <c r="AU43" s="36"/>
      <c r="AV43" s="36"/>
      <c r="AW43" s="36"/>
      <c r="AX43" s="36"/>
      <c r="AY43" s="36"/>
      <c r="AZ43" s="36"/>
      <c r="BA43" s="36">
        <v>2</v>
      </c>
      <c r="BB43" s="8" t="s">
        <v>329</v>
      </c>
      <c r="BC43" s="8"/>
      <c r="BD43" s="8"/>
      <c r="BE43" s="8">
        <v>2</v>
      </c>
      <c r="BF43" s="8"/>
      <c r="BG43" s="8"/>
      <c r="BH43" s="8" t="s">
        <v>329</v>
      </c>
      <c r="BI43" s="8"/>
      <c r="BJ43" s="8"/>
      <c r="BK43" s="8"/>
      <c r="BL43" s="8"/>
    </row>
    <row r="44" spans="1:64">
      <c r="A44" s="10"/>
      <c r="B44" s="10"/>
      <c r="C44" s="10"/>
      <c r="D44" s="10"/>
      <c r="E44" s="9"/>
      <c r="F44" s="9">
        <f>SUM(F8:F43)</f>
        <v>228</v>
      </c>
      <c r="G44" s="9">
        <f>SUM(G8:G43)</f>
        <v>577</v>
      </c>
      <c r="H44" s="80">
        <f>SUM(H8:H43)</f>
        <v>2996.56</v>
      </c>
      <c r="I44" s="34"/>
      <c r="J44" s="9"/>
      <c r="K44" s="9"/>
      <c r="L44" s="9">
        <f>SUM(L8:L43)</f>
        <v>401.20000000000016</v>
      </c>
      <c r="M44" s="80">
        <f>SUM(M8:M43)</f>
        <v>119.8</v>
      </c>
      <c r="N44" s="9"/>
      <c r="O44" s="9"/>
      <c r="P44" s="9">
        <f>SUM(P8:P43)</f>
        <v>0.05</v>
      </c>
      <c r="Q44" s="80">
        <f>SUM(Q8:Q43)</f>
        <v>2304</v>
      </c>
      <c r="R44" s="9"/>
      <c r="S44" s="9"/>
      <c r="T44" s="9">
        <f>SUM(T8:T43)</f>
        <v>0.05</v>
      </c>
      <c r="U44" s="80">
        <f>SUM(U8:U43)</f>
        <v>3456</v>
      </c>
      <c r="V44" s="9"/>
      <c r="W44" s="9"/>
      <c r="X44" s="9">
        <f>SUM(X8:X43)</f>
        <v>0.05</v>
      </c>
      <c r="Y44" s="80">
        <f>SUM(Y8:Y43)</f>
        <v>490.5</v>
      </c>
      <c r="Z44" s="9"/>
      <c r="AA44" s="9"/>
      <c r="AB44" s="9">
        <f>SUM(AB8:AB43)</f>
        <v>0.1</v>
      </c>
      <c r="AC44" s="80">
        <f>SUM(AC8:AC43)</f>
        <v>276.48</v>
      </c>
      <c r="AD44" s="9"/>
      <c r="AE44" s="9"/>
      <c r="AF44" s="9">
        <f>SUM(AF8:AF43)</f>
        <v>0</v>
      </c>
      <c r="AG44" s="80">
        <f>SUM(AG8:AG43)</f>
        <v>16993.37999999999</v>
      </c>
      <c r="AH44" s="9"/>
      <c r="AI44" s="152"/>
      <c r="AJ44" s="152"/>
      <c r="AK44" s="78">
        <f>SUM(AK8:AK43)</f>
        <v>184.32</v>
      </c>
      <c r="AL44" s="152"/>
      <c r="AM44" s="152"/>
      <c r="AN44" s="152">
        <f>SUM(AN8:AN43)</f>
        <v>0.2</v>
      </c>
      <c r="AO44" s="152"/>
      <c r="AP44" s="152"/>
      <c r="AQ44" s="152"/>
      <c r="AR44" s="152">
        <f>50/1000</f>
        <v>0.05</v>
      </c>
      <c r="AS44" s="152"/>
      <c r="AT44" s="152"/>
      <c r="AU44" s="152"/>
      <c r="AV44" s="152"/>
      <c r="AW44" s="152">
        <f>AW11</f>
        <v>3145.7280000000001</v>
      </c>
      <c r="AX44" s="152"/>
      <c r="AY44" s="152"/>
      <c r="AZ44" s="152">
        <v>0.05</v>
      </c>
      <c r="BA44" s="152">
        <f>SUM(BA8:BA43)</f>
        <v>90</v>
      </c>
      <c r="BB44" s="152">
        <f>COUNTIF(BB8:BB43,"x")</f>
        <v>35</v>
      </c>
      <c r="BC44" s="152">
        <v>2</v>
      </c>
      <c r="BD44" s="152">
        <v>1</v>
      </c>
      <c r="BE44" s="152">
        <f>SUM(BE9:BE43)</f>
        <v>70</v>
      </c>
      <c r="BF44" s="152">
        <v>1</v>
      </c>
      <c r="BG44" s="152">
        <f>COUNTIF(BG8:BG43,"x")</f>
        <v>0</v>
      </c>
      <c r="BH44" s="152">
        <f>COUNTIF(BH8:BH43,"x")</f>
        <v>35</v>
      </c>
      <c r="BI44" s="152" t="s">
        <v>601</v>
      </c>
      <c r="BJ44" s="152">
        <v>2</v>
      </c>
      <c r="BK44" s="152">
        <v>4</v>
      </c>
      <c r="BL44" s="152">
        <v>2</v>
      </c>
    </row>
    <row r="45" spans="1:64">
      <c r="A45" s="156"/>
      <c r="B45" s="156"/>
      <c r="C45" s="156"/>
      <c r="D45" s="156"/>
      <c r="E45" s="152"/>
      <c r="F45" s="152"/>
      <c r="G45" s="152"/>
      <c r="H45" s="152"/>
      <c r="I45" s="31"/>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2"/>
      <c r="AH45" s="152"/>
      <c r="AI45" s="152"/>
      <c r="AJ45" s="152"/>
      <c r="AK45" s="156"/>
      <c r="AL45" s="156"/>
      <c r="AM45" s="156"/>
      <c r="AN45" s="156"/>
      <c r="AO45" s="156"/>
      <c r="AP45" s="156"/>
      <c r="AQ45" s="156"/>
      <c r="AR45" s="156"/>
      <c r="AS45" s="156"/>
      <c r="AT45" s="156"/>
      <c r="AU45" s="156"/>
      <c r="AV45" s="156"/>
      <c r="AW45" s="156"/>
      <c r="AX45" s="156"/>
      <c r="AY45" s="156"/>
      <c r="AZ45" s="156"/>
      <c r="BA45" s="152"/>
      <c r="BB45" s="156"/>
      <c r="BC45" s="156"/>
      <c r="BD45" s="156"/>
      <c r="BE45" s="156"/>
      <c r="BF45" s="156"/>
      <c r="BG45" s="156"/>
      <c r="BH45" s="156"/>
      <c r="BI45" s="156"/>
      <c r="BJ45" s="156"/>
      <c r="BK45" s="156"/>
      <c r="BL45" s="156"/>
    </row>
    <row r="46" spans="1:64">
      <c r="A46" s="156"/>
      <c r="B46" s="156"/>
      <c r="C46" s="156"/>
      <c r="D46" s="156"/>
      <c r="E46" s="156"/>
      <c r="F46" s="156"/>
      <c r="G46" s="156"/>
      <c r="H46" s="156"/>
      <c r="I46" s="45"/>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2"/>
      <c r="BB46" s="156"/>
      <c r="BC46" s="156"/>
      <c r="BD46" s="156"/>
      <c r="BE46" s="156"/>
      <c r="BF46" s="156"/>
      <c r="BG46" s="156"/>
      <c r="BH46" s="156"/>
      <c r="BI46" s="156"/>
      <c r="BJ46" s="156"/>
      <c r="BK46" s="156"/>
      <c r="BL46" s="156"/>
    </row>
    <row r="47" spans="1:64">
      <c r="A47" s="7" t="s">
        <v>602</v>
      </c>
      <c r="B47" s="35"/>
      <c r="C47" s="35"/>
      <c r="D47" s="35"/>
      <c r="E47" s="156"/>
      <c r="F47" s="156"/>
      <c r="G47" s="156"/>
      <c r="H47" s="156"/>
      <c r="I47" s="45"/>
      <c r="J47" s="156"/>
      <c r="K47" s="156"/>
      <c r="L47" s="156"/>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56"/>
      <c r="AR47" s="156"/>
      <c r="AS47" s="156"/>
      <c r="AT47" s="156"/>
      <c r="AU47" s="156"/>
      <c r="AV47" s="156"/>
      <c r="AW47" s="156"/>
      <c r="AX47" s="156"/>
      <c r="AY47" s="156"/>
      <c r="AZ47" s="156"/>
      <c r="BA47" s="152"/>
      <c r="BB47" s="156"/>
      <c r="BC47" s="156"/>
      <c r="BD47" s="156"/>
      <c r="BE47" s="156"/>
      <c r="BF47" s="156"/>
      <c r="BG47" s="156"/>
      <c r="BH47" s="156"/>
      <c r="BI47" s="156"/>
      <c r="BJ47" s="156"/>
      <c r="BK47" s="156"/>
      <c r="BL47" s="156"/>
    </row>
    <row r="48" spans="1:64">
      <c r="A48" s="35"/>
      <c r="B48" s="35"/>
      <c r="C48" s="35"/>
      <c r="D48" s="35"/>
      <c r="E48" s="156"/>
      <c r="F48" s="156"/>
      <c r="G48" s="156"/>
      <c r="H48" s="156"/>
      <c r="I48" s="45"/>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2"/>
      <c r="BB48" s="156"/>
      <c r="BC48" s="156"/>
      <c r="BD48" s="156"/>
      <c r="BE48" s="156"/>
      <c r="BF48" s="156"/>
      <c r="BG48" s="156"/>
      <c r="BH48" s="156"/>
      <c r="BI48" s="156"/>
      <c r="BJ48" s="156"/>
      <c r="BK48" s="156"/>
      <c r="BL48" s="156"/>
    </row>
    <row r="49" spans="1:66">
      <c r="A49" s="35" t="s">
        <v>381</v>
      </c>
      <c r="B49" s="35"/>
      <c r="C49" s="156" t="s">
        <v>326</v>
      </c>
      <c r="D49" s="35" t="s">
        <v>10</v>
      </c>
      <c r="E49" s="152" t="s">
        <v>603</v>
      </c>
      <c r="F49" s="175">
        <v>12</v>
      </c>
      <c r="G49" s="175">
        <v>48</v>
      </c>
      <c r="H49" s="154">
        <v>71.680000000000007</v>
      </c>
      <c r="I49" s="31">
        <v>16384</v>
      </c>
      <c r="J49" s="154" t="s">
        <v>581</v>
      </c>
      <c r="K49" s="156" t="s">
        <v>579</v>
      </c>
      <c r="L49" s="152">
        <v>2.6</v>
      </c>
      <c r="M49" s="35"/>
      <c r="N49" s="35"/>
      <c r="O49" s="35"/>
      <c r="P49" s="35"/>
      <c r="Q49" s="35"/>
      <c r="R49" s="35"/>
      <c r="S49" s="35"/>
      <c r="T49" s="35"/>
      <c r="U49" s="35"/>
      <c r="V49" s="35"/>
      <c r="W49" s="35"/>
      <c r="X49" s="35"/>
      <c r="Y49" s="35"/>
      <c r="Z49" s="35"/>
      <c r="AA49" s="35"/>
      <c r="AB49" s="35"/>
      <c r="AC49" s="35"/>
      <c r="AD49" s="35"/>
      <c r="AE49" s="35"/>
      <c r="AF49" s="35"/>
      <c r="AG49" s="154">
        <f t="shared" ref="AG49:AG72" si="1">2*H49</f>
        <v>143.36000000000001</v>
      </c>
      <c r="AH49" s="154" t="s">
        <v>581</v>
      </c>
      <c r="AI49" s="156" t="s">
        <v>579</v>
      </c>
      <c r="AJ49" s="152" t="s">
        <v>575</v>
      </c>
      <c r="AK49" s="35"/>
      <c r="AL49" s="35"/>
      <c r="AM49" s="35"/>
      <c r="AN49" s="35"/>
      <c r="AO49" s="35"/>
      <c r="AP49" s="35"/>
      <c r="AQ49" s="35"/>
      <c r="AR49" s="35"/>
      <c r="AS49" s="35"/>
      <c r="AT49" s="35"/>
      <c r="AU49" s="35"/>
      <c r="AV49" s="35"/>
      <c r="AW49" s="35"/>
      <c r="AX49" s="35"/>
      <c r="AY49" s="35"/>
      <c r="AZ49" s="35"/>
      <c r="BA49" s="154">
        <v>2</v>
      </c>
      <c r="BB49" s="154" t="s">
        <v>329</v>
      </c>
      <c r="BC49" s="154"/>
      <c r="BD49" s="154"/>
      <c r="BE49" s="154">
        <v>2</v>
      </c>
      <c r="BF49" s="154"/>
      <c r="BG49" s="154" t="s">
        <v>329</v>
      </c>
      <c r="BH49" s="154" t="s">
        <v>329</v>
      </c>
      <c r="BI49" s="154"/>
      <c r="BJ49" s="154"/>
      <c r="BK49" s="154"/>
      <c r="BL49" s="154"/>
      <c r="BM49" s="35"/>
      <c r="BN49" s="35"/>
    </row>
    <row r="50" spans="1:66">
      <c r="A50" s="35" t="s">
        <v>382</v>
      </c>
      <c r="B50" s="35"/>
      <c r="C50" s="39" t="s">
        <v>362</v>
      </c>
      <c r="D50" s="156" t="s">
        <v>75</v>
      </c>
      <c r="E50" s="152" t="s">
        <v>596</v>
      </c>
      <c r="F50" s="154">
        <v>4</v>
      </c>
      <c r="G50" s="154">
        <v>4</v>
      </c>
      <c r="H50" s="78">
        <v>102.4</v>
      </c>
      <c r="I50" s="31">
        <v>0</v>
      </c>
      <c r="J50" s="154" t="s">
        <v>578</v>
      </c>
      <c r="K50" s="156" t="s">
        <v>579</v>
      </c>
      <c r="L50" s="152">
        <v>100</v>
      </c>
      <c r="M50" s="35"/>
      <c r="N50" s="35"/>
      <c r="O50" s="35"/>
      <c r="P50" s="35"/>
      <c r="Q50" s="35"/>
      <c r="R50" s="35"/>
      <c r="S50" s="35"/>
      <c r="T50" s="35"/>
      <c r="U50" s="35"/>
      <c r="V50" s="35"/>
      <c r="W50" s="35"/>
      <c r="X50" s="35"/>
      <c r="Y50" s="35"/>
      <c r="Z50" s="35"/>
      <c r="AA50" s="35"/>
      <c r="AB50" s="35"/>
      <c r="AC50" s="35"/>
      <c r="AD50" s="35"/>
      <c r="AE50" s="35"/>
      <c r="AF50" s="35"/>
      <c r="AG50" s="154">
        <f t="shared" si="1"/>
        <v>204.8</v>
      </c>
      <c r="AH50" s="154" t="s">
        <v>581</v>
      </c>
      <c r="AI50" s="156" t="s">
        <v>579</v>
      </c>
      <c r="AJ50" s="152" t="s">
        <v>575</v>
      </c>
      <c r="AK50" s="35"/>
      <c r="AL50" s="35"/>
      <c r="AM50" s="35"/>
      <c r="AN50" s="35"/>
      <c r="AO50" s="35"/>
      <c r="AP50" s="35"/>
      <c r="AQ50" s="35"/>
      <c r="AR50" s="35"/>
      <c r="AS50" s="35"/>
      <c r="AT50" s="35"/>
      <c r="AU50" s="35"/>
      <c r="AV50" s="35"/>
      <c r="AW50" s="35"/>
      <c r="AX50" s="35"/>
      <c r="AY50" s="35"/>
      <c r="AZ50" s="35"/>
      <c r="BA50" s="154">
        <v>4</v>
      </c>
      <c r="BB50" s="154" t="s">
        <v>329</v>
      </c>
      <c r="BC50" s="154"/>
      <c r="BD50" s="154"/>
      <c r="BE50" s="154">
        <v>2</v>
      </c>
      <c r="BF50" s="154"/>
      <c r="BG50" s="154" t="s">
        <v>329</v>
      </c>
      <c r="BH50" s="154" t="s">
        <v>329</v>
      </c>
      <c r="BI50" s="154"/>
      <c r="BJ50" s="154"/>
      <c r="BK50" s="154"/>
      <c r="BL50" s="154"/>
      <c r="BM50" s="35"/>
      <c r="BN50" s="35"/>
    </row>
    <row r="51" spans="1:66">
      <c r="A51" s="35" t="s">
        <v>383</v>
      </c>
      <c r="B51" s="35"/>
      <c r="C51" s="39" t="s">
        <v>362</v>
      </c>
      <c r="D51" s="156" t="s">
        <v>79</v>
      </c>
      <c r="E51" s="152" t="s">
        <v>597</v>
      </c>
      <c r="F51" s="154">
        <v>4</v>
      </c>
      <c r="G51" s="154">
        <v>16</v>
      </c>
      <c r="H51" s="78">
        <v>102.4</v>
      </c>
      <c r="I51" s="31">
        <v>0</v>
      </c>
      <c r="J51" s="154" t="s">
        <v>578</v>
      </c>
      <c r="K51" s="156" t="s">
        <v>579</v>
      </c>
      <c r="L51" s="152">
        <v>110</v>
      </c>
      <c r="M51" s="35"/>
      <c r="N51" s="35"/>
      <c r="O51" s="35"/>
      <c r="P51" s="35"/>
      <c r="Q51" s="35"/>
      <c r="R51" s="35"/>
      <c r="S51" s="35"/>
      <c r="T51" s="35"/>
      <c r="U51" s="35"/>
      <c r="V51" s="35"/>
      <c r="W51" s="35"/>
      <c r="X51" s="35"/>
      <c r="Y51" s="35"/>
      <c r="Z51" s="35"/>
      <c r="AA51" s="35"/>
      <c r="AB51" s="35"/>
      <c r="AC51" s="35"/>
      <c r="AD51" s="35"/>
      <c r="AE51" s="35"/>
      <c r="AF51" s="35"/>
      <c r="AG51" s="154">
        <f t="shared" si="1"/>
        <v>204.8</v>
      </c>
      <c r="AH51" s="154" t="s">
        <v>581</v>
      </c>
      <c r="AI51" s="156" t="s">
        <v>579</v>
      </c>
      <c r="AJ51" s="152" t="s">
        <v>575</v>
      </c>
      <c r="AK51" s="35"/>
      <c r="AL51" s="35"/>
      <c r="AM51" s="35"/>
      <c r="AN51" s="35"/>
      <c r="AO51" s="35"/>
      <c r="AP51" s="35"/>
      <c r="AQ51" s="35"/>
      <c r="AR51" s="35"/>
      <c r="AS51" s="35"/>
      <c r="AT51" s="35"/>
      <c r="AU51" s="35"/>
      <c r="AV51" s="35"/>
      <c r="AW51" s="35"/>
      <c r="AX51" s="35"/>
      <c r="AY51" s="35"/>
      <c r="AZ51" s="35"/>
      <c r="BA51" s="154">
        <v>4</v>
      </c>
      <c r="BB51" s="154" t="s">
        <v>329</v>
      </c>
      <c r="BC51" s="154"/>
      <c r="BD51" s="154"/>
      <c r="BE51" s="154">
        <v>2</v>
      </c>
      <c r="BF51" s="154"/>
      <c r="BG51" s="154" t="s">
        <v>329</v>
      </c>
      <c r="BH51" s="154" t="s">
        <v>329</v>
      </c>
      <c r="BI51" s="154"/>
      <c r="BJ51" s="154"/>
      <c r="BK51" s="154"/>
      <c r="BL51" s="154"/>
      <c r="BM51" s="35"/>
      <c r="BN51" s="35"/>
    </row>
    <row r="52" spans="1:66">
      <c r="A52" s="35" t="s">
        <v>384</v>
      </c>
      <c r="B52" s="35"/>
      <c r="C52" s="39" t="s">
        <v>362</v>
      </c>
      <c r="D52" s="156" t="s">
        <v>79</v>
      </c>
      <c r="E52" s="152" t="s">
        <v>597</v>
      </c>
      <c r="F52" s="154">
        <v>4</v>
      </c>
      <c r="G52" s="154">
        <v>16</v>
      </c>
      <c r="H52" s="78">
        <v>102.4</v>
      </c>
      <c r="I52" s="31">
        <v>0</v>
      </c>
      <c r="J52" s="154" t="s">
        <v>578</v>
      </c>
      <c r="K52" s="156" t="s">
        <v>579</v>
      </c>
      <c r="L52" s="152">
        <v>110</v>
      </c>
      <c r="M52" s="35"/>
      <c r="N52" s="35"/>
      <c r="O52" s="35"/>
      <c r="P52" s="35"/>
      <c r="Q52" s="35"/>
      <c r="R52" s="35"/>
      <c r="S52" s="35"/>
      <c r="T52" s="35"/>
      <c r="U52" s="35"/>
      <c r="V52" s="35"/>
      <c r="W52" s="35"/>
      <c r="X52" s="35"/>
      <c r="Y52" s="35"/>
      <c r="Z52" s="35"/>
      <c r="AA52" s="35"/>
      <c r="AB52" s="35"/>
      <c r="AC52" s="35"/>
      <c r="AD52" s="35"/>
      <c r="AE52" s="35"/>
      <c r="AF52" s="35"/>
      <c r="AG52" s="154">
        <f t="shared" si="1"/>
        <v>204.8</v>
      </c>
      <c r="AH52" s="154" t="s">
        <v>581</v>
      </c>
      <c r="AI52" s="156" t="s">
        <v>579</v>
      </c>
      <c r="AJ52" s="152" t="s">
        <v>575</v>
      </c>
      <c r="AK52" s="35"/>
      <c r="AL52" s="35"/>
      <c r="AM52" s="35"/>
      <c r="AN52" s="35"/>
      <c r="AO52" s="35"/>
      <c r="AP52" s="35"/>
      <c r="AQ52" s="35"/>
      <c r="AR52" s="35"/>
      <c r="AS52" s="35"/>
      <c r="AT52" s="35"/>
      <c r="AU52" s="35"/>
      <c r="AV52" s="35"/>
      <c r="AW52" s="35"/>
      <c r="AX52" s="35"/>
      <c r="AY52" s="35"/>
      <c r="AZ52" s="35"/>
      <c r="BA52" s="154">
        <v>4</v>
      </c>
      <c r="BB52" s="154" t="s">
        <v>329</v>
      </c>
      <c r="BC52" s="154"/>
      <c r="BD52" s="154"/>
      <c r="BE52" s="154">
        <v>2</v>
      </c>
      <c r="BF52" s="154"/>
      <c r="BG52" s="154" t="s">
        <v>329</v>
      </c>
      <c r="BH52" s="154" t="s">
        <v>329</v>
      </c>
      <c r="BI52" s="154"/>
      <c r="BJ52" s="154"/>
      <c r="BK52" s="154"/>
      <c r="BL52" s="154"/>
      <c r="BM52" s="35"/>
      <c r="BN52" s="35"/>
    </row>
    <row r="53" spans="1:66">
      <c r="A53" s="35" t="s">
        <v>494</v>
      </c>
      <c r="B53" s="35"/>
      <c r="C53" s="39" t="s">
        <v>362</v>
      </c>
      <c r="D53" s="156" t="s">
        <v>79</v>
      </c>
      <c r="E53" s="152" t="s">
        <v>597</v>
      </c>
      <c r="F53" s="154">
        <v>4</v>
      </c>
      <c r="G53" s="154">
        <v>16</v>
      </c>
      <c r="H53" s="78">
        <v>102.4</v>
      </c>
      <c r="I53" s="31">
        <v>0</v>
      </c>
      <c r="J53" s="154" t="s">
        <v>578</v>
      </c>
      <c r="K53" s="156" t="s">
        <v>579</v>
      </c>
      <c r="L53" s="152">
        <v>110</v>
      </c>
      <c r="M53" s="35"/>
      <c r="N53" s="35"/>
      <c r="O53" s="35"/>
      <c r="P53" s="35"/>
      <c r="Q53" s="35"/>
      <c r="R53" s="35"/>
      <c r="S53" s="35"/>
      <c r="T53" s="35"/>
      <c r="U53" s="35"/>
      <c r="V53" s="35"/>
      <c r="W53" s="35"/>
      <c r="X53" s="35"/>
      <c r="Y53" s="35"/>
      <c r="Z53" s="35"/>
      <c r="AA53" s="35"/>
      <c r="AB53" s="35"/>
      <c r="AC53" s="35"/>
      <c r="AD53" s="35"/>
      <c r="AE53" s="35"/>
      <c r="AF53" s="35"/>
      <c r="AG53" s="154">
        <f t="shared" si="1"/>
        <v>204.8</v>
      </c>
      <c r="AH53" s="154" t="s">
        <v>581</v>
      </c>
      <c r="AI53" s="156" t="s">
        <v>579</v>
      </c>
      <c r="AJ53" s="152" t="s">
        <v>575</v>
      </c>
      <c r="AK53" s="35"/>
      <c r="AL53" s="35"/>
      <c r="AM53" s="35"/>
      <c r="AN53" s="35"/>
      <c r="AO53" s="35"/>
      <c r="AP53" s="35"/>
      <c r="AQ53" s="35"/>
      <c r="AR53" s="35"/>
      <c r="AS53" s="35"/>
      <c r="AT53" s="35"/>
      <c r="AU53" s="35"/>
      <c r="AV53" s="35"/>
      <c r="AW53" s="35"/>
      <c r="AX53" s="35"/>
      <c r="AY53" s="35"/>
      <c r="AZ53" s="35"/>
      <c r="BA53" s="154">
        <v>4</v>
      </c>
      <c r="BB53" s="154" t="s">
        <v>329</v>
      </c>
      <c r="BC53" s="154"/>
      <c r="BD53" s="154"/>
      <c r="BE53" s="154">
        <v>2</v>
      </c>
      <c r="BF53" s="154"/>
      <c r="BG53" s="154" t="s">
        <v>329</v>
      </c>
      <c r="BH53" s="154" t="s">
        <v>329</v>
      </c>
      <c r="BI53" s="154"/>
      <c r="BJ53" s="154"/>
      <c r="BK53" s="154"/>
      <c r="BL53" s="154"/>
      <c r="BM53" s="35"/>
      <c r="BN53" s="35"/>
    </row>
    <row r="54" spans="1:66">
      <c r="A54" s="35" t="s">
        <v>495</v>
      </c>
      <c r="B54" s="35"/>
      <c r="C54" s="39" t="s">
        <v>362</v>
      </c>
      <c r="D54" s="156" t="s">
        <v>79</v>
      </c>
      <c r="E54" s="152" t="s">
        <v>597</v>
      </c>
      <c r="F54" s="154">
        <v>4</v>
      </c>
      <c r="G54" s="154">
        <v>16</v>
      </c>
      <c r="H54" s="78">
        <v>102.4</v>
      </c>
      <c r="I54" s="31">
        <v>0</v>
      </c>
      <c r="J54" s="154" t="s">
        <v>578</v>
      </c>
      <c r="K54" s="156" t="s">
        <v>579</v>
      </c>
      <c r="L54" s="152">
        <v>110</v>
      </c>
      <c r="M54" s="35"/>
      <c r="N54" s="35"/>
      <c r="O54" s="35"/>
      <c r="P54" s="35"/>
      <c r="Q54" s="35"/>
      <c r="R54" s="35"/>
      <c r="S54" s="35"/>
      <c r="T54" s="35"/>
      <c r="U54" s="35"/>
      <c r="V54" s="35"/>
      <c r="W54" s="35"/>
      <c r="X54" s="35"/>
      <c r="Y54" s="35"/>
      <c r="Z54" s="35"/>
      <c r="AA54" s="35"/>
      <c r="AB54" s="35"/>
      <c r="AC54" s="35"/>
      <c r="AD54" s="35"/>
      <c r="AE54" s="35"/>
      <c r="AF54" s="35"/>
      <c r="AG54" s="154">
        <f t="shared" si="1"/>
        <v>204.8</v>
      </c>
      <c r="AH54" s="154" t="s">
        <v>581</v>
      </c>
      <c r="AI54" s="156" t="s">
        <v>579</v>
      </c>
      <c r="AJ54" s="152" t="s">
        <v>575</v>
      </c>
      <c r="AK54" s="35"/>
      <c r="AL54" s="35"/>
      <c r="AM54" s="35"/>
      <c r="AN54" s="35"/>
      <c r="AO54" s="35"/>
      <c r="AP54" s="35"/>
      <c r="AQ54" s="35"/>
      <c r="AR54" s="35"/>
      <c r="AS54" s="35"/>
      <c r="AT54" s="35"/>
      <c r="AU54" s="35"/>
      <c r="AV54" s="35"/>
      <c r="AW54" s="35"/>
      <c r="AX54" s="35"/>
      <c r="AY54" s="35"/>
      <c r="AZ54" s="35"/>
      <c r="BA54" s="154">
        <v>4</v>
      </c>
      <c r="BB54" s="154" t="s">
        <v>329</v>
      </c>
      <c r="BC54" s="154"/>
      <c r="BD54" s="154"/>
      <c r="BE54" s="154">
        <v>2</v>
      </c>
      <c r="BF54" s="154"/>
      <c r="BG54" s="154" t="s">
        <v>329</v>
      </c>
      <c r="BH54" s="154" t="s">
        <v>329</v>
      </c>
      <c r="BI54" s="154"/>
      <c r="BJ54" s="154"/>
      <c r="BK54" s="154"/>
      <c r="BL54" s="154"/>
      <c r="BM54" s="35"/>
      <c r="BN54" s="35"/>
    </row>
    <row r="55" spans="1:66" ht="13.5" thickBot="1">
      <c r="A55" s="35" t="s">
        <v>513</v>
      </c>
      <c r="B55" s="35"/>
      <c r="C55" s="39" t="s">
        <v>362</v>
      </c>
      <c r="D55" s="156" t="s">
        <v>79</v>
      </c>
      <c r="E55" s="152" t="s">
        <v>597</v>
      </c>
      <c r="F55" s="154">
        <v>4</v>
      </c>
      <c r="G55" s="154">
        <v>16</v>
      </c>
      <c r="H55" s="78">
        <v>102.4</v>
      </c>
      <c r="I55" s="31">
        <v>0</v>
      </c>
      <c r="J55" s="154" t="s">
        <v>578</v>
      </c>
      <c r="K55" s="156" t="s">
        <v>579</v>
      </c>
      <c r="L55" s="152">
        <v>110</v>
      </c>
      <c r="M55" s="35"/>
      <c r="N55" s="35"/>
      <c r="O55" s="35"/>
      <c r="P55" s="35"/>
      <c r="Q55" s="35"/>
      <c r="R55" s="35"/>
      <c r="S55" s="35"/>
      <c r="T55" s="35"/>
      <c r="U55" s="35"/>
      <c r="V55" s="35"/>
      <c r="W55" s="35"/>
      <c r="X55" s="35"/>
      <c r="Y55" s="35"/>
      <c r="Z55" s="35"/>
      <c r="AA55" s="35"/>
      <c r="AB55" s="35"/>
      <c r="AC55" s="35"/>
      <c r="AD55" s="35"/>
      <c r="AE55" s="35"/>
      <c r="AF55" s="35"/>
      <c r="AG55" s="154">
        <f t="shared" si="1"/>
        <v>204.8</v>
      </c>
      <c r="AH55" s="154" t="s">
        <v>581</v>
      </c>
      <c r="AI55" s="156" t="s">
        <v>579</v>
      </c>
      <c r="AJ55" s="152" t="s">
        <v>575</v>
      </c>
      <c r="AK55" s="35"/>
      <c r="AL55" s="35"/>
      <c r="AM55" s="35"/>
      <c r="AN55" s="35"/>
      <c r="AO55" s="35"/>
      <c r="AP55" s="35"/>
      <c r="AQ55" s="35"/>
      <c r="AR55" s="35"/>
      <c r="AS55" s="35"/>
      <c r="AT55" s="35"/>
      <c r="AU55" s="35"/>
      <c r="AV55" s="35"/>
      <c r="AW55" s="35"/>
      <c r="AX55" s="35"/>
      <c r="AY55" s="35"/>
      <c r="AZ55" s="35"/>
      <c r="BA55" s="154">
        <v>4</v>
      </c>
      <c r="BB55" s="154" t="s">
        <v>329</v>
      </c>
      <c r="BC55" s="154"/>
      <c r="BD55" s="154"/>
      <c r="BE55" s="154">
        <v>2</v>
      </c>
      <c r="BF55" s="154"/>
      <c r="BG55" s="154" t="s">
        <v>329</v>
      </c>
      <c r="BH55" s="154" t="s">
        <v>329</v>
      </c>
      <c r="BI55" s="154"/>
      <c r="BJ55" s="154"/>
      <c r="BK55" s="154"/>
      <c r="BL55" s="154"/>
      <c r="BM55" s="35"/>
      <c r="BN55" s="35"/>
    </row>
    <row r="56" spans="1:66" ht="13.5" thickBot="1">
      <c r="A56" s="35" t="s">
        <v>514</v>
      </c>
      <c r="B56" s="35"/>
      <c r="C56" s="39" t="s">
        <v>362</v>
      </c>
      <c r="D56" s="156" t="s">
        <v>79</v>
      </c>
      <c r="E56" s="152" t="s">
        <v>597</v>
      </c>
      <c r="F56" s="154">
        <v>4</v>
      </c>
      <c r="G56" s="154">
        <v>16</v>
      </c>
      <c r="H56" s="78">
        <v>102.4</v>
      </c>
      <c r="I56" s="31">
        <v>0</v>
      </c>
      <c r="J56" s="154" t="s">
        <v>578</v>
      </c>
      <c r="K56" s="156" t="s">
        <v>579</v>
      </c>
      <c r="L56" s="152">
        <v>110</v>
      </c>
      <c r="M56" s="35"/>
      <c r="N56" s="35"/>
      <c r="O56" s="98"/>
      <c r="P56" s="35"/>
      <c r="Q56" s="35"/>
      <c r="R56" s="35"/>
      <c r="S56" s="35"/>
      <c r="T56" s="35"/>
      <c r="U56" s="35"/>
      <c r="V56" s="35"/>
      <c r="W56" s="35"/>
      <c r="X56" s="35"/>
      <c r="Y56" s="35"/>
      <c r="Z56" s="35"/>
      <c r="AA56" s="35"/>
      <c r="AB56" s="35"/>
      <c r="AC56" s="35"/>
      <c r="AD56" s="35"/>
      <c r="AE56" s="35"/>
      <c r="AF56" s="35"/>
      <c r="AG56" s="154">
        <f t="shared" si="1"/>
        <v>204.8</v>
      </c>
      <c r="AH56" s="154" t="s">
        <v>581</v>
      </c>
      <c r="AI56" s="156" t="s">
        <v>579</v>
      </c>
      <c r="AJ56" s="152" t="s">
        <v>575</v>
      </c>
      <c r="AK56" s="35"/>
      <c r="AL56" s="35"/>
      <c r="AM56" s="35"/>
      <c r="AN56" s="35"/>
      <c r="AO56" s="35"/>
      <c r="AP56" s="35"/>
      <c r="AQ56" s="35"/>
      <c r="AR56" s="35"/>
      <c r="AS56" s="35"/>
      <c r="AT56" s="35"/>
      <c r="AU56" s="35"/>
      <c r="AV56" s="35"/>
      <c r="AW56" s="35"/>
      <c r="AX56" s="35"/>
      <c r="AY56" s="35"/>
      <c r="AZ56" s="35"/>
      <c r="BA56" s="154">
        <v>4</v>
      </c>
      <c r="BB56" s="154" t="s">
        <v>329</v>
      </c>
      <c r="BC56" s="154"/>
      <c r="BD56" s="154"/>
      <c r="BE56" s="154">
        <v>2</v>
      </c>
      <c r="BF56" s="154"/>
      <c r="BG56" s="154" t="s">
        <v>329</v>
      </c>
      <c r="BH56" s="154" t="s">
        <v>329</v>
      </c>
      <c r="BI56" s="154"/>
      <c r="BJ56" s="154"/>
      <c r="BK56" s="154"/>
      <c r="BL56" s="154"/>
      <c r="BM56" s="35"/>
      <c r="BN56" s="35"/>
    </row>
    <row r="57" spans="1:66">
      <c r="A57" s="35" t="s">
        <v>515</v>
      </c>
      <c r="B57" s="35"/>
      <c r="C57" s="39" t="s">
        <v>362</v>
      </c>
      <c r="D57" s="156" t="s">
        <v>79</v>
      </c>
      <c r="E57" s="152" t="s">
        <v>597</v>
      </c>
      <c r="F57" s="154">
        <v>4</v>
      </c>
      <c r="G57" s="154">
        <v>16</v>
      </c>
      <c r="H57" s="78">
        <v>102.4</v>
      </c>
      <c r="I57" s="31">
        <v>0</v>
      </c>
      <c r="J57" s="154" t="s">
        <v>578</v>
      </c>
      <c r="K57" s="156" t="s">
        <v>579</v>
      </c>
      <c r="L57" s="152">
        <v>110</v>
      </c>
      <c r="M57" s="35"/>
      <c r="N57" s="35"/>
      <c r="O57" s="35"/>
      <c r="P57" s="35"/>
      <c r="Q57" s="35"/>
      <c r="R57" s="35"/>
      <c r="S57" s="35"/>
      <c r="T57" s="35"/>
      <c r="U57" s="35"/>
      <c r="V57" s="35"/>
      <c r="W57" s="35"/>
      <c r="X57" s="35"/>
      <c r="Y57" s="35"/>
      <c r="Z57" s="35"/>
      <c r="AA57" s="35"/>
      <c r="AB57" s="35"/>
      <c r="AC57" s="35"/>
      <c r="AD57" s="35"/>
      <c r="AE57" s="35"/>
      <c r="AF57" s="35"/>
      <c r="AG57" s="154">
        <f t="shared" si="1"/>
        <v>204.8</v>
      </c>
      <c r="AH57" s="154" t="s">
        <v>581</v>
      </c>
      <c r="AI57" s="156" t="s">
        <v>579</v>
      </c>
      <c r="AJ57" s="152" t="s">
        <v>575</v>
      </c>
      <c r="AK57" s="35"/>
      <c r="AL57" s="35"/>
      <c r="AM57" s="35"/>
      <c r="AN57" s="35"/>
      <c r="AO57" s="35"/>
      <c r="AP57" s="35"/>
      <c r="AQ57" s="35"/>
      <c r="AR57" s="35"/>
      <c r="AS57" s="35"/>
      <c r="AT57" s="35"/>
      <c r="AU57" s="35"/>
      <c r="AV57" s="35"/>
      <c r="AW57" s="35"/>
      <c r="AX57" s="35"/>
      <c r="AY57" s="35"/>
      <c r="AZ57" s="35"/>
      <c r="BA57" s="154">
        <v>4</v>
      </c>
      <c r="BB57" s="154" t="s">
        <v>329</v>
      </c>
      <c r="BC57" s="154"/>
      <c r="BD57" s="154"/>
      <c r="BE57" s="154">
        <v>2</v>
      </c>
      <c r="BF57" s="154"/>
      <c r="BG57" s="154" t="s">
        <v>329</v>
      </c>
      <c r="BH57" s="154" t="s">
        <v>329</v>
      </c>
      <c r="BI57" s="154"/>
      <c r="BJ57" s="154"/>
      <c r="BK57" s="154"/>
      <c r="BL57" s="154"/>
      <c r="BM57" s="35"/>
      <c r="BN57" s="35"/>
    </row>
    <row r="58" spans="1:66">
      <c r="A58" s="35" t="s">
        <v>385</v>
      </c>
      <c r="B58" s="35"/>
      <c r="C58" s="39" t="s">
        <v>362</v>
      </c>
      <c r="D58" s="156" t="s">
        <v>77</v>
      </c>
      <c r="E58" s="152" t="s">
        <v>598</v>
      </c>
      <c r="F58" s="154">
        <v>4</v>
      </c>
      <c r="G58" s="154">
        <v>14</v>
      </c>
      <c r="H58" s="78">
        <v>102.4</v>
      </c>
      <c r="I58" s="31">
        <v>0</v>
      </c>
      <c r="J58" s="154" t="s">
        <v>578</v>
      </c>
      <c r="K58" s="156" t="s">
        <v>579</v>
      </c>
      <c r="L58" s="152">
        <v>100</v>
      </c>
      <c r="M58" s="35"/>
      <c r="N58" s="35"/>
      <c r="O58" s="35"/>
      <c r="P58" s="35"/>
      <c r="Q58" s="35"/>
      <c r="R58" s="35"/>
      <c r="S58" s="35"/>
      <c r="T58" s="35"/>
      <c r="U58" s="35"/>
      <c r="V58" s="35"/>
      <c r="W58" s="35"/>
      <c r="X58" s="35"/>
      <c r="Y58" s="35"/>
      <c r="Z58" s="35"/>
      <c r="AA58" s="35"/>
      <c r="AB58" s="35"/>
      <c r="AC58" s="35"/>
      <c r="AD58" s="35"/>
      <c r="AE58" s="35"/>
      <c r="AF58" s="35"/>
      <c r="AG58" s="154">
        <f t="shared" si="1"/>
        <v>204.8</v>
      </c>
      <c r="AH58" s="154" t="s">
        <v>581</v>
      </c>
      <c r="AI58" s="156" t="s">
        <v>579</v>
      </c>
      <c r="AJ58" s="152" t="s">
        <v>575</v>
      </c>
      <c r="AK58" s="35"/>
      <c r="AL58" s="35"/>
      <c r="AM58" s="35"/>
      <c r="AN58" s="35"/>
      <c r="AO58" s="35"/>
      <c r="AP58" s="35"/>
      <c r="AQ58" s="35"/>
      <c r="AR58" s="35"/>
      <c r="AS58" s="35"/>
      <c r="AT58" s="35"/>
      <c r="AU58" s="35"/>
      <c r="AV58" s="35"/>
      <c r="AW58" s="35"/>
      <c r="AX58" s="35"/>
      <c r="AY58" s="35"/>
      <c r="AZ58" s="35"/>
      <c r="BA58" s="154">
        <v>4</v>
      </c>
      <c r="BB58" s="154" t="s">
        <v>329</v>
      </c>
      <c r="BC58" s="154"/>
      <c r="BD58" s="154"/>
      <c r="BE58" s="154">
        <v>2</v>
      </c>
      <c r="BF58" s="154"/>
      <c r="BG58" s="154" t="s">
        <v>329</v>
      </c>
      <c r="BH58" s="154" t="s">
        <v>329</v>
      </c>
      <c r="BI58" s="154"/>
      <c r="BJ58" s="154"/>
      <c r="BK58" s="154"/>
      <c r="BL58" s="154"/>
      <c r="BM58" s="35"/>
      <c r="BN58" s="35"/>
    </row>
    <row r="59" spans="1:66">
      <c r="A59" s="35" t="s">
        <v>516</v>
      </c>
      <c r="B59" s="35"/>
      <c r="C59" s="39" t="s">
        <v>362</v>
      </c>
      <c r="D59" s="156" t="s">
        <v>79</v>
      </c>
      <c r="E59" s="152" t="s">
        <v>597</v>
      </c>
      <c r="F59" s="154">
        <v>4</v>
      </c>
      <c r="G59" s="154">
        <v>16</v>
      </c>
      <c r="H59" s="78">
        <v>102.4</v>
      </c>
      <c r="I59" s="31">
        <v>0</v>
      </c>
      <c r="J59" s="154" t="s">
        <v>578</v>
      </c>
      <c r="K59" s="156" t="s">
        <v>579</v>
      </c>
      <c r="L59" s="152">
        <v>110</v>
      </c>
      <c r="M59" s="35"/>
      <c r="N59" s="35"/>
      <c r="O59" s="35"/>
      <c r="P59" s="35"/>
      <c r="Q59" s="35"/>
      <c r="R59" s="35"/>
      <c r="S59" s="35"/>
      <c r="T59" s="35"/>
      <c r="U59" s="35"/>
      <c r="V59" s="35"/>
      <c r="W59" s="35"/>
      <c r="X59" s="35"/>
      <c r="Y59" s="35"/>
      <c r="Z59" s="35"/>
      <c r="AA59" s="35"/>
      <c r="AB59" s="35"/>
      <c r="AC59" s="35"/>
      <c r="AD59" s="35"/>
      <c r="AE59" s="35"/>
      <c r="AF59" s="35"/>
      <c r="AG59" s="154">
        <f t="shared" si="1"/>
        <v>204.8</v>
      </c>
      <c r="AH59" s="154" t="s">
        <v>581</v>
      </c>
      <c r="AI59" s="156" t="s">
        <v>579</v>
      </c>
      <c r="AJ59" s="152" t="s">
        <v>575</v>
      </c>
      <c r="AK59" s="35"/>
      <c r="AL59" s="35"/>
      <c r="AM59" s="35"/>
      <c r="AN59" s="35"/>
      <c r="AO59" s="35"/>
      <c r="AP59" s="35"/>
      <c r="AQ59" s="35"/>
      <c r="AR59" s="35"/>
      <c r="AS59" s="35"/>
      <c r="AT59" s="35"/>
      <c r="AU59" s="35"/>
      <c r="AV59" s="35"/>
      <c r="AW59" s="35"/>
      <c r="AX59" s="35"/>
      <c r="AY59" s="35"/>
      <c r="AZ59" s="35"/>
      <c r="BA59" s="154">
        <v>4</v>
      </c>
      <c r="BB59" s="154" t="s">
        <v>329</v>
      </c>
      <c r="BC59" s="154"/>
      <c r="BD59" s="154"/>
      <c r="BE59" s="154">
        <v>2</v>
      </c>
      <c r="BF59" s="154"/>
      <c r="BG59" s="154" t="s">
        <v>329</v>
      </c>
      <c r="BH59" s="154" t="s">
        <v>329</v>
      </c>
      <c r="BI59" s="154"/>
      <c r="BJ59" s="154"/>
      <c r="BK59" s="154"/>
      <c r="BL59" s="154"/>
      <c r="BM59" s="35"/>
      <c r="BN59" s="35"/>
    </row>
    <row r="60" spans="1:66">
      <c r="A60" s="35" t="s">
        <v>386</v>
      </c>
      <c r="B60" s="35"/>
      <c r="C60" s="156" t="s">
        <v>326</v>
      </c>
      <c r="D60" s="35" t="s">
        <v>110</v>
      </c>
      <c r="E60" s="152" t="s">
        <v>604</v>
      </c>
      <c r="F60" s="154">
        <v>6</v>
      </c>
      <c r="G60" s="154">
        <v>20</v>
      </c>
      <c r="H60" s="154">
        <v>204.8</v>
      </c>
      <c r="I60" s="31">
        <v>16384</v>
      </c>
      <c r="J60" s="154" t="s">
        <v>581</v>
      </c>
      <c r="K60" s="156" t="s">
        <v>579</v>
      </c>
      <c r="L60" s="152">
        <v>2.6</v>
      </c>
      <c r="M60" s="35"/>
      <c r="N60" s="35"/>
      <c r="O60" s="35"/>
      <c r="P60" s="35"/>
      <c r="Q60" s="35"/>
      <c r="R60" s="35"/>
      <c r="S60" s="35"/>
      <c r="T60" s="35"/>
      <c r="U60" s="35"/>
      <c r="V60" s="35"/>
      <c r="W60" s="35"/>
      <c r="X60" s="35"/>
      <c r="Y60" s="35"/>
      <c r="Z60" s="35"/>
      <c r="AA60" s="35"/>
      <c r="AB60" s="35"/>
      <c r="AC60" s="35"/>
      <c r="AD60" s="35"/>
      <c r="AE60" s="35"/>
      <c r="AF60" s="35"/>
      <c r="AG60" s="154">
        <f t="shared" si="1"/>
        <v>409.6</v>
      </c>
      <c r="AH60" s="154" t="s">
        <v>581</v>
      </c>
      <c r="AI60" s="156" t="s">
        <v>579</v>
      </c>
      <c r="AJ60" s="152" t="s">
        <v>575</v>
      </c>
      <c r="AK60" s="35"/>
      <c r="AL60" s="35"/>
      <c r="AM60" s="35"/>
      <c r="AN60" s="35"/>
      <c r="AO60" s="35"/>
      <c r="AP60" s="35"/>
      <c r="AQ60" s="35"/>
      <c r="AR60" s="35"/>
      <c r="AS60" s="35"/>
      <c r="AT60" s="35"/>
      <c r="AU60" s="35"/>
      <c r="AV60" s="35"/>
      <c r="AW60" s="35"/>
      <c r="AX60" s="35"/>
      <c r="AY60" s="35"/>
      <c r="AZ60" s="35"/>
      <c r="BA60" s="154">
        <v>2</v>
      </c>
      <c r="BB60" s="154" t="s">
        <v>329</v>
      </c>
      <c r="BC60" s="154"/>
      <c r="BD60" s="154"/>
      <c r="BE60" s="154">
        <v>2</v>
      </c>
      <c r="BF60" s="154"/>
      <c r="BG60" s="154" t="s">
        <v>329</v>
      </c>
      <c r="BH60" s="154" t="s">
        <v>329</v>
      </c>
      <c r="BI60" s="154"/>
      <c r="BJ60" s="154"/>
      <c r="BK60" s="154"/>
      <c r="BL60" s="154"/>
      <c r="BM60" s="35"/>
      <c r="BN60" s="35"/>
    </row>
    <row r="61" spans="1:66">
      <c r="A61" s="35" t="s">
        <v>387</v>
      </c>
      <c r="B61" s="35"/>
      <c r="C61" s="156" t="s">
        <v>326</v>
      </c>
      <c r="D61" s="35" t="s">
        <v>110</v>
      </c>
      <c r="E61" s="152" t="s">
        <v>604</v>
      </c>
      <c r="F61" s="154">
        <v>6</v>
      </c>
      <c r="G61" s="154">
        <v>20</v>
      </c>
      <c r="H61" s="154">
        <v>204.8</v>
      </c>
      <c r="I61" s="31">
        <v>16384</v>
      </c>
      <c r="J61" s="154" t="s">
        <v>581</v>
      </c>
      <c r="K61" s="156" t="s">
        <v>579</v>
      </c>
      <c r="L61" s="152">
        <v>2.6</v>
      </c>
      <c r="M61" s="35"/>
      <c r="N61" s="35"/>
      <c r="O61" s="35"/>
      <c r="P61" s="35"/>
      <c r="Q61" s="35"/>
      <c r="R61" s="35"/>
      <c r="S61" s="35"/>
      <c r="T61" s="35"/>
      <c r="U61" s="35"/>
      <c r="V61" s="35"/>
      <c r="W61" s="35"/>
      <c r="X61" s="35"/>
      <c r="Y61" s="35"/>
      <c r="Z61" s="35"/>
      <c r="AA61" s="35"/>
      <c r="AB61" s="35"/>
      <c r="AC61" s="35"/>
      <c r="AD61" s="35"/>
      <c r="AE61" s="35"/>
      <c r="AF61" s="35"/>
      <c r="AG61" s="154">
        <f t="shared" si="1"/>
        <v>409.6</v>
      </c>
      <c r="AH61" s="154" t="s">
        <v>581</v>
      </c>
      <c r="AI61" s="156" t="s">
        <v>579</v>
      </c>
      <c r="AJ61" s="152" t="s">
        <v>575</v>
      </c>
      <c r="AK61" s="35"/>
      <c r="AL61" s="35"/>
      <c r="AM61" s="35"/>
      <c r="AN61" s="35"/>
      <c r="AO61" s="35"/>
      <c r="AP61" s="35"/>
      <c r="AQ61" s="35"/>
      <c r="AR61" s="35"/>
      <c r="AS61" s="35"/>
      <c r="AT61" s="35"/>
      <c r="AU61" s="35"/>
      <c r="AV61" s="35"/>
      <c r="AW61" s="35"/>
      <c r="AX61" s="35"/>
      <c r="AY61" s="35"/>
      <c r="AZ61" s="35"/>
      <c r="BA61" s="154">
        <v>2</v>
      </c>
      <c r="BB61" s="154" t="s">
        <v>329</v>
      </c>
      <c r="BC61" s="154"/>
      <c r="BD61" s="154"/>
      <c r="BE61" s="154">
        <v>2</v>
      </c>
      <c r="BF61" s="154"/>
      <c r="BG61" s="154" t="s">
        <v>329</v>
      </c>
      <c r="BH61" s="154" t="s">
        <v>329</v>
      </c>
      <c r="BI61" s="154"/>
      <c r="BJ61" s="154"/>
      <c r="BK61" s="154"/>
      <c r="BL61" s="154"/>
      <c r="BM61" s="35"/>
      <c r="BN61" s="35"/>
    </row>
    <row r="62" spans="1:66">
      <c r="A62" s="35" t="s">
        <v>496</v>
      </c>
      <c r="B62" s="35"/>
      <c r="C62" s="156" t="s">
        <v>326</v>
      </c>
      <c r="D62" s="35" t="s">
        <v>110</v>
      </c>
      <c r="E62" s="152" t="s">
        <v>604</v>
      </c>
      <c r="F62" s="154">
        <v>6</v>
      </c>
      <c r="G62" s="154">
        <v>20</v>
      </c>
      <c r="H62" s="154">
        <v>204.8</v>
      </c>
      <c r="I62" s="31">
        <v>16384</v>
      </c>
      <c r="J62" s="154" t="s">
        <v>581</v>
      </c>
      <c r="K62" s="156" t="s">
        <v>579</v>
      </c>
      <c r="L62" s="152">
        <v>2.6</v>
      </c>
      <c r="M62" s="35"/>
      <c r="N62" s="35"/>
      <c r="O62" s="35"/>
      <c r="P62" s="35"/>
      <c r="Q62" s="35"/>
      <c r="R62" s="35"/>
      <c r="S62" s="35"/>
      <c r="T62" s="35"/>
      <c r="U62" s="35"/>
      <c r="V62" s="35"/>
      <c r="W62" s="35"/>
      <c r="X62" s="35"/>
      <c r="Y62" s="35"/>
      <c r="Z62" s="35"/>
      <c r="AA62" s="35"/>
      <c r="AB62" s="35"/>
      <c r="AC62" s="35"/>
      <c r="AD62" s="35"/>
      <c r="AE62" s="35"/>
      <c r="AF62" s="35"/>
      <c r="AG62" s="154">
        <f t="shared" si="1"/>
        <v>409.6</v>
      </c>
      <c r="AH62" s="154" t="s">
        <v>581</v>
      </c>
      <c r="AI62" s="156" t="s">
        <v>579</v>
      </c>
      <c r="AJ62" s="152" t="s">
        <v>575</v>
      </c>
      <c r="AK62" s="35"/>
      <c r="AL62" s="35"/>
      <c r="AM62" s="35"/>
      <c r="AN62" s="35"/>
      <c r="AO62" s="35"/>
      <c r="AP62" s="35"/>
      <c r="AQ62" s="35"/>
      <c r="AR62" s="35"/>
      <c r="AS62" s="35"/>
      <c r="AT62" s="35"/>
      <c r="AU62" s="35"/>
      <c r="AV62" s="35"/>
      <c r="AW62" s="35"/>
      <c r="AX62" s="35"/>
      <c r="AY62" s="35"/>
      <c r="AZ62" s="35"/>
      <c r="BA62" s="154">
        <v>2</v>
      </c>
      <c r="BB62" s="154" t="s">
        <v>329</v>
      </c>
      <c r="BC62" s="154"/>
      <c r="BD62" s="154"/>
      <c r="BE62" s="154">
        <v>2</v>
      </c>
      <c r="BF62" s="154"/>
      <c r="BG62" s="154" t="s">
        <v>329</v>
      </c>
      <c r="BH62" s="154" t="s">
        <v>329</v>
      </c>
      <c r="BI62" s="154"/>
      <c r="BJ62" s="154"/>
      <c r="BK62" s="154"/>
      <c r="BL62" s="154"/>
      <c r="BM62" s="35"/>
      <c r="BN62" s="35"/>
    </row>
    <row r="63" spans="1:66">
      <c r="A63" s="35" t="s">
        <v>497</v>
      </c>
      <c r="B63" s="35"/>
      <c r="C63" s="156" t="s">
        <v>326</v>
      </c>
      <c r="D63" s="35" t="s">
        <v>110</v>
      </c>
      <c r="E63" s="152" t="s">
        <v>604</v>
      </c>
      <c r="F63" s="154">
        <v>6</v>
      </c>
      <c r="G63" s="154">
        <v>20</v>
      </c>
      <c r="H63" s="154">
        <v>204.8</v>
      </c>
      <c r="I63" s="31">
        <v>16384</v>
      </c>
      <c r="J63" s="154" t="s">
        <v>581</v>
      </c>
      <c r="K63" s="156" t="s">
        <v>579</v>
      </c>
      <c r="L63" s="152">
        <v>2.6</v>
      </c>
      <c r="M63" s="35"/>
      <c r="N63" s="35"/>
      <c r="O63" s="35"/>
      <c r="P63" s="35"/>
      <c r="Q63" s="35"/>
      <c r="R63" s="35"/>
      <c r="S63" s="35"/>
      <c r="T63" s="35"/>
      <c r="U63" s="35"/>
      <c r="V63" s="35"/>
      <c r="W63" s="35"/>
      <c r="X63" s="35"/>
      <c r="Y63" s="35"/>
      <c r="Z63" s="35"/>
      <c r="AA63" s="35"/>
      <c r="AB63" s="35"/>
      <c r="AC63" s="35"/>
      <c r="AD63" s="35"/>
      <c r="AE63" s="35"/>
      <c r="AF63" s="35"/>
      <c r="AG63" s="154">
        <f t="shared" si="1"/>
        <v>409.6</v>
      </c>
      <c r="AH63" s="154" t="s">
        <v>581</v>
      </c>
      <c r="AI63" s="156" t="s">
        <v>579</v>
      </c>
      <c r="AJ63" s="152" t="s">
        <v>575</v>
      </c>
      <c r="AK63" s="35"/>
      <c r="AL63" s="35"/>
      <c r="AM63" s="35"/>
      <c r="AN63" s="35"/>
      <c r="AO63" s="35"/>
      <c r="AP63" s="35"/>
      <c r="AQ63" s="35"/>
      <c r="AR63" s="35"/>
      <c r="AS63" s="35"/>
      <c r="AT63" s="35"/>
      <c r="AU63" s="35"/>
      <c r="AV63" s="35"/>
      <c r="AW63" s="35"/>
      <c r="AX63" s="35"/>
      <c r="AY63" s="35"/>
      <c r="AZ63" s="35"/>
      <c r="BA63" s="154">
        <v>2</v>
      </c>
      <c r="BB63" s="154" t="s">
        <v>329</v>
      </c>
      <c r="BC63" s="154"/>
      <c r="BD63" s="154"/>
      <c r="BE63" s="154">
        <v>2</v>
      </c>
      <c r="BF63" s="154"/>
      <c r="BG63" s="154" t="s">
        <v>329</v>
      </c>
      <c r="BH63" s="154" t="s">
        <v>329</v>
      </c>
      <c r="BI63" s="154"/>
      <c r="BJ63" s="154"/>
      <c r="BK63" s="154"/>
      <c r="BL63" s="154"/>
      <c r="BM63" s="35"/>
      <c r="BN63" s="35"/>
    </row>
    <row r="64" spans="1:66">
      <c r="A64" s="35" t="s">
        <v>388</v>
      </c>
      <c r="B64" s="35"/>
      <c r="C64" s="156" t="s">
        <v>326</v>
      </c>
      <c r="D64" s="35" t="s">
        <v>30</v>
      </c>
      <c r="E64" s="154" t="s">
        <v>605</v>
      </c>
      <c r="F64" s="154">
        <v>4</v>
      </c>
      <c r="G64" s="154">
        <v>4</v>
      </c>
      <c r="H64" s="78">
        <v>40.96</v>
      </c>
      <c r="I64" s="31">
        <v>4096</v>
      </c>
      <c r="J64" s="154" t="s">
        <v>581</v>
      </c>
      <c r="K64" s="156" t="s">
        <v>579</v>
      </c>
      <c r="L64" s="152">
        <v>2.6</v>
      </c>
      <c r="M64" s="35"/>
      <c r="N64" s="35"/>
      <c r="O64" s="35"/>
      <c r="P64" s="35"/>
      <c r="Q64" s="35"/>
      <c r="R64" s="35"/>
      <c r="S64" s="35"/>
      <c r="T64" s="35"/>
      <c r="U64" s="35"/>
      <c r="V64" s="35"/>
      <c r="W64" s="35"/>
      <c r="X64" s="35"/>
      <c r="Y64" s="35"/>
      <c r="Z64" s="35"/>
      <c r="AA64" s="35"/>
      <c r="AB64" s="35"/>
      <c r="AC64" s="35"/>
      <c r="AD64" s="35"/>
      <c r="AE64" s="35"/>
      <c r="AF64" s="35"/>
      <c r="AG64" s="154">
        <f t="shared" si="1"/>
        <v>81.92</v>
      </c>
      <c r="AH64" s="154" t="s">
        <v>581</v>
      </c>
      <c r="AI64" s="156" t="s">
        <v>579</v>
      </c>
      <c r="AJ64" s="152" t="s">
        <v>575</v>
      </c>
      <c r="AK64" s="35"/>
      <c r="AL64" s="35"/>
      <c r="AM64" s="35"/>
      <c r="AN64" s="35"/>
      <c r="AO64" s="35"/>
      <c r="AP64" s="35"/>
      <c r="AQ64" s="35"/>
      <c r="AR64" s="35"/>
      <c r="AS64" s="35"/>
      <c r="AT64" s="35"/>
      <c r="AU64" s="35"/>
      <c r="AV64" s="35"/>
      <c r="AW64" s="35"/>
      <c r="AX64" s="35"/>
      <c r="AY64" s="35"/>
      <c r="AZ64" s="35"/>
      <c r="BA64" s="154">
        <v>2</v>
      </c>
      <c r="BB64" s="154" t="s">
        <v>329</v>
      </c>
      <c r="BC64" s="154"/>
      <c r="BD64" s="154"/>
      <c r="BE64" s="154">
        <v>2</v>
      </c>
      <c r="BF64" s="154"/>
      <c r="BG64" s="154" t="s">
        <v>329</v>
      </c>
      <c r="BH64" s="154" t="s">
        <v>329</v>
      </c>
      <c r="BI64" s="154"/>
      <c r="BJ64" s="154"/>
      <c r="BK64" s="154"/>
      <c r="BL64" s="154"/>
      <c r="BM64" s="35"/>
      <c r="BN64" s="35"/>
    </row>
    <row r="65" spans="1:66">
      <c r="A65" s="35" t="s">
        <v>389</v>
      </c>
      <c r="B65" s="35"/>
      <c r="C65" s="156" t="s">
        <v>326</v>
      </c>
      <c r="D65" s="35" t="s">
        <v>22</v>
      </c>
      <c r="E65" s="154" t="s">
        <v>605</v>
      </c>
      <c r="F65" s="154">
        <v>4</v>
      </c>
      <c r="G65" s="154">
        <v>4</v>
      </c>
      <c r="H65" s="78">
        <v>30.72</v>
      </c>
      <c r="I65" s="31">
        <v>4096</v>
      </c>
      <c r="J65" s="154" t="s">
        <v>581</v>
      </c>
      <c r="K65" s="156" t="s">
        <v>579</v>
      </c>
      <c r="L65" s="152">
        <v>2.6</v>
      </c>
      <c r="M65" s="35"/>
      <c r="N65" s="35"/>
      <c r="O65" s="35"/>
      <c r="P65" s="35"/>
      <c r="Q65" s="35"/>
      <c r="R65" s="35"/>
      <c r="S65" s="35"/>
      <c r="T65" s="35"/>
      <c r="U65" s="35"/>
      <c r="V65" s="35"/>
      <c r="W65" s="35"/>
      <c r="X65" s="35"/>
      <c r="Y65" s="35"/>
      <c r="Z65" s="35"/>
      <c r="AA65" s="35"/>
      <c r="AB65" s="35"/>
      <c r="AC65" s="35"/>
      <c r="AD65" s="35"/>
      <c r="AE65" s="35"/>
      <c r="AF65" s="35"/>
      <c r="AG65" s="154">
        <f t="shared" si="1"/>
        <v>61.44</v>
      </c>
      <c r="AH65" s="154" t="s">
        <v>581</v>
      </c>
      <c r="AI65" s="156" t="s">
        <v>579</v>
      </c>
      <c r="AJ65" s="152" t="s">
        <v>575</v>
      </c>
      <c r="AK65" s="35"/>
      <c r="AL65" s="35"/>
      <c r="AM65" s="35"/>
      <c r="AN65" s="35"/>
      <c r="AO65" s="35"/>
      <c r="AP65" s="35"/>
      <c r="AQ65" s="35"/>
      <c r="AR65" s="35"/>
      <c r="AS65" s="35"/>
      <c r="AT65" s="35"/>
      <c r="AU65" s="35"/>
      <c r="AV65" s="35"/>
      <c r="AW65" s="35"/>
      <c r="AX65" s="35"/>
      <c r="AY65" s="35"/>
      <c r="AZ65" s="35"/>
      <c r="BA65" s="154">
        <v>2</v>
      </c>
      <c r="BB65" s="154" t="s">
        <v>329</v>
      </c>
      <c r="BC65" s="154"/>
      <c r="BD65" s="154"/>
      <c r="BE65" s="154">
        <v>2</v>
      </c>
      <c r="BF65" s="154"/>
      <c r="BG65" s="154" t="s">
        <v>329</v>
      </c>
      <c r="BH65" s="154" t="s">
        <v>329</v>
      </c>
      <c r="BI65" s="154"/>
      <c r="BJ65" s="154"/>
      <c r="BK65" s="154"/>
      <c r="BL65" s="154"/>
      <c r="BM65" s="35"/>
      <c r="BN65" s="35"/>
    </row>
    <row r="66" spans="1:66">
      <c r="A66" s="35" t="s">
        <v>390</v>
      </c>
      <c r="B66" s="35"/>
      <c r="C66" s="156" t="s">
        <v>326</v>
      </c>
      <c r="D66" s="35" t="s">
        <v>26</v>
      </c>
      <c r="E66" s="154" t="s">
        <v>605</v>
      </c>
      <c r="F66" s="154">
        <v>4</v>
      </c>
      <c r="G66" s="154">
        <v>4</v>
      </c>
      <c r="H66" s="78">
        <v>30.72</v>
      </c>
      <c r="I66" s="31">
        <v>4096</v>
      </c>
      <c r="J66" s="154" t="s">
        <v>581</v>
      </c>
      <c r="K66" s="156" t="s">
        <v>579</v>
      </c>
      <c r="L66" s="152">
        <v>2.6</v>
      </c>
      <c r="M66" s="35"/>
      <c r="N66" s="35"/>
      <c r="O66" s="35"/>
      <c r="P66" s="35"/>
      <c r="Q66" s="35"/>
      <c r="R66" s="35"/>
      <c r="S66" s="35"/>
      <c r="T66" s="35"/>
      <c r="U66" s="35"/>
      <c r="V66" s="35"/>
      <c r="W66" s="35"/>
      <c r="X66" s="35"/>
      <c r="Y66" s="35"/>
      <c r="Z66" s="35"/>
      <c r="AA66" s="35"/>
      <c r="AB66" s="35"/>
      <c r="AC66" s="35"/>
      <c r="AD66" s="35"/>
      <c r="AE66" s="35"/>
      <c r="AF66" s="35"/>
      <c r="AG66" s="154">
        <f t="shared" si="1"/>
        <v>61.44</v>
      </c>
      <c r="AH66" s="154" t="s">
        <v>581</v>
      </c>
      <c r="AI66" s="156" t="s">
        <v>579</v>
      </c>
      <c r="AJ66" s="152" t="s">
        <v>575</v>
      </c>
      <c r="AK66" s="35"/>
      <c r="AL66" s="35"/>
      <c r="AM66" s="35"/>
      <c r="AN66" s="35"/>
      <c r="AO66" s="35"/>
      <c r="AP66" s="35"/>
      <c r="AQ66" s="35"/>
      <c r="AR66" s="35"/>
      <c r="AS66" s="35"/>
      <c r="AT66" s="35"/>
      <c r="AU66" s="35"/>
      <c r="AV66" s="35"/>
      <c r="AW66" s="35"/>
      <c r="AX66" s="35"/>
      <c r="AY66" s="35"/>
      <c r="AZ66" s="35"/>
      <c r="BA66" s="154">
        <v>2</v>
      </c>
      <c r="BB66" s="154" t="s">
        <v>329</v>
      </c>
      <c r="BC66" s="154"/>
      <c r="BD66" s="154"/>
      <c r="BE66" s="154">
        <v>2</v>
      </c>
      <c r="BF66" s="154"/>
      <c r="BG66" s="154" t="s">
        <v>329</v>
      </c>
      <c r="BH66" s="154" t="s">
        <v>329</v>
      </c>
      <c r="BI66" s="154"/>
      <c r="BJ66" s="154"/>
      <c r="BK66" s="154"/>
      <c r="BL66" s="154"/>
      <c r="BM66" s="35"/>
      <c r="BN66" s="35"/>
    </row>
    <row r="67" spans="1:66" ht="15">
      <c r="A67" s="35" t="s">
        <v>391</v>
      </c>
      <c r="B67" s="35"/>
      <c r="C67" s="156" t="s">
        <v>326</v>
      </c>
      <c r="D67" s="35" t="s">
        <v>38</v>
      </c>
      <c r="E67" s="154" t="s">
        <v>606</v>
      </c>
      <c r="F67" s="154">
        <v>6</v>
      </c>
      <c r="G67" s="154">
        <v>7</v>
      </c>
      <c r="H67" s="154">
        <v>112.64</v>
      </c>
      <c r="I67" s="31">
        <v>4096</v>
      </c>
      <c r="J67" s="154" t="s">
        <v>581</v>
      </c>
      <c r="K67" s="156" t="s">
        <v>579</v>
      </c>
      <c r="L67" s="152">
        <v>2.6</v>
      </c>
      <c r="M67" s="154"/>
      <c r="N67" s="154"/>
      <c r="O67" s="154"/>
      <c r="P67" s="154"/>
      <c r="Q67" s="40"/>
      <c r="R67" s="40"/>
      <c r="S67" s="40"/>
      <c r="T67" s="40"/>
      <c r="U67" s="154"/>
      <c r="V67" s="154"/>
      <c r="W67" s="154"/>
      <c r="X67" s="154"/>
      <c r="Y67" s="154"/>
      <c r="Z67" s="154"/>
      <c r="AA67" s="154"/>
      <c r="AB67" s="154"/>
      <c r="AC67" s="154"/>
      <c r="AD67" s="154"/>
      <c r="AE67" s="154"/>
      <c r="AF67" s="154"/>
      <c r="AG67" s="154">
        <f t="shared" si="1"/>
        <v>225.28</v>
      </c>
      <c r="AH67" s="154" t="s">
        <v>581</v>
      </c>
      <c r="AI67" s="156" t="s">
        <v>579</v>
      </c>
      <c r="AJ67" s="152" t="s">
        <v>575</v>
      </c>
      <c r="AK67" s="154"/>
      <c r="AL67" s="154"/>
      <c r="AM67" s="154"/>
      <c r="AN67" s="154"/>
      <c r="AO67" s="154"/>
      <c r="AP67" s="154"/>
      <c r="AQ67" s="154"/>
      <c r="AR67" s="154"/>
      <c r="AS67" s="154"/>
      <c r="AT67" s="154"/>
      <c r="AU67" s="154"/>
      <c r="AV67" s="154"/>
      <c r="AW67" s="154"/>
      <c r="AX67" s="154"/>
      <c r="AY67" s="154"/>
      <c r="AZ67" s="154"/>
      <c r="BA67" s="154">
        <v>2</v>
      </c>
      <c r="BB67" s="154" t="s">
        <v>329</v>
      </c>
      <c r="BC67" s="154" t="s">
        <v>329</v>
      </c>
      <c r="BD67" s="154"/>
      <c r="BE67" s="154">
        <v>2</v>
      </c>
      <c r="BF67" s="154"/>
      <c r="BG67" s="154" t="s">
        <v>329</v>
      </c>
      <c r="BH67" s="154" t="s">
        <v>329</v>
      </c>
      <c r="BI67" s="154"/>
      <c r="BJ67" s="154"/>
      <c r="BK67" s="154"/>
      <c r="BL67" s="154"/>
      <c r="BM67" s="35"/>
      <c r="BN67" s="35"/>
    </row>
    <row r="68" spans="1:66" ht="15">
      <c r="A68" s="35" t="s">
        <v>517</v>
      </c>
      <c r="B68" s="35"/>
      <c r="C68" s="156" t="s">
        <v>326</v>
      </c>
      <c r="D68" s="35" t="s">
        <v>38</v>
      </c>
      <c r="E68" s="154" t="s">
        <v>606</v>
      </c>
      <c r="F68" s="154">
        <v>6</v>
      </c>
      <c r="G68" s="154">
        <v>7</v>
      </c>
      <c r="H68" s="154">
        <v>112.64</v>
      </c>
      <c r="I68" s="31">
        <v>4096</v>
      </c>
      <c r="J68" s="154" t="s">
        <v>581</v>
      </c>
      <c r="K68" s="156" t="s">
        <v>579</v>
      </c>
      <c r="L68" s="152">
        <v>2.6</v>
      </c>
      <c r="M68" s="154"/>
      <c r="N68" s="154"/>
      <c r="O68" s="154"/>
      <c r="P68" s="154"/>
      <c r="Q68" s="40"/>
      <c r="R68" s="40"/>
      <c r="S68" s="40"/>
      <c r="T68" s="40"/>
      <c r="U68" s="154"/>
      <c r="V68" s="154"/>
      <c r="W68" s="154"/>
      <c r="X68" s="154"/>
      <c r="Y68" s="154"/>
      <c r="Z68" s="154"/>
      <c r="AA68" s="154"/>
      <c r="AB68" s="154"/>
      <c r="AC68" s="154"/>
      <c r="AD68" s="154"/>
      <c r="AE68" s="154"/>
      <c r="AF68" s="154"/>
      <c r="AG68" s="154">
        <f t="shared" si="1"/>
        <v>225.28</v>
      </c>
      <c r="AH68" s="154" t="s">
        <v>581</v>
      </c>
      <c r="AI68" s="156" t="s">
        <v>579</v>
      </c>
      <c r="AJ68" s="152" t="s">
        <v>575</v>
      </c>
      <c r="AK68" s="154"/>
      <c r="AL68" s="154"/>
      <c r="AM68" s="154"/>
      <c r="AN68" s="154"/>
      <c r="AO68" s="154"/>
      <c r="AP68" s="154"/>
      <c r="AQ68" s="154"/>
      <c r="AR68" s="154"/>
      <c r="AS68" s="154"/>
      <c r="AT68" s="154"/>
      <c r="AU68" s="154"/>
      <c r="AV68" s="154"/>
      <c r="AW68" s="154"/>
      <c r="AX68" s="154"/>
      <c r="AY68" s="154"/>
      <c r="AZ68" s="154"/>
      <c r="BA68" s="154">
        <v>2</v>
      </c>
      <c r="BB68" s="154" t="s">
        <v>329</v>
      </c>
      <c r="BC68" s="154"/>
      <c r="BD68" s="154"/>
      <c r="BE68" s="154">
        <v>2</v>
      </c>
      <c r="BF68" s="154"/>
      <c r="BG68" s="154" t="s">
        <v>329</v>
      </c>
      <c r="BH68" s="154" t="s">
        <v>329</v>
      </c>
      <c r="BI68" s="154"/>
      <c r="BJ68" s="154"/>
      <c r="BK68" s="154"/>
      <c r="BL68" s="154"/>
      <c r="BM68" s="35"/>
      <c r="BN68" s="35"/>
    </row>
    <row r="69" spans="1:66" ht="15">
      <c r="A69" s="156" t="s">
        <v>392</v>
      </c>
      <c r="B69" s="156"/>
      <c r="C69" s="156" t="s">
        <v>326</v>
      </c>
      <c r="D69" s="156" t="s">
        <v>49</v>
      </c>
      <c r="E69" s="152" t="s">
        <v>607</v>
      </c>
      <c r="F69" s="152">
        <v>2</v>
      </c>
      <c r="G69" s="152">
        <v>2</v>
      </c>
      <c r="H69" s="154">
        <v>15.36</v>
      </c>
      <c r="I69" s="31">
        <v>4096</v>
      </c>
      <c r="J69" s="152" t="s">
        <v>581</v>
      </c>
      <c r="K69" s="156" t="s">
        <v>579</v>
      </c>
      <c r="L69" s="152">
        <v>2.6</v>
      </c>
      <c r="M69" s="152"/>
      <c r="N69" s="152"/>
      <c r="O69" s="152"/>
      <c r="P69" s="152"/>
      <c r="Q69" s="1"/>
      <c r="R69" s="1"/>
      <c r="S69" s="1"/>
      <c r="T69" s="1"/>
      <c r="U69" s="152"/>
      <c r="V69" s="152"/>
      <c r="W69" s="152"/>
      <c r="X69" s="152"/>
      <c r="Y69" s="152"/>
      <c r="Z69" s="152"/>
      <c r="AA69" s="152"/>
      <c r="AB69" s="152"/>
      <c r="AC69" s="152"/>
      <c r="AD69" s="152"/>
      <c r="AE69" s="152"/>
      <c r="AF69" s="152"/>
      <c r="AG69" s="78">
        <f t="shared" si="1"/>
        <v>30.72</v>
      </c>
      <c r="AH69" s="152" t="s">
        <v>581</v>
      </c>
      <c r="AI69" s="156" t="s">
        <v>579</v>
      </c>
      <c r="AJ69" s="152" t="s">
        <v>575</v>
      </c>
      <c r="AK69" s="156"/>
      <c r="AL69" s="156"/>
      <c r="AM69" s="156"/>
      <c r="AN69" s="156"/>
      <c r="AO69" s="156"/>
      <c r="AP69" s="156"/>
      <c r="AQ69" s="156"/>
      <c r="AR69" s="156"/>
      <c r="AS69" s="156"/>
      <c r="AT69" s="156"/>
      <c r="AU69" s="156"/>
      <c r="AV69" s="156"/>
      <c r="AW69" s="156"/>
      <c r="AX69" s="156"/>
      <c r="AY69" s="156"/>
      <c r="AZ69" s="156"/>
      <c r="BA69" s="152">
        <v>2</v>
      </c>
      <c r="BB69" s="152" t="s">
        <v>329</v>
      </c>
      <c r="BC69" s="152"/>
      <c r="BD69" s="152"/>
      <c r="BE69" s="152">
        <v>2</v>
      </c>
      <c r="BF69" s="152"/>
      <c r="BG69" s="152" t="s">
        <v>329</v>
      </c>
      <c r="BH69" s="152" t="s">
        <v>329</v>
      </c>
      <c r="BI69" s="152"/>
      <c r="BJ69" s="152"/>
      <c r="BK69" s="152"/>
      <c r="BL69" s="156"/>
      <c r="BM69" s="35"/>
      <c r="BN69" s="35"/>
    </row>
    <row r="70" spans="1:66" ht="15">
      <c r="A70" s="156" t="s">
        <v>393</v>
      </c>
      <c r="B70" s="156"/>
      <c r="C70" s="156" t="s">
        <v>326</v>
      </c>
      <c r="D70" s="156" t="s">
        <v>49</v>
      </c>
      <c r="E70" s="152" t="s">
        <v>607</v>
      </c>
      <c r="F70" s="152">
        <v>2</v>
      </c>
      <c r="G70" s="152">
        <v>2</v>
      </c>
      <c r="H70" s="154">
        <v>15.36</v>
      </c>
      <c r="I70" s="31">
        <v>4096</v>
      </c>
      <c r="J70" s="152" t="s">
        <v>581</v>
      </c>
      <c r="K70" s="156" t="s">
        <v>579</v>
      </c>
      <c r="L70" s="152">
        <v>2.6</v>
      </c>
      <c r="M70" s="152"/>
      <c r="N70" s="152"/>
      <c r="O70" s="152"/>
      <c r="P70" s="152"/>
      <c r="Q70" s="1"/>
      <c r="R70" s="1"/>
      <c r="S70" s="1"/>
      <c r="T70" s="1"/>
      <c r="U70" s="152"/>
      <c r="V70" s="152"/>
      <c r="W70" s="152"/>
      <c r="X70" s="152"/>
      <c r="Y70" s="152"/>
      <c r="Z70" s="152"/>
      <c r="AA70" s="152"/>
      <c r="AB70" s="152"/>
      <c r="AC70" s="152"/>
      <c r="AD70" s="152"/>
      <c r="AE70" s="152"/>
      <c r="AF70" s="152"/>
      <c r="AG70" s="78">
        <f t="shared" si="1"/>
        <v>30.72</v>
      </c>
      <c r="AH70" s="152" t="s">
        <v>581</v>
      </c>
      <c r="AI70" s="156" t="s">
        <v>579</v>
      </c>
      <c r="AJ70" s="152" t="s">
        <v>575</v>
      </c>
      <c r="AK70" s="156"/>
      <c r="AL70" s="156"/>
      <c r="AM70" s="156"/>
      <c r="AN70" s="156"/>
      <c r="AO70" s="156"/>
      <c r="AP70" s="156"/>
      <c r="AQ70" s="156"/>
      <c r="AR70" s="156"/>
      <c r="AS70" s="156"/>
      <c r="AT70" s="156"/>
      <c r="AU70" s="156"/>
      <c r="AV70" s="156"/>
      <c r="AW70" s="156"/>
      <c r="AX70" s="156"/>
      <c r="AY70" s="156"/>
      <c r="AZ70" s="156"/>
      <c r="BA70" s="152">
        <v>2</v>
      </c>
      <c r="BB70" s="152" t="s">
        <v>329</v>
      </c>
      <c r="BC70" s="152"/>
      <c r="BD70" s="152"/>
      <c r="BE70" s="152">
        <v>2</v>
      </c>
      <c r="BF70" s="152"/>
      <c r="BG70" s="152" t="s">
        <v>329</v>
      </c>
      <c r="BH70" s="152" t="s">
        <v>329</v>
      </c>
      <c r="BI70" s="152"/>
      <c r="BJ70" s="152"/>
      <c r="BK70" s="152"/>
      <c r="BL70" s="156"/>
      <c r="BM70" s="35"/>
      <c r="BN70" s="35"/>
    </row>
    <row r="71" spans="1:66" ht="15">
      <c r="A71" s="156" t="s">
        <v>394</v>
      </c>
      <c r="B71" s="156"/>
      <c r="C71" s="156" t="s">
        <v>326</v>
      </c>
      <c r="D71" s="156" t="s">
        <v>53</v>
      </c>
      <c r="E71" s="152" t="s">
        <v>619</v>
      </c>
      <c r="F71" s="152">
        <v>6</v>
      </c>
      <c r="G71" s="152">
        <v>5</v>
      </c>
      <c r="H71" s="154">
        <v>40.96</v>
      </c>
      <c r="I71" s="31">
        <v>4096</v>
      </c>
      <c r="J71" s="152" t="s">
        <v>581</v>
      </c>
      <c r="K71" s="156" t="s">
        <v>579</v>
      </c>
      <c r="L71" s="152">
        <v>2.6</v>
      </c>
      <c r="M71" s="152"/>
      <c r="N71" s="152"/>
      <c r="O71" s="152"/>
      <c r="P71" s="152"/>
      <c r="Q71" s="1"/>
      <c r="R71" s="1"/>
      <c r="S71" s="1"/>
      <c r="T71" s="1"/>
      <c r="U71" s="152"/>
      <c r="V71" s="152"/>
      <c r="W71" s="152"/>
      <c r="X71" s="152"/>
      <c r="Y71" s="152"/>
      <c r="Z71" s="152"/>
      <c r="AA71" s="152"/>
      <c r="AB71" s="152"/>
      <c r="AC71" s="152"/>
      <c r="AD71" s="152"/>
      <c r="AE71" s="152"/>
      <c r="AF71" s="152"/>
      <c r="AG71" s="78">
        <f t="shared" si="1"/>
        <v>81.92</v>
      </c>
      <c r="AH71" s="152" t="s">
        <v>581</v>
      </c>
      <c r="AI71" s="156" t="s">
        <v>579</v>
      </c>
      <c r="AJ71" s="152" t="s">
        <v>575</v>
      </c>
      <c r="AK71" s="156"/>
      <c r="AL71" s="156"/>
      <c r="AM71" s="156"/>
      <c r="AN71" s="156"/>
      <c r="AO71" s="156"/>
      <c r="AP71" s="156"/>
      <c r="AQ71" s="156"/>
      <c r="AR71" s="156"/>
      <c r="AS71" s="156"/>
      <c r="AT71" s="156"/>
      <c r="AU71" s="156"/>
      <c r="AV71" s="156"/>
      <c r="AW71" s="156"/>
      <c r="AX71" s="156"/>
      <c r="AY71" s="156"/>
      <c r="AZ71" s="156"/>
      <c r="BA71" s="152">
        <v>2</v>
      </c>
      <c r="BB71" s="152" t="s">
        <v>329</v>
      </c>
      <c r="BC71" s="152"/>
      <c r="BD71" s="152"/>
      <c r="BE71" s="152">
        <v>2</v>
      </c>
      <c r="BF71" s="152"/>
      <c r="BG71" s="152" t="s">
        <v>329</v>
      </c>
      <c r="BH71" s="152" t="s">
        <v>329</v>
      </c>
      <c r="BI71" s="152"/>
      <c r="BJ71" s="152"/>
      <c r="BK71" s="152"/>
      <c r="BL71" s="156"/>
      <c r="BM71" s="35"/>
      <c r="BN71" s="35"/>
    </row>
    <row r="72" spans="1:66" ht="15">
      <c r="A72" s="156" t="s">
        <v>395</v>
      </c>
      <c r="B72" s="156"/>
      <c r="C72" s="156" t="s">
        <v>326</v>
      </c>
      <c r="D72" s="156" t="s">
        <v>57</v>
      </c>
      <c r="E72" s="13" t="s">
        <v>609</v>
      </c>
      <c r="F72" s="152">
        <v>2</v>
      </c>
      <c r="G72" s="152">
        <v>2</v>
      </c>
      <c r="H72" s="78">
        <v>30.72</v>
      </c>
      <c r="I72" s="31">
        <v>4096</v>
      </c>
      <c r="J72" s="152" t="s">
        <v>581</v>
      </c>
      <c r="K72" s="156" t="s">
        <v>579</v>
      </c>
      <c r="L72" s="152">
        <v>2.6</v>
      </c>
      <c r="M72" s="152"/>
      <c r="N72" s="152"/>
      <c r="O72" s="152"/>
      <c r="P72" s="152"/>
      <c r="Q72" s="1"/>
      <c r="R72" s="1"/>
      <c r="S72" s="1"/>
      <c r="T72" s="1"/>
      <c r="U72" s="152"/>
      <c r="V72" s="152"/>
      <c r="W72" s="152"/>
      <c r="X72" s="152"/>
      <c r="Y72" s="152"/>
      <c r="Z72" s="152"/>
      <c r="AA72" s="152"/>
      <c r="AB72" s="152"/>
      <c r="AC72" s="152"/>
      <c r="AD72" s="152"/>
      <c r="AE72" s="152"/>
      <c r="AF72" s="152"/>
      <c r="AG72" s="78">
        <f t="shared" si="1"/>
        <v>61.44</v>
      </c>
      <c r="AH72" s="152" t="s">
        <v>581</v>
      </c>
      <c r="AI72" s="13" t="s">
        <v>579</v>
      </c>
      <c r="AJ72" s="8" t="s">
        <v>575</v>
      </c>
      <c r="AK72" s="13"/>
      <c r="AL72" s="13"/>
      <c r="AM72" s="13"/>
      <c r="AN72" s="13"/>
      <c r="AO72" s="13"/>
      <c r="AP72" s="13"/>
      <c r="AQ72" s="13"/>
      <c r="AR72" s="13"/>
      <c r="AS72" s="13"/>
      <c r="AT72" s="13"/>
      <c r="AU72" s="13"/>
      <c r="AV72" s="13"/>
      <c r="AW72" s="13"/>
      <c r="AX72" s="13"/>
      <c r="AY72" s="13"/>
      <c r="AZ72" s="13"/>
      <c r="BA72" s="8">
        <v>2</v>
      </c>
      <c r="BB72" s="8" t="s">
        <v>329</v>
      </c>
      <c r="BC72" s="8"/>
      <c r="BD72" s="8"/>
      <c r="BE72" s="8">
        <v>2</v>
      </c>
      <c r="BF72" s="8"/>
      <c r="BG72" s="8" t="s">
        <v>329</v>
      </c>
      <c r="BH72" s="8" t="s">
        <v>329</v>
      </c>
      <c r="BI72" s="8"/>
      <c r="BJ72" s="8"/>
      <c r="BK72" s="8"/>
      <c r="BL72" s="13"/>
      <c r="BM72" s="156"/>
      <c r="BN72" s="156"/>
    </row>
    <row r="73" spans="1:66">
      <c r="A73" s="43"/>
      <c r="B73" s="43"/>
      <c r="C73" s="43"/>
      <c r="D73" s="43"/>
      <c r="E73" s="152"/>
      <c r="F73" s="44">
        <f>SUM(F49:F72)+F44</f>
        <v>340</v>
      </c>
      <c r="G73" s="44">
        <f>SUM(G49:G72)+G44</f>
        <v>888</v>
      </c>
      <c r="H73" s="88">
        <f>SUM(H49:H72)+H44</f>
        <v>5341.5199999999995</v>
      </c>
      <c r="I73" s="91"/>
      <c r="J73" s="44"/>
      <c r="K73" s="44"/>
      <c r="L73" s="44">
        <f>L44+SUM(L49:L72)</f>
        <v>1517.599999999999</v>
      </c>
      <c r="M73" s="88">
        <f>SUM(M49:M72)+M44</f>
        <v>119.8</v>
      </c>
      <c r="N73" s="44"/>
      <c r="O73" s="44"/>
      <c r="P73" s="44">
        <f>P44+SUM(P49:P72)</f>
        <v>0.05</v>
      </c>
      <c r="Q73" s="88">
        <f>SUM(Q49:Q72)+Q44</f>
        <v>2304</v>
      </c>
      <c r="R73" s="44"/>
      <c r="S73" s="44"/>
      <c r="T73" s="44">
        <f>T44+SUM(T49:T72)</f>
        <v>0.05</v>
      </c>
      <c r="U73" s="88">
        <f>SUM(U49:U72)+U44</f>
        <v>3456</v>
      </c>
      <c r="V73" s="44"/>
      <c r="W73" s="44"/>
      <c r="X73" s="44">
        <f>X44+SUM(X49:X72)</f>
        <v>0.05</v>
      </c>
      <c r="Y73" s="88">
        <f>SUM(Y49:Y72)+Y44</f>
        <v>490.5</v>
      </c>
      <c r="Z73" s="44"/>
      <c r="AA73" s="44"/>
      <c r="AB73" s="44">
        <f>AB44+SUM(AB49:AB72)</f>
        <v>0.1</v>
      </c>
      <c r="AC73" s="88">
        <f>AC44+SUM(AC49:AC72)</f>
        <v>276.48</v>
      </c>
      <c r="AD73" s="44"/>
      <c r="AE73" s="44"/>
      <c r="AF73" s="44">
        <f>AF44+SUM(AF49:AF72)</f>
        <v>0</v>
      </c>
      <c r="AG73" s="88">
        <f>SUM(AG49:AG72)+AG44</f>
        <v>21683.299999999988</v>
      </c>
      <c r="AH73" s="44"/>
      <c r="AI73" s="154"/>
      <c r="AJ73" s="154"/>
      <c r="AK73" s="82">
        <f>SUM(AK49:AK72)+AK44</f>
        <v>184.32</v>
      </c>
      <c r="AL73" s="154"/>
      <c r="AM73" s="154"/>
      <c r="AN73" s="154">
        <f>AN44+SUM(AN49:AN72)</f>
        <v>0.2</v>
      </c>
      <c r="AO73" s="154"/>
      <c r="AP73" s="154"/>
      <c r="AQ73" s="154"/>
      <c r="AR73" s="154"/>
      <c r="AS73" s="154"/>
      <c r="AT73" s="154"/>
      <c r="AU73" s="154"/>
      <c r="AV73" s="154"/>
      <c r="AW73" s="154"/>
      <c r="AX73" s="154"/>
      <c r="AY73" s="154"/>
      <c r="AZ73" s="154"/>
      <c r="BA73" s="154">
        <f>BA44+SUM(BA49:BA72)</f>
        <v>158</v>
      </c>
      <c r="BB73" s="154">
        <f>BB44+COUNTIF(BB49:BB72,"x")</f>
        <v>59</v>
      </c>
      <c r="BC73" s="154">
        <f>3</f>
        <v>3</v>
      </c>
      <c r="BD73" s="154">
        <v>1</v>
      </c>
      <c r="BE73" s="154">
        <f>BE44+SUM(BE49:BE72)</f>
        <v>118</v>
      </c>
      <c r="BF73" s="154">
        <v>1</v>
      </c>
      <c r="BG73" s="154">
        <f>BG44+COUNTIF(BG49:BG72,"x")</f>
        <v>24</v>
      </c>
      <c r="BH73" s="154">
        <f>BH44+COUNTIF(BH49:BH72,"x")</f>
        <v>59</v>
      </c>
      <c r="BI73" s="152" t="s">
        <v>601</v>
      </c>
      <c r="BJ73" s="152">
        <v>2</v>
      </c>
      <c r="BK73" s="152">
        <v>4</v>
      </c>
      <c r="BL73" s="152">
        <v>2</v>
      </c>
      <c r="BM73" s="35"/>
      <c r="BN73" s="35"/>
    </row>
    <row r="74" spans="1:66" ht="15">
      <c r="A74" s="35"/>
      <c r="B74" s="35"/>
      <c r="C74" s="35"/>
      <c r="D74" s="35"/>
      <c r="E74" s="1"/>
      <c r="F74" s="35"/>
      <c r="G74" s="35"/>
      <c r="H74" s="35"/>
      <c r="I74" s="92"/>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154"/>
      <c r="BB74" s="35"/>
      <c r="BC74" s="35"/>
      <c r="BD74" s="35"/>
      <c r="BE74" s="35"/>
      <c r="BF74" s="35"/>
      <c r="BG74" s="35"/>
      <c r="BH74" s="35"/>
      <c r="BI74" s="35"/>
      <c r="BJ74" s="35"/>
      <c r="BK74" s="35"/>
      <c r="BL74" s="35"/>
      <c r="BM74" s="35"/>
      <c r="BN74" s="35"/>
    </row>
    <row r="75" spans="1:66" ht="15">
      <c r="A75" s="7" t="s">
        <v>610</v>
      </c>
      <c r="B75" s="35"/>
      <c r="C75" s="35"/>
      <c r="D75" s="35"/>
      <c r="E75" s="1"/>
      <c r="F75" s="35"/>
      <c r="G75" s="35"/>
      <c r="H75" s="35"/>
      <c r="I75" s="92"/>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154"/>
      <c r="BB75" s="35"/>
      <c r="BC75" s="35"/>
      <c r="BD75" s="35"/>
      <c r="BE75" s="35"/>
      <c r="BF75" s="35"/>
      <c r="BG75" s="35"/>
      <c r="BH75" s="35"/>
      <c r="BI75" s="35"/>
      <c r="BJ75" s="35"/>
      <c r="BK75" s="35"/>
      <c r="BL75" s="35"/>
      <c r="BM75" s="35"/>
      <c r="BN75" s="35"/>
    </row>
    <row r="76" spans="1:66" ht="15">
      <c r="A76" s="35"/>
      <c r="B76" s="35"/>
      <c r="C76" s="35"/>
      <c r="D76" s="35"/>
      <c r="E76" s="1"/>
      <c r="F76" s="35"/>
      <c r="G76" s="35"/>
      <c r="H76" s="35"/>
      <c r="I76" s="92"/>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154"/>
      <c r="BB76" s="35"/>
      <c r="BC76" s="35"/>
      <c r="BD76" s="35"/>
      <c r="BE76" s="35"/>
      <c r="BF76" s="35"/>
      <c r="BG76" s="154" t="s">
        <v>329</v>
      </c>
      <c r="BH76" s="154" t="s">
        <v>329</v>
      </c>
      <c r="BI76" s="35"/>
      <c r="BJ76" s="35"/>
      <c r="BK76" s="35"/>
      <c r="BL76" s="35"/>
      <c r="BM76" s="35"/>
      <c r="BN76" s="35"/>
    </row>
    <row r="77" spans="1:66">
      <c r="A77" s="156" t="s">
        <v>425</v>
      </c>
      <c r="B77" s="156"/>
      <c r="C77" s="156" t="s">
        <v>427</v>
      </c>
      <c r="D77" s="156" t="s">
        <v>8</v>
      </c>
      <c r="E77" s="152" t="s">
        <v>611</v>
      </c>
      <c r="F77" s="152">
        <v>2</v>
      </c>
      <c r="G77" s="152">
        <v>4</v>
      </c>
      <c r="H77" s="154">
        <v>71.900000000000006</v>
      </c>
      <c r="I77" s="31">
        <v>4096</v>
      </c>
      <c r="J77" s="152" t="s">
        <v>581</v>
      </c>
      <c r="K77" s="156" t="s">
        <v>579</v>
      </c>
      <c r="L77" s="152">
        <v>2.6</v>
      </c>
      <c r="M77" s="152"/>
      <c r="N77" s="152"/>
      <c r="O77" s="152"/>
      <c r="P77" s="152"/>
      <c r="Q77" s="152"/>
      <c r="R77" s="152"/>
      <c r="S77" s="152"/>
      <c r="T77" s="152"/>
      <c r="U77" s="152"/>
      <c r="V77" s="152"/>
      <c r="W77" s="152"/>
      <c r="X77" s="152"/>
      <c r="Y77" s="152"/>
      <c r="Z77" s="152"/>
      <c r="AA77" s="152"/>
      <c r="AB77" s="154"/>
      <c r="AC77" s="154"/>
      <c r="AD77" s="154"/>
      <c r="AE77" s="154"/>
      <c r="AF77" s="154"/>
      <c r="AG77" s="154">
        <f>2*H77</f>
        <v>143.80000000000001</v>
      </c>
      <c r="AH77" s="154" t="s">
        <v>581</v>
      </c>
      <c r="AI77" s="156" t="s">
        <v>579</v>
      </c>
      <c r="AJ77" s="152" t="s">
        <v>575</v>
      </c>
      <c r="AK77" s="154"/>
      <c r="AL77" s="154"/>
      <c r="AM77" s="154"/>
      <c r="AN77" s="154"/>
      <c r="AO77" s="154"/>
      <c r="AP77" s="154"/>
      <c r="AQ77" s="154"/>
      <c r="AR77" s="154"/>
      <c r="AS77" s="154"/>
      <c r="AT77" s="154"/>
      <c r="AU77" s="154"/>
      <c r="AV77" s="154"/>
      <c r="AW77" s="154"/>
      <c r="AX77" s="154"/>
      <c r="AY77" s="154"/>
      <c r="AZ77" s="154"/>
      <c r="BA77" s="154">
        <v>2</v>
      </c>
      <c r="BB77" s="154" t="s">
        <v>329</v>
      </c>
      <c r="BC77" s="154"/>
      <c r="BD77" s="154"/>
      <c r="BE77" s="154">
        <v>2</v>
      </c>
      <c r="BF77" s="154"/>
      <c r="BG77" s="154" t="s">
        <v>329</v>
      </c>
      <c r="BH77" s="154" t="s">
        <v>329</v>
      </c>
      <c r="BI77" s="154"/>
      <c r="BJ77" s="154"/>
      <c r="BK77" s="154"/>
      <c r="BL77" s="154"/>
      <c r="BM77" s="35"/>
      <c r="BN77" s="35"/>
    </row>
    <row r="78" spans="1:66">
      <c r="A78" s="156" t="s">
        <v>429</v>
      </c>
      <c r="B78" s="156"/>
      <c r="C78" s="156" t="s">
        <v>427</v>
      </c>
      <c r="D78" s="156" t="s">
        <v>430</v>
      </c>
      <c r="E78" s="152" t="s">
        <v>612</v>
      </c>
      <c r="F78" s="152">
        <v>6</v>
      </c>
      <c r="G78" s="152">
        <v>10</v>
      </c>
      <c r="H78" s="78">
        <v>102.4</v>
      </c>
      <c r="I78" s="31">
        <v>16384</v>
      </c>
      <c r="J78" s="152" t="s">
        <v>581</v>
      </c>
      <c r="K78" s="156" t="s">
        <v>579</v>
      </c>
      <c r="L78" s="152">
        <v>2.6</v>
      </c>
      <c r="M78" s="152"/>
      <c r="N78" s="152"/>
      <c r="O78" s="152"/>
      <c r="P78" s="152"/>
      <c r="Q78" s="154">
        <v>204.8</v>
      </c>
      <c r="R78" s="154" t="s">
        <v>581</v>
      </c>
      <c r="S78" s="156" t="s">
        <v>579</v>
      </c>
      <c r="T78" s="154" t="s">
        <v>575</v>
      </c>
      <c r="U78" s="154"/>
      <c r="V78" s="154"/>
      <c r="W78" s="154"/>
      <c r="X78" s="154"/>
      <c r="Y78" s="156"/>
      <c r="Z78" s="156"/>
      <c r="AA78" s="156"/>
      <c r="AB78" s="154" t="s">
        <v>575</v>
      </c>
      <c r="AC78" s="154"/>
      <c r="AD78" s="154"/>
      <c r="AE78" s="154"/>
      <c r="AF78" s="154"/>
      <c r="AG78" s="154">
        <f>2*H78+Q78*2</f>
        <v>614.40000000000009</v>
      </c>
      <c r="AH78" s="154" t="s">
        <v>581</v>
      </c>
      <c r="AI78" s="156" t="s">
        <v>579</v>
      </c>
      <c r="AJ78" s="152" t="s">
        <v>575</v>
      </c>
      <c r="AK78" s="154"/>
      <c r="AL78" s="154"/>
      <c r="AM78" s="154"/>
      <c r="AN78" s="154"/>
      <c r="AO78" s="154"/>
      <c r="AP78" s="154"/>
      <c r="AQ78" s="154"/>
      <c r="AR78" s="154"/>
      <c r="AS78" s="154"/>
      <c r="AT78" s="154"/>
      <c r="AU78" s="154"/>
      <c r="AV78" s="154"/>
      <c r="AW78" s="154"/>
      <c r="AX78" s="154"/>
      <c r="AY78" s="154"/>
      <c r="AZ78" s="154"/>
      <c r="BA78" s="154">
        <v>3</v>
      </c>
      <c r="BB78" s="154" t="s">
        <v>329</v>
      </c>
      <c r="BC78" s="154"/>
      <c r="BD78" s="154"/>
      <c r="BE78" s="154">
        <v>2</v>
      </c>
      <c r="BF78" s="154"/>
      <c r="BG78" s="154" t="s">
        <v>329</v>
      </c>
      <c r="BH78" s="154" t="s">
        <v>329</v>
      </c>
      <c r="BI78" s="154"/>
      <c r="BJ78" s="154"/>
      <c r="BK78" s="154"/>
      <c r="BL78" s="154"/>
      <c r="BM78" s="35"/>
      <c r="BN78" s="35"/>
    </row>
    <row r="79" spans="1:66">
      <c r="A79" s="156" t="s">
        <v>432</v>
      </c>
      <c r="B79" s="156"/>
      <c r="C79" s="156" t="s">
        <v>427</v>
      </c>
      <c r="D79" s="156" t="s">
        <v>433</v>
      </c>
      <c r="E79" s="152" t="s">
        <v>613</v>
      </c>
      <c r="F79" s="152">
        <v>8</v>
      </c>
      <c r="G79" s="152">
        <v>16</v>
      </c>
      <c r="H79" s="154">
        <v>61.44</v>
      </c>
      <c r="I79" s="31">
        <v>4096</v>
      </c>
      <c r="J79" s="152" t="s">
        <v>581</v>
      </c>
      <c r="K79" s="156" t="s">
        <v>579</v>
      </c>
      <c r="L79" s="152">
        <v>2.6</v>
      </c>
      <c r="M79" s="152"/>
      <c r="N79" s="152"/>
      <c r="O79" s="152"/>
      <c r="P79" s="152"/>
      <c r="Q79" s="154"/>
      <c r="R79" s="154"/>
      <c r="S79" s="154"/>
      <c r="T79" s="154"/>
      <c r="U79" s="154"/>
      <c r="V79" s="154"/>
      <c r="W79" s="154"/>
      <c r="X79" s="154"/>
      <c r="Y79" s="154"/>
      <c r="Z79" s="154"/>
      <c r="AA79" s="154"/>
      <c r="AB79" s="154"/>
      <c r="AC79" s="154"/>
      <c r="AD79" s="154"/>
      <c r="AE79" s="154"/>
      <c r="AF79" s="154"/>
      <c r="AG79" s="154">
        <f>2*H79</f>
        <v>122.88</v>
      </c>
      <c r="AH79" s="154" t="s">
        <v>581</v>
      </c>
      <c r="AI79" s="156" t="s">
        <v>579</v>
      </c>
      <c r="AJ79" s="152" t="s">
        <v>575</v>
      </c>
      <c r="AK79" s="154"/>
      <c r="AL79" s="154"/>
      <c r="AM79" s="154"/>
      <c r="AN79" s="154"/>
      <c r="AO79" s="154"/>
      <c r="AP79" s="154"/>
      <c r="AQ79" s="154"/>
      <c r="AR79" s="154"/>
      <c r="AS79" s="154"/>
      <c r="AT79" s="154"/>
      <c r="AU79" s="154"/>
      <c r="AV79" s="154"/>
      <c r="AW79" s="154"/>
      <c r="AX79" s="154"/>
      <c r="AY79" s="154"/>
      <c r="AZ79" s="154"/>
      <c r="BA79" s="154">
        <v>2</v>
      </c>
      <c r="BB79" s="154" t="s">
        <v>329</v>
      </c>
      <c r="BC79" s="154"/>
      <c r="BD79" s="154"/>
      <c r="BE79" s="154">
        <v>2</v>
      </c>
      <c r="BF79" s="154"/>
      <c r="BG79" s="154" t="s">
        <v>329</v>
      </c>
      <c r="BH79" s="154" t="s">
        <v>329</v>
      </c>
      <c r="BI79" s="154"/>
      <c r="BJ79" s="154"/>
      <c r="BK79" s="154"/>
      <c r="BL79" s="154"/>
      <c r="BM79" s="35"/>
      <c r="BN79" s="35"/>
    </row>
    <row r="80" spans="1:66">
      <c r="A80" s="156" t="s">
        <v>435</v>
      </c>
      <c r="B80" s="156"/>
      <c r="C80" s="156" t="s">
        <v>427</v>
      </c>
      <c r="D80" s="156" t="s">
        <v>436</v>
      </c>
      <c r="E80" s="152" t="s">
        <v>614</v>
      </c>
      <c r="F80" s="152">
        <v>10</v>
      </c>
      <c r="G80" s="152">
        <v>10</v>
      </c>
      <c r="H80" s="78">
        <v>30.72</v>
      </c>
      <c r="I80" s="31">
        <v>4096</v>
      </c>
      <c r="J80" s="152" t="s">
        <v>581</v>
      </c>
      <c r="K80" s="156" t="s">
        <v>579</v>
      </c>
      <c r="L80" s="152">
        <v>2.6</v>
      </c>
      <c r="M80" s="152"/>
      <c r="N80" s="152"/>
      <c r="O80" s="152"/>
      <c r="P80" s="152"/>
      <c r="Q80" s="154"/>
      <c r="R80" s="154"/>
      <c r="S80" s="154"/>
      <c r="T80" s="154"/>
      <c r="U80" s="154"/>
      <c r="V80" s="154"/>
      <c r="W80" s="154"/>
      <c r="X80" s="154"/>
      <c r="Y80" s="154"/>
      <c r="Z80" s="154"/>
      <c r="AA80" s="154"/>
      <c r="AB80" s="154"/>
      <c r="AC80" s="154"/>
      <c r="AD80" s="154"/>
      <c r="AE80" s="154"/>
      <c r="AF80" s="154"/>
      <c r="AG80" s="154">
        <f>2*H80</f>
        <v>61.44</v>
      </c>
      <c r="AH80" s="154" t="s">
        <v>581</v>
      </c>
      <c r="AI80" s="156" t="s">
        <v>579</v>
      </c>
      <c r="AJ80" s="152" t="s">
        <v>575</v>
      </c>
      <c r="AK80" s="154"/>
      <c r="AL80" s="154"/>
      <c r="AM80" s="154"/>
      <c r="AN80" s="154"/>
      <c r="AO80" s="154"/>
      <c r="AP80" s="154"/>
      <c r="AQ80" s="154"/>
      <c r="AR80" s="154"/>
      <c r="AS80" s="154"/>
      <c r="AT80" s="154"/>
      <c r="AU80" s="154"/>
      <c r="AV80" s="154"/>
      <c r="AW80" s="154"/>
      <c r="AX80" s="154"/>
      <c r="AY80" s="154"/>
      <c r="AZ80" s="154"/>
      <c r="BA80" s="154">
        <v>2</v>
      </c>
      <c r="BB80" s="154" t="s">
        <v>329</v>
      </c>
      <c r="BC80" s="154"/>
      <c r="BD80" s="154"/>
      <c r="BE80" s="154">
        <v>2</v>
      </c>
      <c r="BF80" s="154"/>
      <c r="BG80" s="154" t="s">
        <v>329</v>
      </c>
      <c r="BH80" s="154" t="s">
        <v>329</v>
      </c>
      <c r="BI80" s="154"/>
      <c r="BJ80" s="154"/>
      <c r="BK80" s="154"/>
      <c r="BL80" s="154"/>
      <c r="BM80" s="35"/>
      <c r="BN80" s="35"/>
    </row>
    <row r="81" spans="1:66">
      <c r="A81" s="156" t="s">
        <v>437</v>
      </c>
      <c r="B81" s="156"/>
      <c r="C81" s="156" t="s">
        <v>427</v>
      </c>
      <c r="D81" s="156" t="s">
        <v>438</v>
      </c>
      <c r="E81" s="152" t="s">
        <v>615</v>
      </c>
      <c r="F81" s="152">
        <v>4</v>
      </c>
      <c r="G81" s="152">
        <v>16</v>
      </c>
      <c r="H81" s="154">
        <v>563.20000000000005</v>
      </c>
      <c r="I81" s="31">
        <v>4096</v>
      </c>
      <c r="J81" s="152" t="s">
        <v>581</v>
      </c>
      <c r="K81" s="156" t="s">
        <v>579</v>
      </c>
      <c r="L81" s="152">
        <v>2.6</v>
      </c>
      <c r="M81" s="152"/>
      <c r="N81" s="152"/>
      <c r="O81" s="152"/>
      <c r="P81" s="152"/>
      <c r="Q81" s="156"/>
      <c r="R81" s="154"/>
      <c r="S81" s="156"/>
      <c r="T81" s="154"/>
      <c r="U81" s="154"/>
      <c r="V81" s="154"/>
      <c r="W81" s="154"/>
      <c r="X81" s="154"/>
      <c r="Y81" s="154"/>
      <c r="Z81" s="154"/>
      <c r="AA81" s="154"/>
      <c r="AB81" s="154"/>
      <c r="AC81" s="154"/>
      <c r="AD81" s="154"/>
      <c r="AE81" s="154"/>
      <c r="AF81" s="154"/>
      <c r="AG81" s="154">
        <f>2*H81+Q81</f>
        <v>1126.4000000000001</v>
      </c>
      <c r="AH81" s="154" t="s">
        <v>581</v>
      </c>
      <c r="AI81" s="156" t="s">
        <v>579</v>
      </c>
      <c r="AJ81" s="152" t="s">
        <v>575</v>
      </c>
      <c r="AK81" s="154"/>
      <c r="AL81" s="154"/>
      <c r="AM81" s="154"/>
      <c r="AN81" s="154"/>
      <c r="AO81" s="154"/>
      <c r="AP81" s="154"/>
      <c r="AQ81" s="154"/>
      <c r="AR81" s="154"/>
      <c r="AS81" s="154"/>
      <c r="AT81" s="154"/>
      <c r="AU81" s="154"/>
      <c r="AV81" s="154"/>
      <c r="AW81" s="154"/>
      <c r="AX81" s="154"/>
      <c r="AY81" s="154"/>
      <c r="AZ81" s="154"/>
      <c r="BA81" s="154">
        <v>2</v>
      </c>
      <c r="BB81" s="154" t="s">
        <v>329</v>
      </c>
      <c r="BC81" s="154"/>
      <c r="BD81" s="154"/>
      <c r="BE81" s="154">
        <v>2</v>
      </c>
      <c r="BF81" s="154"/>
      <c r="BG81" s="154" t="s">
        <v>329</v>
      </c>
      <c r="BH81" s="154" t="s">
        <v>329</v>
      </c>
      <c r="BI81" s="154"/>
      <c r="BJ81" s="154"/>
      <c r="BK81" s="154"/>
      <c r="BL81" s="154"/>
      <c r="BM81" s="35"/>
      <c r="BN81" s="35"/>
    </row>
    <row r="82" spans="1:66">
      <c r="A82" s="156" t="s">
        <v>440</v>
      </c>
      <c r="B82" s="156"/>
      <c r="C82" s="156" t="s">
        <v>427</v>
      </c>
      <c r="D82" s="156" t="s">
        <v>441</v>
      </c>
      <c r="E82" s="152" t="s">
        <v>616</v>
      </c>
      <c r="F82" s="152">
        <v>2</v>
      </c>
      <c r="G82" s="152">
        <v>4</v>
      </c>
      <c r="H82" s="78">
        <v>40.96</v>
      </c>
      <c r="I82" s="31">
        <v>4096</v>
      </c>
      <c r="J82" s="152" t="s">
        <v>581</v>
      </c>
      <c r="K82" s="156" t="s">
        <v>579</v>
      </c>
      <c r="L82" s="152">
        <v>2.6</v>
      </c>
      <c r="M82" s="152"/>
      <c r="N82" s="152"/>
      <c r="O82" s="152"/>
      <c r="P82" s="152"/>
      <c r="Q82" s="154"/>
      <c r="R82" s="154"/>
      <c r="S82" s="156"/>
      <c r="T82" s="154"/>
      <c r="U82" s="154"/>
      <c r="V82" s="154"/>
      <c r="W82" s="154"/>
      <c r="X82" s="154"/>
      <c r="Y82" s="154">
        <v>51.2</v>
      </c>
      <c r="Z82" s="154" t="s">
        <v>581</v>
      </c>
      <c r="AA82" s="156" t="s">
        <v>579</v>
      </c>
      <c r="AB82" s="154"/>
      <c r="AC82" s="154"/>
      <c r="AD82" s="154"/>
      <c r="AE82" s="154"/>
      <c r="AF82" s="154"/>
      <c r="AG82" s="154">
        <f>H82*2+Y82*2</f>
        <v>184.32</v>
      </c>
      <c r="AH82" s="154" t="s">
        <v>581</v>
      </c>
      <c r="AI82" s="156" t="s">
        <v>579</v>
      </c>
      <c r="AJ82" s="152" t="s">
        <v>575</v>
      </c>
      <c r="AK82" s="154"/>
      <c r="AL82" s="154"/>
      <c r="AM82" s="154"/>
      <c r="AN82" s="154"/>
      <c r="AO82" s="154"/>
      <c r="AP82" s="154"/>
      <c r="AQ82" s="154"/>
      <c r="AR82" s="154"/>
      <c r="AS82" s="154"/>
      <c r="AT82" s="154"/>
      <c r="AU82" s="154"/>
      <c r="AV82" s="154"/>
      <c r="AW82" s="154"/>
      <c r="AX82" s="154"/>
      <c r="AY82" s="154"/>
      <c r="AZ82" s="154"/>
      <c r="BA82" s="154">
        <v>3</v>
      </c>
      <c r="BB82" s="154" t="s">
        <v>329</v>
      </c>
      <c r="BC82" s="154"/>
      <c r="BD82" s="154"/>
      <c r="BE82" s="154">
        <v>2</v>
      </c>
      <c r="BF82" s="154"/>
      <c r="BG82" s="154" t="s">
        <v>329</v>
      </c>
      <c r="BH82" s="154" t="s">
        <v>329</v>
      </c>
      <c r="BI82" s="154"/>
      <c r="BJ82" s="154"/>
      <c r="BK82" s="154"/>
      <c r="BL82" s="154"/>
      <c r="BM82" s="35"/>
      <c r="BN82" s="35"/>
    </row>
    <row r="83" spans="1:66" ht="13.35" customHeight="1">
      <c r="A83" s="35" t="s">
        <v>443</v>
      </c>
      <c r="B83" s="35"/>
      <c r="C83" s="35" t="s">
        <v>427</v>
      </c>
      <c r="D83" s="156" t="s">
        <v>45</v>
      </c>
      <c r="E83" s="154" t="s">
        <v>623</v>
      </c>
      <c r="F83" s="154">
        <v>8</v>
      </c>
      <c r="G83" s="154">
        <v>32</v>
      </c>
      <c r="H83" s="154">
        <v>81.92</v>
      </c>
      <c r="I83" s="31">
        <v>4096</v>
      </c>
      <c r="J83" s="154" t="s">
        <v>581</v>
      </c>
      <c r="K83" s="156" t="s">
        <v>579</v>
      </c>
      <c r="L83" s="154" t="s">
        <v>575</v>
      </c>
      <c r="M83" s="154"/>
      <c r="N83" s="154"/>
      <c r="O83" s="154"/>
      <c r="P83" s="154"/>
      <c r="Q83" s="40"/>
      <c r="R83" s="40"/>
      <c r="S83" s="40"/>
      <c r="T83" s="40"/>
      <c r="U83" s="154"/>
      <c r="V83" s="154"/>
      <c r="W83" s="154"/>
      <c r="X83" s="154"/>
      <c r="Y83" s="154"/>
      <c r="Z83" s="154"/>
      <c r="AA83" s="154"/>
      <c r="AB83" s="154"/>
      <c r="AC83" s="154"/>
      <c r="AD83" s="154"/>
      <c r="AE83" s="154"/>
      <c r="AF83" s="154"/>
      <c r="AG83" s="154">
        <f>2*H83</f>
        <v>163.84</v>
      </c>
      <c r="AH83" s="154" t="s">
        <v>581</v>
      </c>
      <c r="AI83" s="156" t="s">
        <v>579</v>
      </c>
      <c r="AJ83" s="152" t="s">
        <v>575</v>
      </c>
      <c r="AK83" s="154"/>
      <c r="AL83" s="154"/>
      <c r="AM83" s="154"/>
      <c r="AN83" s="154"/>
      <c r="AO83" s="154"/>
      <c r="AP83" s="154"/>
      <c r="AQ83" s="154"/>
      <c r="AR83" s="154"/>
      <c r="AS83" s="154"/>
      <c r="AT83" s="154"/>
      <c r="AU83" s="154"/>
      <c r="AV83" s="154"/>
      <c r="AW83" s="154"/>
      <c r="AX83" s="154"/>
      <c r="AY83" s="154"/>
      <c r="AZ83" s="154"/>
      <c r="BA83" s="154">
        <v>2</v>
      </c>
      <c r="BB83" s="154" t="s">
        <v>329</v>
      </c>
      <c r="BC83" s="154"/>
      <c r="BD83" s="154"/>
      <c r="BE83" s="154">
        <v>2</v>
      </c>
      <c r="BF83" s="154"/>
      <c r="BG83" s="154" t="s">
        <v>329</v>
      </c>
      <c r="BH83" s="154" t="s">
        <v>329</v>
      </c>
      <c r="BI83" s="154"/>
      <c r="BJ83" s="154"/>
      <c r="BK83" s="154"/>
      <c r="BL83" s="154"/>
      <c r="BM83" s="35"/>
      <c r="BN83" s="35"/>
    </row>
    <row r="84" spans="1:66" ht="13.35" customHeight="1">
      <c r="A84" s="42" t="s">
        <v>446</v>
      </c>
      <c r="B84" s="42"/>
      <c r="C84" s="42" t="s">
        <v>427</v>
      </c>
      <c r="D84" s="13" t="s">
        <v>45</v>
      </c>
      <c r="E84" s="36" t="s">
        <v>623</v>
      </c>
      <c r="F84" s="36">
        <v>8</v>
      </c>
      <c r="G84" s="36">
        <v>32</v>
      </c>
      <c r="H84" s="36">
        <v>81.92</v>
      </c>
      <c r="I84" s="90">
        <v>4096</v>
      </c>
      <c r="J84" s="36" t="s">
        <v>581</v>
      </c>
      <c r="K84" s="156" t="s">
        <v>579</v>
      </c>
      <c r="L84" s="36" t="s">
        <v>575</v>
      </c>
      <c r="M84" s="36"/>
      <c r="N84" s="36"/>
      <c r="O84" s="36"/>
      <c r="P84" s="36"/>
      <c r="Q84" s="99"/>
      <c r="R84" s="99"/>
      <c r="S84" s="99"/>
      <c r="T84" s="99"/>
      <c r="U84" s="36"/>
      <c r="V84" s="36"/>
      <c r="W84" s="36"/>
      <c r="X84" s="36"/>
      <c r="Y84" s="36"/>
      <c r="Z84" s="36"/>
      <c r="AA84" s="36"/>
      <c r="AB84" s="36"/>
      <c r="AC84" s="36"/>
      <c r="AD84" s="36"/>
      <c r="AE84" s="36"/>
      <c r="AF84" s="36"/>
      <c r="AG84" s="36">
        <f>2*H84</f>
        <v>163.84</v>
      </c>
      <c r="AH84" s="36" t="s">
        <v>581</v>
      </c>
      <c r="AI84" s="13" t="s">
        <v>579</v>
      </c>
      <c r="AJ84" s="8" t="s">
        <v>575</v>
      </c>
      <c r="AK84" s="36"/>
      <c r="AL84" s="36"/>
      <c r="AM84" s="36"/>
      <c r="AN84" s="36"/>
      <c r="AO84" s="36"/>
      <c r="AP84" s="36"/>
      <c r="AQ84" s="36"/>
      <c r="AR84" s="36"/>
      <c r="AS84" s="36"/>
      <c r="AT84" s="36"/>
      <c r="AU84" s="36"/>
      <c r="AV84" s="36"/>
      <c r="AW84" s="36"/>
      <c r="AX84" s="36"/>
      <c r="AY84" s="36"/>
      <c r="AZ84" s="36"/>
      <c r="BA84" s="36">
        <v>2</v>
      </c>
      <c r="BB84" s="36" t="s">
        <v>329</v>
      </c>
      <c r="BC84" s="36"/>
      <c r="BD84" s="36"/>
      <c r="BE84" s="36">
        <v>2</v>
      </c>
      <c r="BF84" s="36"/>
      <c r="BG84" s="36" t="s">
        <v>329</v>
      </c>
      <c r="BH84" s="36" t="s">
        <v>329</v>
      </c>
      <c r="BI84" s="36"/>
      <c r="BJ84" s="36"/>
      <c r="BK84" s="36"/>
      <c r="BL84" s="36"/>
      <c r="BM84" s="35"/>
      <c r="BN84" s="35"/>
    </row>
    <row r="85" spans="1:66">
      <c r="A85" s="35"/>
      <c r="B85" s="35"/>
      <c r="C85" s="35"/>
      <c r="D85" s="35"/>
      <c r="E85" s="156"/>
      <c r="F85" s="154">
        <f>F73+SUM(F77:F84)</f>
        <v>388</v>
      </c>
      <c r="G85" s="154">
        <f>G73+SUM(G77:G84)</f>
        <v>1012</v>
      </c>
      <c r="H85" s="154">
        <f>H73+SUM(H77:H84)</f>
        <v>6375.98</v>
      </c>
      <c r="I85" s="154"/>
      <c r="J85" s="154"/>
      <c r="K85" s="154"/>
      <c r="L85" s="154">
        <f>L73+SUM(L77:L84)</f>
        <v>1533.1999999999989</v>
      </c>
      <c r="M85" s="154">
        <f>M73+SUM(M77:M84)</f>
        <v>119.8</v>
      </c>
      <c r="N85" s="154"/>
      <c r="O85" s="154"/>
      <c r="P85" s="154">
        <f>P73+SUM(P77:P83)</f>
        <v>0.05</v>
      </c>
      <c r="Q85" s="154">
        <f>Q73+SUM(Q77:Q84)</f>
        <v>2508.8000000000002</v>
      </c>
      <c r="R85" s="154"/>
      <c r="S85" s="154"/>
      <c r="T85" s="154">
        <f>T73+SUM(T77:T84)</f>
        <v>0.05</v>
      </c>
      <c r="U85" s="154">
        <f>U73+SUM(U77:U84)</f>
        <v>3456</v>
      </c>
      <c r="V85" s="154"/>
      <c r="W85" s="154"/>
      <c r="X85" s="154">
        <f>X73+SUM(X77:X84)</f>
        <v>0.05</v>
      </c>
      <c r="Y85" s="154">
        <f>Y73+SUM(Y77:Y84)</f>
        <v>541.70000000000005</v>
      </c>
      <c r="Z85" s="154"/>
      <c r="AA85" s="154"/>
      <c r="AB85" s="154">
        <f>AB73+SUM(AB77:AB84)</f>
        <v>0.1</v>
      </c>
      <c r="AC85" s="154">
        <f>AC73+SUM(AC77:AC84)</f>
        <v>276.48</v>
      </c>
      <c r="AD85" s="154"/>
      <c r="AE85" s="154"/>
      <c r="AF85" s="154">
        <f>AF73+SUM(AF77:AF84)</f>
        <v>0</v>
      </c>
      <c r="AG85" s="154">
        <f>AG73+SUM(AG77:AG84)</f>
        <v>24264.21999999999</v>
      </c>
      <c r="AH85" s="154"/>
      <c r="AI85" s="154"/>
      <c r="AJ85" s="154"/>
      <c r="AK85" s="154">
        <f>AK73+SUM(AK77:AK84)</f>
        <v>184.32</v>
      </c>
      <c r="AL85" s="154"/>
      <c r="AM85" s="154"/>
      <c r="AN85" s="154">
        <f>AN73+SUM(AN77:AN84)</f>
        <v>0.2</v>
      </c>
      <c r="AO85" s="154"/>
      <c r="AP85" s="154"/>
      <c r="AQ85" s="154"/>
      <c r="AR85" s="154"/>
      <c r="AS85" s="154"/>
      <c r="AT85" s="154"/>
      <c r="AU85" s="154"/>
      <c r="AV85" s="154"/>
      <c r="AW85" s="154"/>
      <c r="AX85" s="154"/>
      <c r="AY85" s="154"/>
      <c r="AZ85" s="154"/>
      <c r="BA85" s="154">
        <f>BA73+SUM(BA77:BA84)</f>
        <v>176</v>
      </c>
      <c r="BB85" s="154">
        <f>BB73+COUNTIF(BB77:BB84,"x")</f>
        <v>67</v>
      </c>
      <c r="BC85" s="154">
        <v>3</v>
      </c>
      <c r="BD85" s="154">
        <v>1</v>
      </c>
      <c r="BE85" s="154">
        <f>BE73+SUM(BE77:BE84)</f>
        <v>134</v>
      </c>
      <c r="BF85" s="154">
        <v>1</v>
      </c>
      <c r="BG85" s="154">
        <f>BG73+COUNTIF(BG77:BG84,"x")</f>
        <v>32</v>
      </c>
      <c r="BH85" s="154">
        <f>BH73+COUNTIF(BH77:BH84,"x")</f>
        <v>67</v>
      </c>
      <c r="BI85" s="152" t="s">
        <v>601</v>
      </c>
      <c r="BJ85" s="152">
        <v>2</v>
      </c>
      <c r="BK85" s="152">
        <v>4</v>
      </c>
      <c r="BL85" s="152">
        <v>2</v>
      </c>
      <c r="BM85" s="35"/>
      <c r="BN85" s="35"/>
    </row>
    <row r="87" spans="1:66">
      <c r="A87" s="156"/>
      <c r="B87" s="156"/>
      <c r="C87" s="156"/>
      <c r="D87" s="156"/>
      <c r="E87" s="156"/>
      <c r="F87" s="11"/>
      <c r="G87" s="156"/>
      <c r="H87" s="152"/>
      <c r="I87" s="152"/>
      <c r="J87" s="152"/>
      <c r="K87" s="152"/>
      <c r="L87" s="152"/>
      <c r="M87" s="152"/>
      <c r="N87" s="152"/>
      <c r="O87" s="152"/>
      <c r="P87" s="152"/>
      <c r="Q87" s="152"/>
      <c r="R87" s="152"/>
      <c r="S87" s="152"/>
      <c r="T87" s="152"/>
      <c r="U87" s="156"/>
      <c r="V87" s="156"/>
      <c r="W87" s="156"/>
      <c r="X87" s="156"/>
      <c r="Y87" s="156"/>
      <c r="Z87" s="156"/>
      <c r="AA87" s="156"/>
      <c r="AB87" s="156"/>
      <c r="AC87" s="156"/>
      <c r="AD87" s="156"/>
      <c r="AE87" s="156"/>
      <c r="AF87" s="156"/>
      <c r="AG87" s="156"/>
      <c r="AH87" s="156"/>
      <c r="AI87" s="156"/>
      <c r="AJ87" s="156"/>
      <c r="AK87" s="156"/>
      <c r="AL87" s="156"/>
      <c r="AM87" s="156"/>
      <c r="AN87" s="156"/>
      <c r="AO87" s="156"/>
      <c r="AP87" s="156"/>
      <c r="AQ87" s="156"/>
      <c r="AR87" s="156"/>
      <c r="AS87" s="156"/>
      <c r="AT87" s="156"/>
      <c r="AU87" s="156"/>
      <c r="AV87" s="156"/>
      <c r="AW87" s="156"/>
      <c r="AX87" s="156"/>
      <c r="AY87" s="156"/>
      <c r="AZ87" s="156"/>
      <c r="BA87" s="156"/>
      <c r="BB87" s="156"/>
      <c r="BC87" s="156"/>
      <c r="BD87" s="156"/>
      <c r="BE87" s="156"/>
      <c r="BF87" s="156"/>
      <c r="BG87" s="156"/>
      <c r="BH87" s="156"/>
      <c r="BI87" s="156"/>
      <c r="BJ87" s="156"/>
      <c r="BK87" s="156"/>
      <c r="BL87" s="156"/>
      <c r="BM87" s="156"/>
      <c r="BN87" s="156"/>
    </row>
    <row r="100" spans="1:6">
      <c r="A100" s="116"/>
      <c r="B100" s="212"/>
      <c r="C100" s="212"/>
      <c r="D100" s="212"/>
      <c r="E100" s="212"/>
      <c r="F100" s="212"/>
    </row>
    <row r="101" spans="1:6">
      <c r="A101" s="116"/>
      <c r="B101" s="213"/>
      <c r="C101" s="213"/>
      <c r="D101" s="213"/>
      <c r="E101" s="213"/>
      <c r="F101" s="116"/>
    </row>
    <row r="102" spans="1:6">
      <c r="A102" s="116"/>
      <c r="B102" s="213"/>
      <c r="C102" s="213"/>
      <c r="D102" s="213"/>
      <c r="E102" s="213"/>
      <c r="F102" s="116"/>
    </row>
    <row r="105" spans="1:6">
      <c r="A105" s="139"/>
      <c r="B105" s="140" t="s">
        <v>473</v>
      </c>
      <c r="C105" s="141" t="s">
        <v>475</v>
      </c>
      <c r="D105" s="140" t="s">
        <v>476</v>
      </c>
      <c r="E105" s="141" t="s">
        <v>477</v>
      </c>
    </row>
    <row r="106" spans="1:6">
      <c r="A106" s="142" t="s">
        <v>479</v>
      </c>
      <c r="B106" s="139">
        <v>2304</v>
      </c>
      <c r="C106" s="139">
        <v>90</v>
      </c>
      <c r="D106" s="139">
        <v>3456</v>
      </c>
      <c r="E106" s="139">
        <v>10022.4</v>
      </c>
    </row>
    <row r="107" spans="1:6">
      <c r="A107" s="142" t="s">
        <v>480</v>
      </c>
      <c r="B107" s="139">
        <v>5667.84</v>
      </c>
      <c r="C107" s="139">
        <v>115</v>
      </c>
      <c r="D107" s="139">
        <v>4700.16</v>
      </c>
      <c r="E107" s="139">
        <v>17003.52</v>
      </c>
    </row>
  </sheetData>
  <mergeCells count="5">
    <mergeCell ref="A1:D1"/>
    <mergeCell ref="A3:B3"/>
    <mergeCell ref="F3:G3"/>
    <mergeCell ref="A4:B4"/>
    <mergeCell ref="A5:B5"/>
  </mergeCells>
  <dataValidations count="1">
    <dataValidation type="list" allowBlank="1" showInputMessage="1" showErrorMessage="1" sqref="Q11" xr:uid="{46990760-8E2B-4BC1-AD65-3C86D60CC978}">
      <formula1>$B106:$B107</formula1>
    </dataValidation>
  </dataValidations>
  <hyperlinks>
    <hyperlink ref="F3:G3" location="Shortcuts!A1" display="Back to shortcuts" xr:uid="{0AB838D5-0E4F-4D95-8EC2-D0DBACAED61B}"/>
  </hyperlink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6B975-7477-4658-85D5-73C87629ADF2}">
  <dimension ref="A1:AT85"/>
  <sheetViews>
    <sheetView zoomScale="85" zoomScaleNormal="85" zoomScalePageLayoutView="70" workbookViewId="0">
      <selection activeCell="E11" sqref="E11"/>
    </sheetView>
  </sheetViews>
  <sheetFormatPr defaultColWidth="8.5703125" defaultRowHeight="12.75"/>
  <cols>
    <col min="1" max="1" width="16.140625" style="3" customWidth="1"/>
    <col min="2" max="2" width="15" style="3" customWidth="1"/>
    <col min="3" max="3" width="15.5703125" style="3" customWidth="1"/>
    <col min="4" max="4" width="23.140625" style="3" customWidth="1"/>
    <col min="5" max="5" width="55.42578125" style="3" customWidth="1"/>
    <col min="6" max="7" width="8.5703125" style="3"/>
    <col min="8" max="8" width="21.42578125" style="3" customWidth="1"/>
    <col min="9" max="10" width="8.5703125" style="3"/>
    <col min="11" max="11" width="17.85546875" style="3" customWidth="1"/>
    <col min="12" max="12" width="8.5703125" style="3"/>
    <col min="13" max="13" width="9.5703125" style="3" customWidth="1"/>
    <col min="14" max="14" width="8.5703125" style="3"/>
    <col min="15" max="15" width="11.5703125" style="3" customWidth="1"/>
    <col min="16" max="16" width="8.5703125" style="3"/>
    <col min="17" max="17" width="9.5703125" style="3" customWidth="1"/>
    <col min="18" max="18" width="8.5703125" style="3"/>
    <col min="19" max="19" width="9.5703125" style="3" customWidth="1"/>
    <col min="20" max="20" width="10" style="3" customWidth="1"/>
    <col min="21" max="21" width="9.5703125" style="3" customWidth="1"/>
    <col min="22" max="22" width="8.5703125" style="3"/>
    <col min="23" max="23" width="9.5703125" style="3" customWidth="1"/>
    <col min="24" max="24" width="10.42578125" style="3" customWidth="1"/>
    <col min="25" max="26" width="9.5703125" style="3" customWidth="1"/>
    <col min="27" max="31" width="12.5703125" style="3" customWidth="1"/>
    <col min="32" max="32" width="22" style="3" customWidth="1"/>
    <col min="33" max="33" width="12.42578125" style="3" customWidth="1"/>
    <col min="34" max="34" width="13.42578125" style="3" customWidth="1"/>
    <col min="35" max="37" width="8.5703125" style="3"/>
    <col min="38" max="38" width="18.5703125" style="3" customWidth="1"/>
    <col min="39" max="45" width="8.5703125" style="3"/>
    <col min="46" max="46" width="10.42578125" style="3" customWidth="1"/>
    <col min="47" max="16384" width="8.5703125" style="3"/>
  </cols>
  <sheetData>
    <row r="1" spans="1:46">
      <c r="A1" s="155" t="s">
        <v>4</v>
      </c>
      <c r="B1" s="155"/>
      <c r="C1" s="155"/>
      <c r="D1" s="155"/>
      <c r="E1" s="156"/>
      <c r="F1" s="155" t="s">
        <v>708</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row>
    <row r="3" spans="1:46" ht="15">
      <c r="A3" s="152" t="s">
        <v>632</v>
      </c>
      <c r="B3" s="152"/>
      <c r="C3" s="16"/>
      <c r="D3" s="156" t="s">
        <v>553</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row>
    <row r="4" spans="1:46">
      <c r="A4" s="152" t="s">
        <v>303</v>
      </c>
      <c r="B4" s="152"/>
      <c r="C4" s="2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row>
    <row r="5" spans="1:46">
      <c r="A5" s="152" t="s">
        <v>305</v>
      </c>
      <c r="B5" s="152"/>
      <c r="C5" s="156" t="s">
        <v>306</v>
      </c>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row>
    <row r="6" spans="1:46">
      <c r="A6" s="156"/>
      <c r="B6" s="156"/>
      <c r="C6" s="35" t="s">
        <v>307</v>
      </c>
      <c r="D6" s="156"/>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7" t="s">
        <v>308</v>
      </c>
      <c r="AL6" s="7"/>
      <c r="AM6" s="156"/>
      <c r="AN6" s="156" t="s">
        <v>309</v>
      </c>
      <c r="AO6" s="156">
        <v>0.9</v>
      </c>
      <c r="AP6" s="156"/>
      <c r="AQ6" s="156"/>
      <c r="AR6" s="156"/>
      <c r="AS6" s="156"/>
      <c r="AT6" s="156"/>
    </row>
    <row r="7" spans="1:46">
      <c r="A7" s="5" t="s">
        <v>164</v>
      </c>
      <c r="B7" s="5" t="s">
        <v>310</v>
      </c>
      <c r="C7" s="5" t="s">
        <v>311</v>
      </c>
      <c r="D7" s="5" t="s">
        <v>312</v>
      </c>
      <c r="E7" s="5" t="s">
        <v>313</v>
      </c>
      <c r="F7" s="4" t="s">
        <v>103</v>
      </c>
      <c r="G7" s="4" t="s">
        <v>109</v>
      </c>
      <c r="H7" s="4" t="s">
        <v>314</v>
      </c>
      <c r="I7" s="4" t="s">
        <v>113</v>
      </c>
      <c r="J7" s="4" t="s">
        <v>315</v>
      </c>
      <c r="K7" s="4" t="s">
        <v>316</v>
      </c>
      <c r="L7" s="4" t="s">
        <v>118</v>
      </c>
      <c r="M7" s="4" t="s">
        <v>316</v>
      </c>
      <c r="N7" s="4" t="s">
        <v>20</v>
      </c>
      <c r="O7" s="4" t="s">
        <v>316</v>
      </c>
      <c r="P7" s="4" t="s">
        <v>122</v>
      </c>
      <c r="Q7" s="4" t="s">
        <v>316</v>
      </c>
      <c r="R7" s="4" t="s">
        <v>130</v>
      </c>
      <c r="S7" s="4" t="s">
        <v>316</v>
      </c>
      <c r="T7" s="4" t="s">
        <v>137</v>
      </c>
      <c r="U7" s="4" t="s">
        <v>316</v>
      </c>
      <c r="V7" s="4" t="s">
        <v>126</v>
      </c>
      <c r="W7" s="4" t="s">
        <v>316</v>
      </c>
      <c r="X7" s="4" t="s">
        <v>317</v>
      </c>
      <c r="Y7" s="4" t="s">
        <v>316</v>
      </c>
      <c r="Z7" s="4" t="s">
        <v>481</v>
      </c>
      <c r="AA7" s="4" t="s">
        <v>316</v>
      </c>
      <c r="AB7" s="4" t="s">
        <v>319</v>
      </c>
      <c r="AC7" s="4" t="s">
        <v>316</v>
      </c>
      <c r="AD7" s="4" t="s">
        <v>320</v>
      </c>
      <c r="AE7" s="4" t="s">
        <v>316</v>
      </c>
      <c r="AF7" s="4" t="s">
        <v>322</v>
      </c>
      <c r="AG7" s="4" t="s">
        <v>323</v>
      </c>
      <c r="AH7" s="4" t="s">
        <v>324</v>
      </c>
      <c r="AI7" s="156"/>
      <c r="AJ7" s="156"/>
      <c r="AK7" s="4" t="s">
        <v>109</v>
      </c>
      <c r="AL7" s="4" t="s">
        <v>314</v>
      </c>
      <c r="AM7" s="4" t="s">
        <v>113</v>
      </c>
      <c r="AN7" s="4" t="s">
        <v>118</v>
      </c>
      <c r="AO7" s="4" t="s">
        <v>20</v>
      </c>
      <c r="AP7" s="4" t="s">
        <v>122</v>
      </c>
      <c r="AQ7" s="4" t="s">
        <v>130</v>
      </c>
      <c r="AR7" s="4" t="s">
        <v>137</v>
      </c>
      <c r="AS7" s="4" t="s">
        <v>126</v>
      </c>
      <c r="AT7" s="4" t="s">
        <v>317</v>
      </c>
    </row>
    <row r="8" spans="1:46">
      <c r="A8" s="16" t="s">
        <v>325</v>
      </c>
      <c r="B8" s="16"/>
      <c r="C8" s="16" t="s">
        <v>333</v>
      </c>
      <c r="D8" s="16" t="s">
        <v>453</v>
      </c>
      <c r="E8" s="16" t="s">
        <v>8</v>
      </c>
      <c r="F8" s="17">
        <v>4</v>
      </c>
      <c r="G8" s="17">
        <v>4</v>
      </c>
      <c r="H8" s="17">
        <v>0</v>
      </c>
      <c r="I8" s="17">
        <v>350</v>
      </c>
      <c r="J8" s="17">
        <f>G8-H8</f>
        <v>4</v>
      </c>
      <c r="K8" s="17" t="s">
        <v>327</v>
      </c>
      <c r="L8" s="17"/>
      <c r="M8" s="17"/>
      <c r="N8" s="17"/>
      <c r="O8" s="17"/>
      <c r="P8" s="17"/>
      <c r="Q8" s="17"/>
      <c r="R8" s="17"/>
      <c r="S8" s="17"/>
      <c r="T8" s="17"/>
      <c r="U8" s="17"/>
      <c r="V8" s="17"/>
      <c r="W8" s="17"/>
      <c r="X8" s="17"/>
      <c r="Y8" s="17"/>
      <c r="Z8" s="17"/>
      <c r="AA8" s="17"/>
      <c r="AB8" s="17"/>
      <c r="AC8" s="17"/>
      <c r="AD8" s="17"/>
      <c r="AE8" s="17"/>
      <c r="AF8" s="17" t="s">
        <v>328</v>
      </c>
      <c r="AG8" s="17" t="s">
        <v>329</v>
      </c>
      <c r="AH8" s="17"/>
      <c r="AI8" s="156"/>
      <c r="AJ8" s="156"/>
      <c r="AK8" s="156">
        <f t="shared" ref="AK8:AK42" si="0">IF(ISBLANK($A8),,G8*1.024)</f>
        <v>4.0960000000000001</v>
      </c>
      <c r="AL8" s="156">
        <f t="shared" ref="AL8:AL42" si="1">IF(ISBLANK($A8),,H8*1.024)</f>
        <v>0</v>
      </c>
      <c r="AM8" s="156">
        <f>IF(ISBLANK($A8),,ROUNDDOWN(I8*AO6*1.024,))</f>
        <v>322</v>
      </c>
      <c r="AN8" s="156">
        <f>IF(ISBLANK($A8),,ROUNDDOWN(L8*AO6*1.024,))</f>
        <v>0</v>
      </c>
      <c r="AO8" s="156">
        <f>IF(ISBLANK($A8),,ROUNDDOWN(N8*AO6*1.024,))</f>
        <v>0</v>
      </c>
      <c r="AP8" s="156">
        <f>IF(ISBLANK($A8),,ROUNDDOWN(P8*AO6*1.024,))</f>
        <v>0</v>
      </c>
      <c r="AQ8" s="156">
        <f>IF(ISBLANK($A8),,ROUNDDOWN(R8*AO6*1.024,))</f>
        <v>0</v>
      </c>
      <c r="AR8" s="156">
        <f t="shared" ref="AR8:AR42" si="2">IF(ISBLANK($A8),,ROUNDDOWN(T8*AO$6*1.024,))</f>
        <v>0</v>
      </c>
      <c r="AS8" s="156">
        <f>IF(ISBLANK($A8),,ROUNDDOWN(V8*AO6*1.024,))</f>
        <v>0</v>
      </c>
      <c r="AT8" s="156">
        <f>IF(ISBLANK($A8),,ROUNDDOWN(X8*AO6*1.024,))</f>
        <v>0</v>
      </c>
    </row>
    <row r="9" spans="1:46">
      <c r="A9" s="156" t="s">
        <v>331</v>
      </c>
      <c r="B9" s="152" t="s">
        <v>332</v>
      </c>
      <c r="C9" s="156" t="s">
        <v>333</v>
      </c>
      <c r="D9" s="156" t="s">
        <v>453</v>
      </c>
      <c r="E9" s="156" t="s">
        <v>16</v>
      </c>
      <c r="F9" s="152">
        <v>6</v>
      </c>
      <c r="G9" s="152">
        <v>6</v>
      </c>
      <c r="H9" s="152">
        <v>6</v>
      </c>
      <c r="I9" s="152">
        <v>41</v>
      </c>
      <c r="J9" s="154">
        <f t="shared" ref="J9:J42" si="3">G9-H9</f>
        <v>0</v>
      </c>
      <c r="K9" s="152" t="s">
        <v>335</v>
      </c>
      <c r="L9" s="152"/>
      <c r="M9" s="152"/>
      <c r="N9" s="152"/>
      <c r="O9" s="152"/>
      <c r="P9" s="152"/>
      <c r="Q9" s="152"/>
      <c r="R9" s="152"/>
      <c r="S9" s="152"/>
      <c r="T9" s="152"/>
      <c r="U9" s="152"/>
      <c r="V9" s="152"/>
      <c r="W9" s="152"/>
      <c r="X9" s="152"/>
      <c r="Y9" s="152"/>
      <c r="Z9" s="152"/>
      <c r="AA9" s="152"/>
      <c r="AB9" s="152"/>
      <c r="AC9" s="152"/>
      <c r="AD9" s="152"/>
      <c r="AE9" s="152"/>
      <c r="AF9" s="152" t="s">
        <v>328</v>
      </c>
      <c r="AG9" s="152" t="s">
        <v>329</v>
      </c>
      <c r="AH9" s="152"/>
      <c r="AI9" s="156"/>
      <c r="AJ9" s="156"/>
      <c r="AK9" s="156">
        <f t="shared" si="0"/>
        <v>6.1440000000000001</v>
      </c>
      <c r="AL9" s="156">
        <f t="shared" si="1"/>
        <v>6.1440000000000001</v>
      </c>
      <c r="AM9" s="156">
        <f>IF(ISBLANK($A9),,ROUNDDOWN(I9*AO6*1.024,))</f>
        <v>37</v>
      </c>
      <c r="AN9" s="156">
        <f>IF(ISBLANK($A9),,ROUNDDOWN(L9*AO6*1.024,))</f>
        <v>0</v>
      </c>
      <c r="AO9" s="156">
        <f>IF(ISBLANK($A9),,ROUNDDOWN(N9*AO6*1.024,))</f>
        <v>0</v>
      </c>
      <c r="AP9" s="156">
        <f>IF(ISBLANK($A9),,ROUNDDOWN(P9*AO6*1.024,))</f>
        <v>0</v>
      </c>
      <c r="AQ9" s="156">
        <f>IF(ISBLANK($A9),,ROUNDDOWN(R9*AO6*1.024,))</f>
        <v>0</v>
      </c>
      <c r="AR9" s="156">
        <f t="shared" si="2"/>
        <v>0</v>
      </c>
      <c r="AS9" s="156">
        <f>IF(ISBLANK($A9),,ROUNDDOWN(V9*AO6*1.024,))</f>
        <v>0</v>
      </c>
      <c r="AT9" s="156">
        <f>IF(ISBLANK($A9),,ROUNDDOWN(X9*AO6*1.024,))</f>
        <v>0</v>
      </c>
    </row>
    <row r="10" spans="1:46">
      <c r="A10" s="156" t="s">
        <v>336</v>
      </c>
      <c r="B10" s="152"/>
      <c r="C10" s="156" t="s">
        <v>333</v>
      </c>
      <c r="D10" s="156" t="s">
        <v>453</v>
      </c>
      <c r="E10" s="156" t="s">
        <v>20</v>
      </c>
      <c r="F10" s="154">
        <v>16</v>
      </c>
      <c r="G10" s="154">
        <v>160</v>
      </c>
      <c r="H10" s="154">
        <f>(G10*82.5)/100</f>
        <v>132</v>
      </c>
      <c r="I10" s="154">
        <v>91</v>
      </c>
      <c r="J10" s="154">
        <f t="shared" si="3"/>
        <v>28</v>
      </c>
      <c r="K10" s="154" t="s">
        <v>337</v>
      </c>
      <c r="L10" s="154">
        <v>500</v>
      </c>
      <c r="M10" s="154" t="s">
        <v>338</v>
      </c>
      <c r="N10" s="154">
        <v>9000</v>
      </c>
      <c r="O10" s="154" t="s">
        <v>339</v>
      </c>
      <c r="P10" s="154">
        <v>13500</v>
      </c>
      <c r="Q10" s="154" t="s">
        <v>340</v>
      </c>
      <c r="R10" s="154"/>
      <c r="S10" s="154"/>
      <c r="T10" s="154"/>
      <c r="U10" s="154"/>
      <c r="V10" s="154"/>
      <c r="W10" s="154"/>
      <c r="X10" s="159">
        <v>30556</v>
      </c>
      <c r="Y10" s="154" t="s">
        <v>126</v>
      </c>
      <c r="Z10" s="152"/>
      <c r="AA10" s="152"/>
      <c r="AB10" s="152"/>
      <c r="AC10" s="152"/>
      <c r="AD10" s="152"/>
      <c r="AE10" s="152"/>
      <c r="AF10" s="152" t="s">
        <v>328</v>
      </c>
      <c r="AG10" s="152" t="s">
        <v>329</v>
      </c>
      <c r="AH10" s="152"/>
      <c r="AI10" s="156"/>
      <c r="AJ10" s="156"/>
      <c r="AK10" s="156">
        <f t="shared" si="0"/>
        <v>163.84</v>
      </c>
      <c r="AL10" s="156">
        <f t="shared" si="1"/>
        <v>135.16800000000001</v>
      </c>
      <c r="AM10" s="156">
        <f>IF(ISBLANK($A10),,ROUNDDOWN(I10*AO6*1.024,))</f>
        <v>83</v>
      </c>
      <c r="AN10" s="156">
        <f>IF(ISBLANK($A10),,ROUNDDOWN(L10*AO6*1.024,))</f>
        <v>460</v>
      </c>
      <c r="AO10" s="156">
        <f>IF(ISBLANK($A10),,ROUNDDOWN(N10*AO6*1.024,))</f>
        <v>8294</v>
      </c>
      <c r="AP10" s="156">
        <f>IF(ISBLANK($A10),,ROUNDDOWN(P10*AO6*1.024,))</f>
        <v>12441</v>
      </c>
      <c r="AQ10" s="156">
        <f>IF(ISBLANK($A10),,ROUNDDOWN(R10*AO6*1.024,))</f>
        <v>0</v>
      </c>
      <c r="AR10" s="156">
        <f t="shared" si="2"/>
        <v>0</v>
      </c>
      <c r="AS10" s="156">
        <f>IF(ISBLANK($A10),,ROUNDDOWN(V10*AO6*1.024,))</f>
        <v>0</v>
      </c>
      <c r="AT10" s="156">
        <f>IF(ISBLANK($A10),,ROUNDDOWN(X10*AO6*1.024,))</f>
        <v>28160</v>
      </c>
    </row>
    <row r="11" spans="1:46">
      <c r="A11" s="156" t="s">
        <v>342</v>
      </c>
      <c r="B11" s="152" t="s">
        <v>332</v>
      </c>
      <c r="C11" s="156" t="s">
        <v>333</v>
      </c>
      <c r="D11" s="156" t="s">
        <v>453</v>
      </c>
      <c r="E11" s="156" t="s">
        <v>24</v>
      </c>
      <c r="F11" s="152">
        <v>8</v>
      </c>
      <c r="G11" s="152">
        <v>7</v>
      </c>
      <c r="H11" s="152">
        <v>7</v>
      </c>
      <c r="I11" s="152">
        <v>46</v>
      </c>
      <c r="J11" s="154">
        <f t="shared" si="3"/>
        <v>0</v>
      </c>
      <c r="K11" s="152" t="s">
        <v>343</v>
      </c>
      <c r="L11" s="152"/>
      <c r="M11" s="152"/>
      <c r="N11" s="152"/>
      <c r="O11" s="152"/>
      <c r="P11" s="152"/>
      <c r="Q11" s="152"/>
      <c r="R11" s="173">
        <v>850</v>
      </c>
      <c r="S11" s="154" t="s">
        <v>344</v>
      </c>
      <c r="T11" s="152">
        <v>300</v>
      </c>
      <c r="U11" s="154" t="s">
        <v>137</v>
      </c>
      <c r="V11" s="154"/>
      <c r="W11" s="154"/>
      <c r="X11" s="154">
        <v>500</v>
      </c>
      <c r="Y11" s="154" t="s">
        <v>126</v>
      </c>
      <c r="Z11" s="152"/>
      <c r="AA11" s="152"/>
      <c r="AB11" s="152"/>
      <c r="AC11" s="152"/>
      <c r="AD11" s="152"/>
      <c r="AE11" s="152"/>
      <c r="AF11" s="152" t="s">
        <v>328</v>
      </c>
      <c r="AG11" s="152" t="s">
        <v>329</v>
      </c>
      <c r="AH11" s="152"/>
      <c r="AI11" s="156"/>
      <c r="AJ11" s="156"/>
      <c r="AK11" s="156">
        <f t="shared" si="0"/>
        <v>7.1680000000000001</v>
      </c>
      <c r="AL11" s="156">
        <f t="shared" si="1"/>
        <v>7.1680000000000001</v>
      </c>
      <c r="AM11" s="156">
        <f>IF(ISBLANK($A11),,ROUNDDOWN(I11*AO6*1.024,))</f>
        <v>42</v>
      </c>
      <c r="AN11" s="156">
        <f>IF(ISBLANK($A11),,ROUNDDOWN(L11*AO6*1.024,))</f>
        <v>0</v>
      </c>
      <c r="AO11" s="156">
        <f>IF(ISBLANK($A11),,ROUNDDOWN(N11*AO6*1.024,))</f>
        <v>0</v>
      </c>
      <c r="AP11" s="156">
        <f>IF(ISBLANK($A11),,ROUNDDOWN(P11*AO6*1.024,))</f>
        <v>0</v>
      </c>
      <c r="AQ11" s="156">
        <f>IF(ISBLANK($A11),,ROUNDDOWN(R11*AO6*1.024,))</f>
        <v>783</v>
      </c>
      <c r="AR11" s="156">
        <f t="shared" si="2"/>
        <v>276</v>
      </c>
      <c r="AS11" s="156">
        <f>IF(ISBLANK($A11),,ROUNDDOWN(V11*AO6*1.024,))</f>
        <v>0</v>
      </c>
      <c r="AT11" s="156">
        <f>IF(ISBLANK($A11),,ROUNDDOWN(X11*AO6*1.024,))</f>
        <v>460</v>
      </c>
    </row>
    <row r="12" spans="1:46">
      <c r="A12" s="156" t="s">
        <v>345</v>
      </c>
      <c r="B12" s="156"/>
      <c r="C12" s="156" t="s">
        <v>333</v>
      </c>
      <c r="D12" s="156" t="s">
        <v>453</v>
      </c>
      <c r="E12" s="156" t="s">
        <v>28</v>
      </c>
      <c r="F12" s="152">
        <v>2</v>
      </c>
      <c r="G12" s="152">
        <v>2</v>
      </c>
      <c r="H12" s="152">
        <v>0</v>
      </c>
      <c r="I12" s="152">
        <v>31</v>
      </c>
      <c r="J12" s="154">
        <f t="shared" si="3"/>
        <v>2</v>
      </c>
      <c r="K12" s="152" t="s">
        <v>335</v>
      </c>
      <c r="L12" s="152"/>
      <c r="M12" s="152"/>
      <c r="N12" s="152"/>
      <c r="O12" s="152"/>
      <c r="P12" s="152"/>
      <c r="Q12" s="152"/>
      <c r="R12" s="152"/>
      <c r="S12" s="152"/>
      <c r="T12" s="152"/>
      <c r="U12" s="152"/>
      <c r="V12" s="152"/>
      <c r="W12" s="152"/>
      <c r="X12" s="152"/>
      <c r="Y12" s="152"/>
      <c r="Z12" s="152"/>
      <c r="AA12" s="152"/>
      <c r="AB12" s="152"/>
      <c r="AC12" s="152"/>
      <c r="AD12" s="152"/>
      <c r="AE12" s="152"/>
      <c r="AF12" s="152" t="s">
        <v>346</v>
      </c>
      <c r="AG12" s="152" t="s">
        <v>347</v>
      </c>
      <c r="AH12" s="152" t="s">
        <v>329</v>
      </c>
      <c r="AI12" s="156"/>
      <c r="AJ12" s="156"/>
      <c r="AK12" s="156">
        <f t="shared" si="0"/>
        <v>2.048</v>
      </c>
      <c r="AL12" s="156">
        <f t="shared" si="1"/>
        <v>0</v>
      </c>
      <c r="AM12" s="156">
        <f>IF(ISBLANK($A12),,ROUNDDOWN(I12*AO6*1.024,))</f>
        <v>28</v>
      </c>
      <c r="AN12" s="156">
        <f>IF(ISBLANK($A12),,ROUNDDOWN(L12*AO6*1.024,))</f>
        <v>0</v>
      </c>
      <c r="AO12" s="156">
        <f>IF(ISBLANK($A12),,ROUNDDOWN(N12*AO6*1.024,))</f>
        <v>0</v>
      </c>
      <c r="AP12" s="156">
        <f>IF(ISBLANK($A12),,ROUNDDOWN(P12*AO6*1.024,))</f>
        <v>0</v>
      </c>
      <c r="AQ12" s="156">
        <f>IF(ISBLANK($A12),,ROUNDDOWN(R12*AO6*1.024,))</f>
        <v>0</v>
      </c>
      <c r="AR12" s="156">
        <f t="shared" si="2"/>
        <v>0</v>
      </c>
      <c r="AS12" s="156">
        <f>IF(ISBLANK($A12),,ROUNDDOWN(V12*AO6*1.024,))</f>
        <v>0</v>
      </c>
      <c r="AT12" s="156">
        <f>IF(ISBLANK($A12),,ROUNDDOWN(X12*AO6*1.024,))</f>
        <v>0</v>
      </c>
    </row>
    <row r="13" spans="1:46">
      <c r="A13" s="156" t="s">
        <v>348</v>
      </c>
      <c r="B13" s="156"/>
      <c r="C13" s="156" t="s">
        <v>333</v>
      </c>
      <c r="D13" s="156" t="s">
        <v>453</v>
      </c>
      <c r="E13" s="156" t="s">
        <v>555</v>
      </c>
      <c r="F13" s="152">
        <v>2</v>
      </c>
      <c r="G13" s="152">
        <v>5</v>
      </c>
      <c r="H13" s="152">
        <v>0</v>
      </c>
      <c r="I13" s="152">
        <v>31</v>
      </c>
      <c r="J13" s="154">
        <f t="shared" si="3"/>
        <v>5</v>
      </c>
      <c r="K13" s="152" t="s">
        <v>337</v>
      </c>
      <c r="L13" s="152"/>
      <c r="M13" s="152"/>
      <c r="N13" s="152"/>
      <c r="O13" s="152"/>
      <c r="P13" s="152"/>
      <c r="Q13" s="152"/>
      <c r="R13" s="152"/>
      <c r="S13" s="152"/>
      <c r="T13" s="152"/>
      <c r="U13" s="152"/>
      <c r="V13" s="152"/>
      <c r="W13" s="152"/>
      <c r="X13" s="152"/>
      <c r="Y13" s="152"/>
      <c r="Z13" s="152"/>
      <c r="AA13" s="152"/>
      <c r="AB13" s="152"/>
      <c r="AC13" s="152"/>
      <c r="AD13" s="152"/>
      <c r="AE13" s="152"/>
      <c r="AF13" s="152" t="s">
        <v>328</v>
      </c>
      <c r="AG13" s="152" t="s">
        <v>329</v>
      </c>
      <c r="AH13" s="152"/>
      <c r="AI13" s="156"/>
      <c r="AJ13" s="156"/>
      <c r="AK13" s="156">
        <f t="shared" si="0"/>
        <v>5.12</v>
      </c>
      <c r="AL13" s="156">
        <f t="shared" si="1"/>
        <v>0</v>
      </c>
      <c r="AM13" s="156">
        <f>IF(ISBLANK($A13),,ROUNDDOWN(I13*AO6*1.024,))</f>
        <v>28</v>
      </c>
      <c r="AN13" s="156">
        <f>IF(ISBLANK($A13),,ROUNDDOWN(L13*AO6*1.024,))</f>
        <v>0</v>
      </c>
      <c r="AO13" s="156">
        <f>IF(ISBLANK($A13),,ROUNDDOWN(N13*AO6*1.024,))</f>
        <v>0</v>
      </c>
      <c r="AP13" s="156">
        <f>IF(ISBLANK($A13),,ROUNDDOWN(P13*AO6*1.024,))</f>
        <v>0</v>
      </c>
      <c r="AQ13" s="156">
        <f>IF(ISBLANK($A13),,ROUNDDOWN(R13*AO6*1.024,))</f>
        <v>0</v>
      </c>
      <c r="AR13" s="156">
        <f t="shared" si="2"/>
        <v>0</v>
      </c>
      <c r="AS13" s="156">
        <f>IF(ISBLANK($A13),,ROUNDDOWN(V13*AO6*1.024,))</f>
        <v>0</v>
      </c>
      <c r="AT13" s="156">
        <f>IF(ISBLANK($A13),,ROUNDDOWN(X13*AO6*1.024,))</f>
        <v>0</v>
      </c>
    </row>
    <row r="14" spans="1:46">
      <c r="A14" s="156" t="s">
        <v>349</v>
      </c>
      <c r="B14" s="156"/>
      <c r="C14" s="156" t="s">
        <v>333</v>
      </c>
      <c r="D14" s="156" t="s">
        <v>453</v>
      </c>
      <c r="E14" s="156" t="s">
        <v>482</v>
      </c>
      <c r="F14" s="152">
        <v>3</v>
      </c>
      <c r="G14" s="152">
        <v>6</v>
      </c>
      <c r="H14" s="152">
        <v>0</v>
      </c>
      <c r="I14" s="152">
        <v>41</v>
      </c>
      <c r="J14" s="154">
        <f t="shared" si="3"/>
        <v>6</v>
      </c>
      <c r="K14" s="152" t="s">
        <v>343</v>
      </c>
      <c r="L14" s="152"/>
      <c r="M14" s="152"/>
      <c r="N14" s="152"/>
      <c r="O14" s="152"/>
      <c r="P14" s="152"/>
      <c r="Q14" s="152"/>
      <c r="R14" s="152"/>
      <c r="S14" s="152"/>
      <c r="T14" s="152"/>
      <c r="U14" s="152"/>
      <c r="V14" s="152"/>
      <c r="W14" s="152"/>
      <c r="X14" s="152"/>
      <c r="Y14" s="152"/>
      <c r="Z14" s="152"/>
      <c r="AA14" s="152"/>
      <c r="AB14" s="152"/>
      <c r="AC14" s="152"/>
      <c r="AD14" s="152"/>
      <c r="AE14" s="152"/>
      <c r="AF14" s="152" t="s">
        <v>346</v>
      </c>
      <c r="AG14" s="152" t="s">
        <v>347</v>
      </c>
      <c r="AH14" s="152"/>
      <c r="AI14" s="156"/>
      <c r="AJ14" s="156"/>
      <c r="AK14" s="156">
        <f t="shared" si="0"/>
        <v>6.1440000000000001</v>
      </c>
      <c r="AL14" s="156">
        <f t="shared" si="1"/>
        <v>0</v>
      </c>
      <c r="AM14" s="156">
        <f>IF(ISBLANK($A14),,ROUNDDOWN(I14*AO6*1.024,))</f>
        <v>37</v>
      </c>
      <c r="AN14" s="156">
        <f>IF(ISBLANK($A14),,ROUNDDOWN(L14*AO6*1.024,))</f>
        <v>0</v>
      </c>
      <c r="AO14" s="156">
        <f>IF(ISBLANK($A14),,ROUNDDOWN(N14*AO6*1.024,))</f>
        <v>0</v>
      </c>
      <c r="AP14" s="156">
        <f>IF(ISBLANK($A14),,ROUNDDOWN(P14*AO6*1.024,))</f>
        <v>0</v>
      </c>
      <c r="AQ14" s="156">
        <f>IF(ISBLANK($A14),,ROUNDDOWN(R14*AO6*1.024,))</f>
        <v>0</v>
      </c>
      <c r="AR14" s="156">
        <f t="shared" si="2"/>
        <v>0</v>
      </c>
      <c r="AS14" s="156">
        <f>IF(ISBLANK($A14),,ROUNDDOWN(V14*AO6*1.024,))</f>
        <v>0</v>
      </c>
      <c r="AT14" s="156">
        <f>IF(ISBLANK($A14),,ROUNDDOWN(X14*AO6*1.024,))</f>
        <v>0</v>
      </c>
    </row>
    <row r="15" spans="1:46">
      <c r="A15" s="156" t="s">
        <v>351</v>
      </c>
      <c r="B15" s="156"/>
      <c r="C15" s="156" t="s">
        <v>333</v>
      </c>
      <c r="D15" s="156" t="s">
        <v>453</v>
      </c>
      <c r="E15" s="156" t="s">
        <v>40</v>
      </c>
      <c r="F15" s="152">
        <v>5</v>
      </c>
      <c r="G15" s="152">
        <v>7</v>
      </c>
      <c r="H15" s="152">
        <v>0</v>
      </c>
      <c r="I15" s="152">
        <v>56</v>
      </c>
      <c r="J15" s="154">
        <f t="shared" si="3"/>
        <v>7</v>
      </c>
      <c r="K15" s="152" t="s">
        <v>335</v>
      </c>
      <c r="L15" s="152"/>
      <c r="M15" s="152"/>
      <c r="N15" s="152"/>
      <c r="O15" s="152"/>
      <c r="P15" s="152"/>
      <c r="Q15" s="152"/>
      <c r="R15" s="152"/>
      <c r="S15" s="152"/>
      <c r="T15" s="152"/>
      <c r="U15" s="152"/>
      <c r="V15" s="152"/>
      <c r="W15" s="152"/>
      <c r="X15" s="152"/>
      <c r="Y15" s="152"/>
      <c r="Z15" s="152"/>
      <c r="AA15" s="152"/>
      <c r="AB15" s="152"/>
      <c r="AC15" s="152"/>
      <c r="AD15" s="152"/>
      <c r="AE15" s="152"/>
      <c r="AF15" s="152" t="s">
        <v>346</v>
      </c>
      <c r="AG15" s="152" t="s">
        <v>347</v>
      </c>
      <c r="AH15" s="152"/>
      <c r="AI15" s="156"/>
      <c r="AJ15" s="156"/>
      <c r="AK15" s="156">
        <f t="shared" si="0"/>
        <v>7.1680000000000001</v>
      </c>
      <c r="AL15" s="156">
        <f t="shared" si="1"/>
        <v>0</v>
      </c>
      <c r="AM15" s="156">
        <f>IF(ISBLANK($A15),,ROUNDDOWN(I15*AO6*1.024,))</f>
        <v>51</v>
      </c>
      <c r="AN15" s="156">
        <f>IF(ISBLANK($A15),,ROUNDDOWN(L15*AO6*1.024,))</f>
        <v>0</v>
      </c>
      <c r="AO15" s="156">
        <f>IF(ISBLANK($A15),,ROUNDDOWN(N15*AO6*1.024,))</f>
        <v>0</v>
      </c>
      <c r="AP15" s="156">
        <f>IF(ISBLANK($A15),,ROUNDDOWN(P15*AO6*1.024,))</f>
        <v>0</v>
      </c>
      <c r="AQ15" s="156">
        <f>IF(ISBLANK($A15),,ROUNDDOWN(R15*AO6*1.024,))</f>
        <v>0</v>
      </c>
      <c r="AR15" s="156">
        <f t="shared" si="2"/>
        <v>0</v>
      </c>
      <c r="AS15" s="156">
        <f>IF(ISBLANK($A15),,ROUNDDOWN(V15*AO6*1.024,))</f>
        <v>0</v>
      </c>
      <c r="AT15" s="156">
        <f>IF(ISBLANK($A15),,ROUNDDOWN(X15*AO6*1.024,))</f>
        <v>0</v>
      </c>
    </row>
    <row r="16" spans="1:46">
      <c r="A16" s="156" t="s">
        <v>352</v>
      </c>
      <c r="B16" s="156"/>
      <c r="C16" s="156" t="s">
        <v>333</v>
      </c>
      <c r="D16" s="156" t="s">
        <v>453</v>
      </c>
      <c r="E16" s="156" t="s">
        <v>43</v>
      </c>
      <c r="F16" s="152">
        <v>4</v>
      </c>
      <c r="G16" s="152">
        <v>6</v>
      </c>
      <c r="H16" s="152">
        <v>0</v>
      </c>
      <c r="I16" s="152">
        <v>31</v>
      </c>
      <c r="J16" s="154">
        <f t="shared" si="3"/>
        <v>6</v>
      </c>
      <c r="K16" s="152" t="s">
        <v>337</v>
      </c>
      <c r="L16" s="152"/>
      <c r="M16" s="152"/>
      <c r="N16" s="152"/>
      <c r="O16" s="152"/>
      <c r="P16" s="152"/>
      <c r="Q16" s="152"/>
      <c r="R16" s="152"/>
      <c r="S16" s="152"/>
      <c r="T16" s="152"/>
      <c r="U16" s="152"/>
      <c r="V16" s="152"/>
      <c r="W16" s="152"/>
      <c r="X16" s="152"/>
      <c r="Y16" s="152"/>
      <c r="Z16" s="152"/>
      <c r="AA16" s="152"/>
      <c r="AB16" s="152"/>
      <c r="AC16" s="152"/>
      <c r="AD16" s="152"/>
      <c r="AE16" s="152"/>
      <c r="AF16" s="152" t="s">
        <v>346</v>
      </c>
      <c r="AG16" s="152" t="s">
        <v>347</v>
      </c>
      <c r="AH16" s="152"/>
      <c r="AI16" s="156"/>
      <c r="AJ16" s="156"/>
      <c r="AK16" s="156">
        <f t="shared" si="0"/>
        <v>6.1440000000000001</v>
      </c>
      <c r="AL16" s="156">
        <f t="shared" si="1"/>
        <v>0</v>
      </c>
      <c r="AM16" s="156">
        <f>IF(ISBLANK($A16),,ROUNDDOWN(I16*AO6*1.024,))</f>
        <v>28</v>
      </c>
      <c r="AN16" s="156">
        <f>IF(ISBLANK($A16),,ROUNDDOWN(L16*AO6*1.024,))</f>
        <v>0</v>
      </c>
      <c r="AO16" s="156">
        <f>IF(ISBLANK($A16),,ROUNDDOWN(N16*AO6*1.024,))</f>
        <v>0</v>
      </c>
      <c r="AP16" s="156">
        <f>IF(ISBLANK($A16),,ROUNDDOWN(P16*AO6*1.024,))</f>
        <v>0</v>
      </c>
      <c r="AQ16" s="156">
        <f>IF(ISBLANK($A16),,ROUNDDOWN(R16*AO6*1.024,))</f>
        <v>0</v>
      </c>
      <c r="AR16" s="156">
        <f t="shared" si="2"/>
        <v>0</v>
      </c>
      <c r="AS16" s="156">
        <f>IF(ISBLANK($A16),,ROUNDDOWN(V16*AO6*1.024,))</f>
        <v>0</v>
      </c>
      <c r="AT16" s="156">
        <f>IF(ISBLANK($A16),,ROUNDDOWN(X16*AO6*1.024,))</f>
        <v>0</v>
      </c>
    </row>
    <row r="17" spans="1:46">
      <c r="A17" s="156" t="s">
        <v>353</v>
      </c>
      <c r="B17" s="156"/>
      <c r="C17" s="156" t="s">
        <v>333</v>
      </c>
      <c r="D17" s="156" t="s">
        <v>453</v>
      </c>
      <c r="E17" s="156" t="s">
        <v>47</v>
      </c>
      <c r="F17" s="152">
        <v>4</v>
      </c>
      <c r="G17" s="152">
        <v>4</v>
      </c>
      <c r="H17" s="152">
        <v>0</v>
      </c>
      <c r="I17" s="152">
        <v>31</v>
      </c>
      <c r="J17" s="154">
        <f t="shared" si="3"/>
        <v>4</v>
      </c>
      <c r="K17" s="152" t="s">
        <v>343</v>
      </c>
      <c r="L17" s="152"/>
      <c r="M17" s="152"/>
      <c r="N17" s="152"/>
      <c r="O17" s="152"/>
      <c r="P17" s="152"/>
      <c r="Q17" s="152"/>
      <c r="R17" s="152"/>
      <c r="S17" s="152"/>
      <c r="T17" s="152"/>
      <c r="U17" s="152"/>
      <c r="V17" s="152"/>
      <c r="W17" s="152"/>
      <c r="X17" s="152"/>
      <c r="Y17" s="152"/>
      <c r="Z17" s="152"/>
      <c r="AA17" s="152"/>
      <c r="AB17" s="152"/>
      <c r="AC17" s="152"/>
      <c r="AD17" s="152"/>
      <c r="AE17" s="152"/>
      <c r="AF17" s="152" t="s">
        <v>346</v>
      </c>
      <c r="AG17" s="152" t="s">
        <v>347</v>
      </c>
      <c r="AH17" s="152" t="s">
        <v>329</v>
      </c>
      <c r="AI17" s="156"/>
      <c r="AJ17" s="156"/>
      <c r="AK17" s="156">
        <f t="shared" si="0"/>
        <v>4.0960000000000001</v>
      </c>
      <c r="AL17" s="156">
        <f t="shared" si="1"/>
        <v>0</v>
      </c>
      <c r="AM17" s="156">
        <f>IF(ISBLANK($A17),,ROUNDDOWN(I17*AO6*1.024,))</f>
        <v>28</v>
      </c>
      <c r="AN17" s="156">
        <f>IF(ISBLANK($A17),,ROUNDDOWN(L17*AO6*1.024,))</f>
        <v>0</v>
      </c>
      <c r="AO17" s="156">
        <f>IF(ISBLANK($A17),,ROUNDDOWN(N17*AO6*1.024,))</f>
        <v>0</v>
      </c>
      <c r="AP17" s="156">
        <f>IF(ISBLANK($A17),,ROUNDDOWN(P17*AO6*1.024,))</f>
        <v>0</v>
      </c>
      <c r="AQ17" s="156">
        <f>IF(ISBLANK($A17),,ROUNDDOWN(R17*AO6*1.024,))</f>
        <v>0</v>
      </c>
      <c r="AR17" s="156">
        <f t="shared" si="2"/>
        <v>0</v>
      </c>
      <c r="AS17" s="156">
        <f>IF(ISBLANK($A17),,ROUNDDOWN(V17*AO6*1.024,))</f>
        <v>0</v>
      </c>
      <c r="AT17" s="156">
        <f>IF(ISBLANK($A17),,ROUNDDOWN(X17*AO6*1.024,))</f>
        <v>0</v>
      </c>
    </row>
    <row r="18" spans="1:46">
      <c r="A18" s="156" t="s">
        <v>354</v>
      </c>
      <c r="B18" s="156"/>
      <c r="C18" s="156" t="s">
        <v>333</v>
      </c>
      <c r="D18" s="156" t="s">
        <v>453</v>
      </c>
      <c r="E18" s="156" t="s">
        <v>355</v>
      </c>
      <c r="F18" s="152">
        <v>8</v>
      </c>
      <c r="G18" s="152">
        <v>10</v>
      </c>
      <c r="H18" s="152">
        <v>0</v>
      </c>
      <c r="I18" s="152">
        <v>101</v>
      </c>
      <c r="J18" s="154">
        <f t="shared" si="3"/>
        <v>10</v>
      </c>
      <c r="K18" s="152" t="s">
        <v>335</v>
      </c>
      <c r="L18" s="152"/>
      <c r="M18" s="152"/>
      <c r="N18" s="152"/>
      <c r="O18" s="152"/>
      <c r="P18" s="152"/>
      <c r="Q18" s="152"/>
      <c r="R18" s="152"/>
      <c r="S18" s="152"/>
      <c r="T18" s="152"/>
      <c r="U18" s="152"/>
      <c r="V18" s="152"/>
      <c r="W18" s="152"/>
      <c r="X18" s="152"/>
      <c r="Y18" s="152"/>
      <c r="Z18" s="152"/>
      <c r="AA18" s="152"/>
      <c r="AB18" s="152">
        <v>50</v>
      </c>
      <c r="AC18" s="152" t="s">
        <v>343</v>
      </c>
      <c r="AD18" s="152"/>
      <c r="AE18" s="152"/>
      <c r="AF18" s="152" t="s">
        <v>328</v>
      </c>
      <c r="AG18" s="152" t="s">
        <v>329</v>
      </c>
      <c r="AH18" s="152"/>
      <c r="AI18" s="156"/>
      <c r="AJ18" s="156"/>
      <c r="AK18" s="156">
        <f t="shared" si="0"/>
        <v>10.24</v>
      </c>
      <c r="AL18" s="156">
        <f t="shared" si="1"/>
        <v>0</v>
      </c>
      <c r="AM18" s="156">
        <f>IF(ISBLANK($A18),,ROUNDDOWN(I18*AO6*1.024,))</f>
        <v>93</v>
      </c>
      <c r="AN18" s="156">
        <f>IF(ISBLANK($A18),,ROUNDDOWN(L18*AO6*1.024,))</f>
        <v>0</v>
      </c>
      <c r="AO18" s="156">
        <f>IF(ISBLANK($A18),,ROUNDDOWN(N18*AO6*1.024,))</f>
        <v>0</v>
      </c>
      <c r="AP18" s="156">
        <f>IF(ISBLANK($A18),,ROUNDDOWN(P18*AO6*1.024,))</f>
        <v>0</v>
      </c>
      <c r="AQ18" s="156">
        <f>IF(ISBLANK($A18),,ROUNDDOWN(R18*AO6*1.024,))</f>
        <v>0</v>
      </c>
      <c r="AR18" s="156">
        <f t="shared" si="2"/>
        <v>0</v>
      </c>
      <c r="AS18" s="156">
        <f>IF(ISBLANK($A18),,ROUNDDOWN(V18*AO6*1.024,))</f>
        <v>0</v>
      </c>
      <c r="AT18" s="156">
        <f>IF(ISBLANK($A18),,ROUNDDOWN(X18*AO6*1.024,))</f>
        <v>0</v>
      </c>
    </row>
    <row r="19" spans="1:46">
      <c r="A19" s="156" t="s">
        <v>356</v>
      </c>
      <c r="B19" s="156"/>
      <c r="C19" s="156" t="s">
        <v>333</v>
      </c>
      <c r="D19" s="156" t="s">
        <v>453</v>
      </c>
      <c r="E19" s="156" t="s">
        <v>55</v>
      </c>
      <c r="F19" s="152">
        <v>6</v>
      </c>
      <c r="G19" s="152">
        <v>6</v>
      </c>
      <c r="H19" s="152">
        <v>0</v>
      </c>
      <c r="I19" s="152">
        <v>169</v>
      </c>
      <c r="J19" s="154">
        <f t="shared" si="3"/>
        <v>6</v>
      </c>
      <c r="K19" s="152" t="s">
        <v>337</v>
      </c>
      <c r="L19" s="152"/>
      <c r="M19" s="152"/>
      <c r="N19" s="152"/>
      <c r="O19" s="152"/>
      <c r="P19" s="152"/>
      <c r="Q19" s="152"/>
      <c r="R19" s="152"/>
      <c r="S19" s="152"/>
      <c r="T19" s="152"/>
      <c r="U19" s="152"/>
      <c r="V19" s="152"/>
      <c r="W19" s="152"/>
      <c r="X19" s="152"/>
      <c r="Y19" s="152"/>
      <c r="Z19" s="152"/>
      <c r="AA19" s="152"/>
      <c r="AB19" s="152"/>
      <c r="AC19" s="152"/>
      <c r="AD19" s="152"/>
      <c r="AE19" s="152"/>
      <c r="AF19" s="152" t="s">
        <v>346</v>
      </c>
      <c r="AG19" s="152" t="s">
        <v>347</v>
      </c>
      <c r="AH19" s="152"/>
      <c r="AI19" s="156"/>
      <c r="AJ19" s="156"/>
      <c r="AK19" s="156">
        <f t="shared" si="0"/>
        <v>6.1440000000000001</v>
      </c>
      <c r="AL19" s="156">
        <f t="shared" si="1"/>
        <v>0</v>
      </c>
      <c r="AM19" s="156">
        <f>IF(ISBLANK($A19),,ROUNDDOWN(I19*AO6*1.024,))</f>
        <v>155</v>
      </c>
      <c r="AN19" s="156">
        <f>IF(ISBLANK($A19),,ROUNDDOWN(L19*AO6*1.024,))</f>
        <v>0</v>
      </c>
      <c r="AO19" s="156">
        <f>IF(ISBLANK($A19),,ROUNDDOWN(N19*AO6*1.024,))</f>
        <v>0</v>
      </c>
      <c r="AP19" s="156">
        <f>IF(ISBLANK($A19),,ROUNDDOWN(P19*AO6*1.024,))</f>
        <v>0</v>
      </c>
      <c r="AQ19" s="156">
        <f>IF(ISBLANK($A19),,ROUNDDOWN(R19*AO6*1.024,))</f>
        <v>0</v>
      </c>
      <c r="AR19" s="156">
        <f t="shared" si="2"/>
        <v>0</v>
      </c>
      <c r="AS19" s="156">
        <f>IF(ISBLANK($A19),,ROUNDDOWN(V19*AO6*1.024,))</f>
        <v>0</v>
      </c>
      <c r="AT19" s="156">
        <f>IF(ISBLANK($A19),,ROUNDDOWN(X19*AO6*1.024,))</f>
        <v>0</v>
      </c>
    </row>
    <row r="20" spans="1:46">
      <c r="A20" s="156" t="s">
        <v>357</v>
      </c>
      <c r="B20" s="156"/>
      <c r="C20" s="156" t="s">
        <v>333</v>
      </c>
      <c r="D20" s="156" t="s">
        <v>453</v>
      </c>
      <c r="E20" s="156" t="s">
        <v>59</v>
      </c>
      <c r="F20" s="152">
        <v>6</v>
      </c>
      <c r="G20" s="152">
        <v>8</v>
      </c>
      <c r="H20" s="152">
        <v>0</v>
      </c>
      <c r="I20" s="152">
        <v>61</v>
      </c>
      <c r="J20" s="154">
        <f t="shared" si="3"/>
        <v>8</v>
      </c>
      <c r="K20" s="152" t="s">
        <v>343</v>
      </c>
      <c r="L20" s="152"/>
      <c r="M20" s="152"/>
      <c r="N20" s="152"/>
      <c r="O20" s="152"/>
      <c r="P20" s="152"/>
      <c r="Q20" s="152"/>
      <c r="R20" s="152"/>
      <c r="S20" s="152"/>
      <c r="T20" s="152"/>
      <c r="U20" s="152"/>
      <c r="V20" s="152"/>
      <c r="W20" s="152"/>
      <c r="X20" s="152"/>
      <c r="Y20" s="152"/>
      <c r="Z20" s="152"/>
      <c r="AA20" s="152"/>
      <c r="AB20" s="152"/>
      <c r="AC20" s="152"/>
      <c r="AD20" s="152"/>
      <c r="AE20" s="152"/>
      <c r="AF20" s="152" t="s">
        <v>328</v>
      </c>
      <c r="AG20" s="152" t="s">
        <v>329</v>
      </c>
      <c r="AH20" s="152"/>
      <c r="AI20" s="156"/>
      <c r="AJ20" s="156"/>
      <c r="AK20" s="156">
        <f t="shared" si="0"/>
        <v>8.1920000000000002</v>
      </c>
      <c r="AL20" s="156">
        <f t="shared" si="1"/>
        <v>0</v>
      </c>
      <c r="AM20" s="156">
        <f>IF(ISBLANK($A20),,ROUNDDOWN(I20*AO6*1.024,))</f>
        <v>56</v>
      </c>
      <c r="AN20" s="156">
        <f>IF(ISBLANK($A20),,ROUNDDOWN(L20*AO6*1.024,))</f>
        <v>0</v>
      </c>
      <c r="AO20" s="156">
        <f>IF(ISBLANK($A20),,ROUNDDOWN(N20*AO6*1.024,))</f>
        <v>0</v>
      </c>
      <c r="AP20" s="156">
        <f>IF(ISBLANK($A20),,ROUNDDOWN(P20*AO6*1.024,))</f>
        <v>0</v>
      </c>
      <c r="AQ20" s="156">
        <f>IF(ISBLANK($A20),,ROUNDDOWN(R20*AO6*1.024,))</f>
        <v>0</v>
      </c>
      <c r="AR20" s="156">
        <f t="shared" si="2"/>
        <v>0</v>
      </c>
      <c r="AS20" s="156">
        <f>IF(ISBLANK($A20),,ROUNDDOWN(V20*AO6*1.024,))</f>
        <v>0</v>
      </c>
      <c r="AT20" s="156">
        <f>IF(ISBLANK($A20),,ROUNDDOWN(X20*AO6*1.024,))</f>
        <v>0</v>
      </c>
    </row>
    <row r="21" spans="1:46">
      <c r="A21" s="156" t="s">
        <v>358</v>
      </c>
      <c r="B21" s="156"/>
      <c r="C21" s="156" t="s">
        <v>333</v>
      </c>
      <c r="D21" s="156" t="s">
        <v>453</v>
      </c>
      <c r="E21" s="156" t="s">
        <v>59</v>
      </c>
      <c r="F21" s="152">
        <v>6</v>
      </c>
      <c r="G21" s="152">
        <v>8</v>
      </c>
      <c r="H21" s="152">
        <v>0</v>
      </c>
      <c r="I21" s="152">
        <v>61</v>
      </c>
      <c r="J21" s="154">
        <f t="shared" si="3"/>
        <v>8</v>
      </c>
      <c r="K21" s="152" t="s">
        <v>335</v>
      </c>
      <c r="L21" s="152"/>
      <c r="M21" s="152"/>
      <c r="N21" s="152"/>
      <c r="O21" s="152"/>
      <c r="P21" s="152"/>
      <c r="Q21" s="152"/>
      <c r="R21" s="152"/>
      <c r="S21" s="152"/>
      <c r="T21" s="152"/>
      <c r="U21" s="152"/>
      <c r="V21" s="152"/>
      <c r="W21" s="152"/>
      <c r="X21" s="152"/>
      <c r="Y21" s="152"/>
      <c r="Z21" s="152"/>
      <c r="AA21" s="152"/>
      <c r="AB21" s="152"/>
      <c r="AC21" s="152"/>
      <c r="AD21" s="152"/>
      <c r="AE21" s="152"/>
      <c r="AF21" s="152" t="s">
        <v>328</v>
      </c>
      <c r="AG21" s="152" t="s">
        <v>329</v>
      </c>
      <c r="AH21" s="152"/>
      <c r="AI21" s="156"/>
      <c r="AJ21" s="156"/>
      <c r="AK21" s="156">
        <f t="shared" si="0"/>
        <v>8.1920000000000002</v>
      </c>
      <c r="AL21" s="156">
        <f t="shared" si="1"/>
        <v>0</v>
      </c>
      <c r="AM21" s="156">
        <f>IF(ISBLANK($A21),,ROUNDDOWN(I21*AO6*1.024,))</f>
        <v>56</v>
      </c>
      <c r="AN21" s="156">
        <f>IF(ISBLANK($A21),,ROUNDDOWN(L21*AO6*1.024,))</f>
        <v>0</v>
      </c>
      <c r="AO21" s="156">
        <f>IF(ISBLANK($A21),,ROUNDDOWN(N21*AO6*1.024,))</f>
        <v>0</v>
      </c>
      <c r="AP21" s="156">
        <f>IF(ISBLANK($A21),,ROUNDDOWN(P21*AO6*1.024,))</f>
        <v>0</v>
      </c>
      <c r="AQ21" s="156">
        <f>IF(ISBLANK($A21),,ROUNDDOWN(R21*AO6*1.024,))</f>
        <v>0</v>
      </c>
      <c r="AR21" s="156">
        <f t="shared" si="2"/>
        <v>0</v>
      </c>
      <c r="AS21" s="156">
        <f>IF(ISBLANK($A21),,ROUNDDOWN(V21*AO6*1.024,))</f>
        <v>0</v>
      </c>
      <c r="AT21" s="156">
        <f>IF(ISBLANK($A21),,ROUNDDOWN(X21*AO6*1.024,))</f>
        <v>0</v>
      </c>
    </row>
    <row r="22" spans="1:46">
      <c r="A22" s="156" t="s">
        <v>359</v>
      </c>
      <c r="B22" s="156"/>
      <c r="C22" s="156" t="s">
        <v>333</v>
      </c>
      <c r="D22" s="156" t="s">
        <v>453</v>
      </c>
      <c r="E22" s="156" t="s">
        <v>63</v>
      </c>
      <c r="F22" s="152">
        <v>6</v>
      </c>
      <c r="G22" s="152">
        <v>18</v>
      </c>
      <c r="H22" s="152">
        <v>0</v>
      </c>
      <c r="I22" s="152">
        <v>141</v>
      </c>
      <c r="J22" s="154">
        <f t="shared" si="3"/>
        <v>18</v>
      </c>
      <c r="K22" s="152" t="s">
        <v>337</v>
      </c>
      <c r="L22" s="152"/>
      <c r="M22" s="152"/>
      <c r="N22" s="152"/>
      <c r="O22" s="152"/>
      <c r="P22" s="152"/>
      <c r="Q22" s="152"/>
      <c r="R22" s="152"/>
      <c r="S22" s="152"/>
      <c r="T22" s="152"/>
      <c r="U22" s="152"/>
      <c r="V22" s="152"/>
      <c r="W22" s="152"/>
      <c r="X22" s="152"/>
      <c r="Y22" s="152"/>
      <c r="Z22" s="152"/>
      <c r="AA22" s="152"/>
      <c r="AB22" s="152"/>
      <c r="AC22" s="152"/>
      <c r="AD22" s="152">
        <v>100</v>
      </c>
      <c r="AE22" s="152" t="s">
        <v>335</v>
      </c>
      <c r="AF22" s="152" t="s">
        <v>328</v>
      </c>
      <c r="AG22" s="152" t="s">
        <v>329</v>
      </c>
      <c r="AH22" s="152"/>
      <c r="AI22" s="156"/>
      <c r="AJ22" s="156"/>
      <c r="AK22" s="156">
        <f t="shared" si="0"/>
        <v>18.432000000000002</v>
      </c>
      <c r="AL22" s="156">
        <f t="shared" si="1"/>
        <v>0</v>
      </c>
      <c r="AM22" s="156">
        <f>IF(ISBLANK($A22),,ROUNDDOWN(I22*AO6*1.024,))</f>
        <v>129</v>
      </c>
      <c r="AN22" s="156">
        <f>IF(ISBLANK($A22),,ROUNDDOWN(L22*AO6*1.024,))</f>
        <v>0</v>
      </c>
      <c r="AO22" s="156">
        <f>IF(ISBLANK($A22),,ROUNDDOWN(N22*AO6*1.024,))</f>
        <v>0</v>
      </c>
      <c r="AP22" s="156">
        <f>IF(ISBLANK($A22),,ROUNDDOWN(P22*AO6*1.024,))</f>
        <v>0</v>
      </c>
      <c r="AQ22" s="156">
        <f>IF(ISBLANK($A22),,ROUNDDOWN(R22*AO6*1.024,))</f>
        <v>0</v>
      </c>
      <c r="AR22" s="156">
        <f t="shared" si="2"/>
        <v>0</v>
      </c>
      <c r="AS22" s="156">
        <f>IF(ISBLANK($A22),,ROUNDDOWN(V22*AO6*1.024,))</f>
        <v>0</v>
      </c>
      <c r="AT22" s="156">
        <f>IF(ISBLANK($A22),,ROUNDDOWN(X22*AO6*1.024,))</f>
        <v>0</v>
      </c>
    </row>
    <row r="23" spans="1:46">
      <c r="A23" s="156" t="s">
        <v>360</v>
      </c>
      <c r="B23" s="156"/>
      <c r="C23" s="156" t="s">
        <v>333</v>
      </c>
      <c r="D23" s="156" t="s">
        <v>453</v>
      </c>
      <c r="E23" s="156" t="s">
        <v>67</v>
      </c>
      <c r="F23" s="152">
        <v>6</v>
      </c>
      <c r="G23" s="152">
        <v>18</v>
      </c>
      <c r="H23" s="152">
        <v>0</v>
      </c>
      <c r="I23" s="152">
        <v>141</v>
      </c>
      <c r="J23" s="154">
        <f t="shared" si="3"/>
        <v>18</v>
      </c>
      <c r="K23" s="152" t="s">
        <v>343</v>
      </c>
      <c r="L23" s="152"/>
      <c r="M23" s="152"/>
      <c r="N23" s="152"/>
      <c r="O23" s="152"/>
      <c r="P23" s="152"/>
      <c r="Q23" s="152"/>
      <c r="R23" s="152"/>
      <c r="S23" s="152"/>
      <c r="T23" s="152"/>
      <c r="U23" s="152"/>
      <c r="V23" s="152"/>
      <c r="W23" s="152"/>
      <c r="X23" s="152"/>
      <c r="Y23" s="152"/>
      <c r="Z23" s="152"/>
      <c r="AA23" s="152"/>
      <c r="AB23" s="152"/>
      <c r="AC23" s="152"/>
      <c r="AD23" s="152">
        <v>100</v>
      </c>
      <c r="AE23" s="152" t="s">
        <v>343</v>
      </c>
      <c r="AF23" s="152" t="s">
        <v>328</v>
      </c>
      <c r="AG23" s="152" t="s">
        <v>329</v>
      </c>
      <c r="AH23" s="152"/>
      <c r="AI23" s="156"/>
      <c r="AJ23" s="156"/>
      <c r="AK23" s="156">
        <f t="shared" si="0"/>
        <v>18.432000000000002</v>
      </c>
      <c r="AL23" s="156">
        <f t="shared" si="1"/>
        <v>0</v>
      </c>
      <c r="AM23" s="156">
        <f>IF(ISBLANK($A23),,ROUNDDOWN(I23*AO6*1.024,))</f>
        <v>129</v>
      </c>
      <c r="AN23" s="156">
        <f>IF(ISBLANK($A23),,ROUNDDOWN(L23*AO6*1.024,))</f>
        <v>0</v>
      </c>
      <c r="AO23" s="156">
        <f>IF(ISBLANK($A23),,ROUNDDOWN(N23*AO6*1.024,))</f>
        <v>0</v>
      </c>
      <c r="AP23" s="156">
        <f>IF(ISBLANK($A23),,ROUNDDOWN(P23*AO6*1.024,))</f>
        <v>0</v>
      </c>
      <c r="AQ23" s="156">
        <f>IF(ISBLANK($A23),,ROUNDDOWN(R23*AO6*1.024,))</f>
        <v>0</v>
      </c>
      <c r="AR23" s="156">
        <f t="shared" si="2"/>
        <v>0</v>
      </c>
      <c r="AS23" s="156">
        <f>IF(ISBLANK($A23),,ROUNDDOWN(V23*AO6*1.024,))</f>
        <v>0</v>
      </c>
      <c r="AT23" s="156">
        <f>IF(ISBLANK($A23),,ROUNDDOWN(X23*AO6*1.024,))</f>
        <v>0</v>
      </c>
    </row>
    <row r="24" spans="1:46">
      <c r="A24" s="156" t="s">
        <v>361</v>
      </c>
      <c r="B24" s="156"/>
      <c r="C24" s="156" t="s">
        <v>333</v>
      </c>
      <c r="D24" s="156" t="s">
        <v>453</v>
      </c>
      <c r="E24" s="156" t="s">
        <v>71</v>
      </c>
      <c r="F24" s="152">
        <v>5</v>
      </c>
      <c r="G24" s="152">
        <v>7</v>
      </c>
      <c r="H24" s="152">
        <v>0</v>
      </c>
      <c r="I24" s="152">
        <v>41</v>
      </c>
      <c r="J24" s="154">
        <f t="shared" si="3"/>
        <v>7</v>
      </c>
      <c r="K24" s="152" t="s">
        <v>335</v>
      </c>
      <c r="L24" s="152"/>
      <c r="M24" s="152"/>
      <c r="N24" s="152"/>
      <c r="O24" s="152"/>
      <c r="P24" s="152"/>
      <c r="Q24" s="152"/>
      <c r="R24" s="152"/>
      <c r="S24" s="152"/>
      <c r="T24" s="152"/>
      <c r="U24" s="152"/>
      <c r="V24" s="152"/>
      <c r="W24" s="152"/>
      <c r="X24" s="152"/>
      <c r="Y24" s="152"/>
      <c r="Z24" s="152"/>
      <c r="AA24" s="152"/>
      <c r="AB24" s="152"/>
      <c r="AC24" s="152"/>
      <c r="AD24" s="152"/>
      <c r="AE24" s="152"/>
      <c r="AF24" s="152" t="s">
        <v>328</v>
      </c>
      <c r="AG24" s="152" t="s">
        <v>329</v>
      </c>
      <c r="AH24" s="152"/>
      <c r="AI24" s="156"/>
      <c r="AJ24" s="156"/>
      <c r="AK24" s="156">
        <f t="shared" si="0"/>
        <v>7.1680000000000001</v>
      </c>
      <c r="AL24" s="156">
        <f t="shared" si="1"/>
        <v>0</v>
      </c>
      <c r="AM24" s="156">
        <f>IF(ISBLANK($A24),,ROUNDDOWN(I24*AO6*1.024,))</f>
        <v>37</v>
      </c>
      <c r="AN24" s="156">
        <f>IF(ISBLANK($A24),,ROUNDDOWN(L24*AO6*1.024,))</f>
        <v>0</v>
      </c>
      <c r="AO24" s="156">
        <f>IF(ISBLANK($A24),,ROUNDDOWN(N24*AO6*1.024,))</f>
        <v>0</v>
      </c>
      <c r="AP24" s="156">
        <f>IF(ISBLANK($A24),,ROUNDDOWN(P24*AO6*1.024,))</f>
        <v>0</v>
      </c>
      <c r="AQ24" s="156">
        <f>IF(ISBLANK($A24),,ROUNDDOWN(R24*AO6*1.024,))</f>
        <v>0</v>
      </c>
      <c r="AR24" s="156">
        <f t="shared" si="2"/>
        <v>0</v>
      </c>
      <c r="AS24" s="156">
        <f>IF(ISBLANK($A24),,ROUNDDOWN(V24*AO6*1.024,))</f>
        <v>0</v>
      </c>
      <c r="AT24" s="156">
        <f>IF(ISBLANK($A24),,ROUNDDOWN(X24*AO6*1.024,))</f>
        <v>0</v>
      </c>
    </row>
    <row r="25" spans="1:46">
      <c r="A25" s="156" t="s">
        <v>363</v>
      </c>
      <c r="B25" s="156"/>
      <c r="C25" s="156" t="s">
        <v>333</v>
      </c>
      <c r="D25" s="156" t="s">
        <v>453</v>
      </c>
      <c r="E25" s="156" t="s">
        <v>71</v>
      </c>
      <c r="F25" s="152">
        <v>5</v>
      </c>
      <c r="G25" s="152">
        <v>7</v>
      </c>
      <c r="H25" s="152">
        <v>0</v>
      </c>
      <c r="I25" s="152">
        <v>41</v>
      </c>
      <c r="J25" s="154">
        <f t="shared" si="3"/>
        <v>7</v>
      </c>
      <c r="K25" s="152" t="s">
        <v>337</v>
      </c>
      <c r="L25" s="152"/>
      <c r="M25" s="152"/>
      <c r="N25" s="152"/>
      <c r="O25" s="152"/>
      <c r="P25" s="152"/>
      <c r="Q25" s="152"/>
      <c r="R25" s="152"/>
      <c r="S25" s="152"/>
      <c r="T25" s="152"/>
      <c r="U25" s="152"/>
      <c r="V25" s="152"/>
      <c r="W25" s="152"/>
      <c r="X25" s="152"/>
      <c r="Y25" s="152"/>
      <c r="Z25" s="152"/>
      <c r="AA25" s="152"/>
      <c r="AB25" s="152"/>
      <c r="AC25" s="152"/>
      <c r="AD25" s="152"/>
      <c r="AE25" s="152"/>
      <c r="AF25" s="152" t="s">
        <v>328</v>
      </c>
      <c r="AG25" s="152" t="s">
        <v>329</v>
      </c>
      <c r="AH25" s="152"/>
      <c r="AI25" s="156"/>
      <c r="AJ25" s="156"/>
      <c r="AK25" s="156">
        <f t="shared" si="0"/>
        <v>7.1680000000000001</v>
      </c>
      <c r="AL25" s="156">
        <f t="shared" si="1"/>
        <v>0</v>
      </c>
      <c r="AM25" s="156">
        <f>IF(ISBLANK($A25),,ROUNDDOWN(I25*AO6*1.024,))</f>
        <v>37</v>
      </c>
      <c r="AN25" s="156">
        <f>IF(ISBLANK($A25),,ROUNDDOWN(L25*AO6*1.024,))</f>
        <v>0</v>
      </c>
      <c r="AO25" s="156">
        <f>IF(ISBLANK($A25),,ROUNDDOWN(N25*AO6*1.024,))</f>
        <v>0</v>
      </c>
      <c r="AP25" s="156">
        <f>IF(ISBLANK($A25),,ROUNDDOWN(P25*AO6*1.024,))</f>
        <v>0</v>
      </c>
      <c r="AQ25" s="156">
        <f>IF(ISBLANK($A25),,ROUNDDOWN(R25*AO6*1.024,))</f>
        <v>0</v>
      </c>
      <c r="AR25" s="156">
        <f t="shared" si="2"/>
        <v>0</v>
      </c>
      <c r="AS25" s="156">
        <f>IF(ISBLANK($A25),,ROUNDDOWN(V25*AO6*1.024,))</f>
        <v>0</v>
      </c>
      <c r="AT25" s="156">
        <f>IF(ISBLANK($A25),,ROUNDDOWN(X25*AO6*1.024,))</f>
        <v>0</v>
      </c>
    </row>
    <row r="26" spans="1:46">
      <c r="A26" s="156" t="s">
        <v>484</v>
      </c>
      <c r="B26" s="156"/>
      <c r="C26" s="156" t="s">
        <v>333</v>
      </c>
      <c r="D26" s="156" t="s">
        <v>453</v>
      </c>
      <c r="E26" s="156" t="s">
        <v>73</v>
      </c>
      <c r="F26" s="152">
        <v>8</v>
      </c>
      <c r="G26" s="152">
        <v>34</v>
      </c>
      <c r="H26" s="152">
        <v>34</v>
      </c>
      <c r="I26" s="152">
        <v>136</v>
      </c>
      <c r="J26" s="154">
        <f t="shared" si="3"/>
        <v>0</v>
      </c>
      <c r="K26" s="152" t="s">
        <v>343</v>
      </c>
      <c r="L26" s="152"/>
      <c r="M26" s="152"/>
      <c r="N26" s="152"/>
      <c r="O26" s="152"/>
      <c r="P26" s="152"/>
      <c r="Q26" s="152"/>
      <c r="R26" s="152"/>
      <c r="S26" s="152"/>
      <c r="T26" s="152"/>
      <c r="U26" s="152"/>
      <c r="V26" s="152"/>
      <c r="W26" s="152"/>
      <c r="X26" s="152"/>
      <c r="Y26" s="152"/>
      <c r="Z26" s="152"/>
      <c r="AA26" s="152"/>
      <c r="AB26" s="152"/>
      <c r="AC26" s="152"/>
      <c r="AD26" s="152"/>
      <c r="AE26" s="152"/>
      <c r="AF26" s="152" t="s">
        <v>346</v>
      </c>
      <c r="AG26" s="152" t="s">
        <v>347</v>
      </c>
      <c r="AH26" s="152"/>
      <c r="AI26" s="156"/>
      <c r="AJ26" s="156"/>
      <c r="AK26" s="156">
        <f t="shared" si="0"/>
        <v>34.816000000000003</v>
      </c>
      <c r="AL26" s="156">
        <f t="shared" si="1"/>
        <v>34.816000000000003</v>
      </c>
      <c r="AM26" s="156">
        <f>IF(ISBLANK($A26),,ROUNDDOWN(I26*AO6*1.024,))</f>
        <v>125</v>
      </c>
      <c r="AN26" s="156">
        <f>IF(ISBLANK($A26),,ROUNDDOWN(L26*AO6*1.024,))</f>
        <v>0</v>
      </c>
      <c r="AO26" s="156">
        <f>IF(ISBLANK($A26),,ROUNDDOWN(N26*AO6*1.024,))</f>
        <v>0</v>
      </c>
      <c r="AP26" s="156">
        <f>IF(ISBLANK($A26),,ROUNDDOWN(P26*AO6*1.024,))</f>
        <v>0</v>
      </c>
      <c r="AQ26" s="156">
        <f>IF(ISBLANK($A26),,ROUNDDOWN(R26*AO6*1.024,))</f>
        <v>0</v>
      </c>
      <c r="AR26" s="156">
        <f t="shared" si="2"/>
        <v>0</v>
      </c>
      <c r="AS26" s="156">
        <f>IF(ISBLANK($A26),,ROUNDDOWN(V26*AO6*1.024,))</f>
        <v>0</v>
      </c>
      <c r="AT26" s="156">
        <f>IF(ISBLANK($A26),,ROUNDDOWN(X26*AO6*1.024,))</f>
        <v>0</v>
      </c>
    </row>
    <row r="27" spans="1:46">
      <c r="A27" s="156" t="s">
        <v>485</v>
      </c>
      <c r="B27" s="156"/>
      <c r="C27" s="156" t="s">
        <v>333</v>
      </c>
      <c r="D27" s="156" t="s">
        <v>453</v>
      </c>
      <c r="E27" s="156" t="s">
        <v>73</v>
      </c>
      <c r="F27" s="152">
        <v>8</v>
      </c>
      <c r="G27" s="152">
        <v>34</v>
      </c>
      <c r="H27" s="152">
        <v>34</v>
      </c>
      <c r="I27" s="176">
        <v>136</v>
      </c>
      <c r="J27" s="154">
        <f t="shared" si="3"/>
        <v>0</v>
      </c>
      <c r="K27" s="152" t="s">
        <v>335</v>
      </c>
      <c r="L27" s="152"/>
      <c r="M27" s="152"/>
      <c r="N27" s="152"/>
      <c r="O27" s="152"/>
      <c r="P27" s="152"/>
      <c r="Q27" s="152"/>
      <c r="R27" s="152"/>
      <c r="S27" s="152"/>
      <c r="T27" s="152"/>
      <c r="U27" s="152"/>
      <c r="V27" s="152"/>
      <c r="W27" s="152"/>
      <c r="X27" s="152"/>
      <c r="Y27" s="152"/>
      <c r="Z27" s="152"/>
      <c r="AA27" s="152"/>
      <c r="AB27" s="152"/>
      <c r="AC27" s="152"/>
      <c r="AD27" s="152"/>
      <c r="AE27" s="152"/>
      <c r="AF27" s="152" t="s">
        <v>346</v>
      </c>
      <c r="AG27" s="152" t="s">
        <v>347</v>
      </c>
      <c r="AH27" s="152"/>
      <c r="AI27" s="156"/>
      <c r="AJ27" s="156"/>
      <c r="AK27" s="156">
        <f t="shared" si="0"/>
        <v>34.816000000000003</v>
      </c>
      <c r="AL27" s="156">
        <f t="shared" si="1"/>
        <v>34.816000000000003</v>
      </c>
      <c r="AM27" s="156">
        <f>IF(ISBLANK($A27),,ROUNDDOWN(I27*AO6*1.024,))</f>
        <v>125</v>
      </c>
      <c r="AN27" s="156">
        <f>IF(ISBLANK($A27),,ROUNDDOWN(L27*AO6*1.024,))</f>
        <v>0</v>
      </c>
      <c r="AO27" s="156">
        <f>IF(ISBLANK($A27),,ROUNDDOWN(N27*AO6*1.024,))</f>
        <v>0</v>
      </c>
      <c r="AP27" s="156">
        <f>IF(ISBLANK($A27),,ROUNDDOWN(P27*AO6*1.024,))</f>
        <v>0</v>
      </c>
      <c r="AQ27" s="156">
        <f>IF(ISBLANK($A27),,ROUNDDOWN(R27*AO6*1.024,))</f>
        <v>0</v>
      </c>
      <c r="AR27" s="156">
        <f t="shared" si="2"/>
        <v>0</v>
      </c>
      <c r="AS27" s="156">
        <f>IF(ISBLANK($A27),,ROUNDDOWN(V27*AO6*1.024,))</f>
        <v>0</v>
      </c>
      <c r="AT27" s="156">
        <f>IF(ISBLANK($A27),,ROUNDDOWN(X27*AO6*1.024,))</f>
        <v>0</v>
      </c>
    </row>
    <row r="28" spans="1:46">
      <c r="A28" s="156" t="s">
        <v>486</v>
      </c>
      <c r="B28" s="156"/>
      <c r="C28" s="156" t="s">
        <v>333</v>
      </c>
      <c r="D28" s="156" t="s">
        <v>453</v>
      </c>
      <c r="E28" s="156" t="s">
        <v>73</v>
      </c>
      <c r="F28" s="152">
        <v>8</v>
      </c>
      <c r="G28" s="152">
        <v>34</v>
      </c>
      <c r="H28" s="152">
        <v>34</v>
      </c>
      <c r="I28" s="176">
        <v>136</v>
      </c>
      <c r="J28" s="154">
        <f t="shared" si="3"/>
        <v>0</v>
      </c>
      <c r="K28" s="152" t="s">
        <v>337</v>
      </c>
      <c r="L28" s="152"/>
      <c r="M28" s="152"/>
      <c r="N28" s="152"/>
      <c r="O28" s="152"/>
      <c r="P28" s="152"/>
      <c r="Q28" s="152"/>
      <c r="R28" s="152"/>
      <c r="S28" s="152"/>
      <c r="T28" s="152"/>
      <c r="U28" s="152"/>
      <c r="V28" s="152"/>
      <c r="W28" s="152"/>
      <c r="X28" s="152"/>
      <c r="Y28" s="152"/>
      <c r="Z28" s="152"/>
      <c r="AA28" s="152"/>
      <c r="AB28" s="152"/>
      <c r="AC28" s="152"/>
      <c r="AD28" s="152"/>
      <c r="AE28" s="152"/>
      <c r="AF28" s="152" t="s">
        <v>346</v>
      </c>
      <c r="AG28" s="152" t="s">
        <v>347</v>
      </c>
      <c r="AH28" s="152"/>
      <c r="AI28" s="156"/>
      <c r="AJ28" s="156"/>
      <c r="AK28" s="156">
        <f t="shared" si="0"/>
        <v>34.816000000000003</v>
      </c>
      <c r="AL28" s="156">
        <f t="shared" si="1"/>
        <v>34.816000000000003</v>
      </c>
      <c r="AM28" s="156">
        <f>IF(ISBLANK($A28),,ROUNDDOWN(I28*AO6*1.024,))</f>
        <v>125</v>
      </c>
      <c r="AN28" s="156">
        <f>IF(ISBLANK($A28),,ROUNDDOWN(L28*AO6*1.024,))</f>
        <v>0</v>
      </c>
      <c r="AO28" s="156">
        <f>IF(ISBLANK($A28),,ROUNDDOWN(N28*AO6*1.024,))</f>
        <v>0</v>
      </c>
      <c r="AP28" s="156">
        <f>IF(ISBLANK($A28),,ROUNDDOWN(P28*AO6*1.024,))</f>
        <v>0</v>
      </c>
      <c r="AQ28" s="156">
        <f>IF(ISBLANK($A28),,ROUNDDOWN(R28*AO6*1.024,))</f>
        <v>0</v>
      </c>
      <c r="AR28" s="156">
        <f t="shared" si="2"/>
        <v>0</v>
      </c>
      <c r="AS28" s="156">
        <f>IF(ISBLANK($A28),,ROUNDDOWN(V28*AO6*1.024,))</f>
        <v>0</v>
      </c>
      <c r="AT28" s="156">
        <f>IF(ISBLANK($A28),,ROUNDDOWN(X28*AO6*1.024,))</f>
        <v>0</v>
      </c>
    </row>
    <row r="29" spans="1:46">
      <c r="A29" s="156" t="s">
        <v>487</v>
      </c>
      <c r="B29" s="156"/>
      <c r="C29" s="156" t="s">
        <v>333</v>
      </c>
      <c r="D29" s="156" t="s">
        <v>453</v>
      </c>
      <c r="E29" s="156" t="s">
        <v>73</v>
      </c>
      <c r="F29" s="152">
        <v>8</v>
      </c>
      <c r="G29" s="152">
        <v>34</v>
      </c>
      <c r="H29" s="152">
        <v>34</v>
      </c>
      <c r="I29" s="176">
        <v>136</v>
      </c>
      <c r="J29" s="154">
        <f t="shared" si="3"/>
        <v>0</v>
      </c>
      <c r="K29" s="152" t="s">
        <v>343</v>
      </c>
      <c r="L29" s="152"/>
      <c r="M29" s="152"/>
      <c r="N29" s="152"/>
      <c r="O29" s="152"/>
      <c r="P29" s="152"/>
      <c r="Q29" s="152"/>
      <c r="R29" s="152"/>
      <c r="S29" s="152"/>
      <c r="T29" s="152"/>
      <c r="U29" s="152"/>
      <c r="V29" s="152"/>
      <c r="W29" s="152"/>
      <c r="X29" s="152"/>
      <c r="Y29" s="152"/>
      <c r="Z29" s="152"/>
      <c r="AA29" s="152"/>
      <c r="AB29" s="152"/>
      <c r="AC29" s="152"/>
      <c r="AD29" s="152"/>
      <c r="AE29" s="152"/>
      <c r="AF29" s="152" t="s">
        <v>346</v>
      </c>
      <c r="AG29" s="152" t="s">
        <v>347</v>
      </c>
      <c r="AH29" s="152"/>
      <c r="AI29" s="156"/>
      <c r="AJ29" s="156"/>
      <c r="AK29" s="156">
        <f t="shared" si="0"/>
        <v>34.816000000000003</v>
      </c>
      <c r="AL29" s="156">
        <f t="shared" si="1"/>
        <v>34.816000000000003</v>
      </c>
      <c r="AM29" s="156">
        <f>IF(ISBLANK($A29),,ROUNDDOWN(I29*AO6*1.024,))</f>
        <v>125</v>
      </c>
      <c r="AN29" s="156">
        <f>IF(ISBLANK($A29),,ROUNDDOWN(L29*AO6*1.024,))</f>
        <v>0</v>
      </c>
      <c r="AO29" s="156">
        <f>IF(ISBLANK($A29),,ROUNDDOWN(N29*AO6*1.024,))</f>
        <v>0</v>
      </c>
      <c r="AP29" s="156">
        <f>IF(ISBLANK($A29),,ROUNDDOWN(P29*AO6*1.024,))</f>
        <v>0</v>
      </c>
      <c r="AQ29" s="156">
        <f>IF(ISBLANK($A29),,ROUNDDOWN(R29*AO6*1.024,))</f>
        <v>0</v>
      </c>
      <c r="AR29" s="156">
        <f t="shared" si="2"/>
        <v>0</v>
      </c>
      <c r="AS29" s="156">
        <f>IF(ISBLANK($A29),,ROUNDDOWN(V29*AO6*1.024,))</f>
        <v>0</v>
      </c>
      <c r="AT29" s="156">
        <f>IF(ISBLANK($A29),,ROUNDDOWN(X29*AO6*1.024,))</f>
        <v>0</v>
      </c>
    </row>
    <row r="30" spans="1:46">
      <c r="A30" s="156" t="s">
        <v>488</v>
      </c>
      <c r="B30" s="156"/>
      <c r="C30" s="156" t="s">
        <v>333</v>
      </c>
      <c r="D30" s="156" t="s">
        <v>453</v>
      </c>
      <c r="E30" s="156" t="s">
        <v>73</v>
      </c>
      <c r="F30" s="152">
        <v>8</v>
      </c>
      <c r="G30" s="152">
        <v>34</v>
      </c>
      <c r="H30" s="152">
        <v>34</v>
      </c>
      <c r="I30" s="176">
        <v>136</v>
      </c>
      <c r="J30" s="154">
        <f t="shared" si="3"/>
        <v>0</v>
      </c>
      <c r="K30" s="152" t="s">
        <v>335</v>
      </c>
      <c r="L30" s="152"/>
      <c r="M30" s="152"/>
      <c r="N30" s="152"/>
      <c r="O30" s="152"/>
      <c r="P30" s="152"/>
      <c r="Q30" s="152"/>
      <c r="R30" s="152"/>
      <c r="S30" s="152"/>
      <c r="T30" s="152"/>
      <c r="U30" s="152"/>
      <c r="V30" s="152"/>
      <c r="W30" s="152"/>
      <c r="X30" s="152"/>
      <c r="Y30" s="152"/>
      <c r="Z30" s="152"/>
      <c r="AA30" s="152"/>
      <c r="AB30" s="152"/>
      <c r="AC30" s="152"/>
      <c r="AD30" s="152"/>
      <c r="AE30" s="152"/>
      <c r="AF30" s="152" t="s">
        <v>346</v>
      </c>
      <c r="AG30" s="152" t="s">
        <v>347</v>
      </c>
      <c r="AH30" s="152"/>
      <c r="AI30" s="156"/>
      <c r="AJ30" s="156"/>
      <c r="AK30" s="156">
        <f t="shared" si="0"/>
        <v>34.816000000000003</v>
      </c>
      <c r="AL30" s="156">
        <f t="shared" si="1"/>
        <v>34.816000000000003</v>
      </c>
      <c r="AM30" s="156">
        <f>IF(ISBLANK($A30),,ROUNDDOWN(I30*AO6*1.024,))</f>
        <v>125</v>
      </c>
      <c r="AN30" s="156">
        <f>IF(ISBLANK($A30),,ROUNDDOWN(L30*AO6*1.024,))</f>
        <v>0</v>
      </c>
      <c r="AO30" s="156">
        <f>IF(ISBLANK($A30),,ROUNDDOWN(N30*AO6*1.024,))</f>
        <v>0</v>
      </c>
      <c r="AP30" s="156">
        <f>IF(ISBLANK($A30),,ROUNDDOWN(P30*AO6*1.024,))</f>
        <v>0</v>
      </c>
      <c r="AQ30" s="156">
        <f>IF(ISBLANK($A30),,ROUNDDOWN(R30*AO6*1.024,))</f>
        <v>0</v>
      </c>
      <c r="AR30" s="156">
        <f t="shared" si="2"/>
        <v>0</v>
      </c>
      <c r="AS30" s="156">
        <f>IF(ISBLANK($A30),,ROUNDDOWN(V30*AO6*1.024,))</f>
        <v>0</v>
      </c>
      <c r="AT30" s="156">
        <f>IF(ISBLANK($A30),,ROUNDDOWN(X30*AO6*1.024,))</f>
        <v>0</v>
      </c>
    </row>
    <row r="31" spans="1:46">
      <c r="A31" s="156" t="s">
        <v>489</v>
      </c>
      <c r="B31" s="156"/>
      <c r="C31" s="156" t="s">
        <v>333</v>
      </c>
      <c r="D31" s="156" t="s">
        <v>453</v>
      </c>
      <c r="E31" s="156" t="s">
        <v>73</v>
      </c>
      <c r="F31" s="152">
        <v>8</v>
      </c>
      <c r="G31" s="152">
        <v>34</v>
      </c>
      <c r="H31" s="152">
        <v>34</v>
      </c>
      <c r="I31" s="176">
        <v>136</v>
      </c>
      <c r="J31" s="154">
        <f t="shared" si="3"/>
        <v>0</v>
      </c>
      <c r="K31" s="152" t="s">
        <v>337</v>
      </c>
      <c r="L31" s="152"/>
      <c r="M31" s="152"/>
      <c r="N31" s="152"/>
      <c r="O31" s="152"/>
      <c r="P31" s="152"/>
      <c r="Q31" s="152"/>
      <c r="R31" s="152"/>
      <c r="S31" s="152"/>
      <c r="T31" s="152"/>
      <c r="U31" s="152"/>
      <c r="V31" s="152"/>
      <c r="W31" s="152"/>
      <c r="X31" s="152"/>
      <c r="Y31" s="152"/>
      <c r="Z31" s="152"/>
      <c r="AA31" s="152"/>
      <c r="AB31" s="152"/>
      <c r="AC31" s="152"/>
      <c r="AD31" s="152"/>
      <c r="AE31" s="152"/>
      <c r="AF31" s="152" t="s">
        <v>346</v>
      </c>
      <c r="AG31" s="152" t="s">
        <v>347</v>
      </c>
      <c r="AH31" s="152"/>
      <c r="AI31" s="156"/>
      <c r="AJ31" s="156"/>
      <c r="AK31" s="156">
        <f t="shared" si="0"/>
        <v>34.816000000000003</v>
      </c>
      <c r="AL31" s="156">
        <f t="shared" si="1"/>
        <v>34.816000000000003</v>
      </c>
      <c r="AM31" s="156">
        <f>IF(ISBLANK($A31),,ROUNDDOWN(I31*AO6*1.024,))</f>
        <v>125</v>
      </c>
      <c r="AN31" s="156">
        <f>IF(ISBLANK($A31),,ROUNDDOWN(L31*AO6*1.024,))</f>
        <v>0</v>
      </c>
      <c r="AO31" s="156">
        <f>IF(ISBLANK($A31),,ROUNDDOWN(N31*AO6*1.024,))</f>
        <v>0</v>
      </c>
      <c r="AP31" s="156">
        <f>IF(ISBLANK($A31),,ROUNDDOWN(P31*AO6*1.024,))</f>
        <v>0</v>
      </c>
      <c r="AQ31" s="156">
        <f>IF(ISBLANK($A31),,ROUNDDOWN(R31*AO6*1.024,))</f>
        <v>0</v>
      </c>
      <c r="AR31" s="156">
        <f t="shared" si="2"/>
        <v>0</v>
      </c>
      <c r="AS31" s="156">
        <f>IF(ISBLANK($A31),,ROUNDDOWN(V31*AO6*1.024,))</f>
        <v>0</v>
      </c>
      <c r="AT31" s="156">
        <f>IF(ISBLANK($A31),,ROUNDDOWN(X31*AO6*1.024,))</f>
        <v>0</v>
      </c>
    </row>
    <row r="32" spans="1:46">
      <c r="A32" s="156" t="s">
        <v>502</v>
      </c>
      <c r="B32" s="156"/>
      <c r="C32" s="156" t="s">
        <v>333</v>
      </c>
      <c r="D32" s="156" t="s">
        <v>453</v>
      </c>
      <c r="E32" s="156" t="s">
        <v>73</v>
      </c>
      <c r="F32" s="152">
        <v>8</v>
      </c>
      <c r="G32" s="152">
        <v>34</v>
      </c>
      <c r="H32" s="152">
        <v>34</v>
      </c>
      <c r="I32" s="176">
        <v>136</v>
      </c>
      <c r="J32" s="154">
        <f t="shared" si="3"/>
        <v>0</v>
      </c>
      <c r="K32" s="152" t="s">
        <v>343</v>
      </c>
      <c r="L32" s="152"/>
      <c r="M32" s="152"/>
      <c r="N32" s="152"/>
      <c r="O32" s="152"/>
      <c r="P32" s="152"/>
      <c r="Q32" s="152"/>
      <c r="R32" s="152"/>
      <c r="S32" s="152"/>
      <c r="T32" s="152"/>
      <c r="U32" s="152"/>
      <c r="V32" s="152"/>
      <c r="W32" s="152"/>
      <c r="X32" s="152"/>
      <c r="Y32" s="152"/>
      <c r="Z32" s="152"/>
      <c r="AA32" s="152"/>
      <c r="AB32" s="152"/>
      <c r="AC32" s="152"/>
      <c r="AD32" s="152"/>
      <c r="AE32" s="152"/>
      <c r="AF32" s="152" t="s">
        <v>346</v>
      </c>
      <c r="AG32" s="152" t="s">
        <v>347</v>
      </c>
      <c r="AH32" s="152"/>
      <c r="AI32" s="156"/>
      <c r="AJ32" s="156"/>
      <c r="AK32" s="156">
        <f t="shared" si="0"/>
        <v>34.816000000000003</v>
      </c>
      <c r="AL32" s="156">
        <f t="shared" si="1"/>
        <v>34.816000000000003</v>
      </c>
      <c r="AM32" s="156">
        <f>IF(ISBLANK($A32),,ROUNDDOWN(I32*AO6*1.024,))</f>
        <v>125</v>
      </c>
      <c r="AN32" s="156">
        <f>IF(ISBLANK($A32),,ROUNDDOWN(L32*AO6*1.024,))</f>
        <v>0</v>
      </c>
      <c r="AO32" s="156">
        <f>IF(ISBLANK($A32),,ROUNDDOWN(N32*AO6*1.024,))</f>
        <v>0</v>
      </c>
      <c r="AP32" s="156">
        <f>IF(ISBLANK($A32),,ROUNDDOWN(P32*AO6*1.024,))</f>
        <v>0</v>
      </c>
      <c r="AQ32" s="156">
        <f>IF(ISBLANK($A32),,ROUNDDOWN(R32*AO6*1.024,))</f>
        <v>0</v>
      </c>
      <c r="AR32" s="156">
        <f t="shared" si="2"/>
        <v>0</v>
      </c>
      <c r="AS32" s="156">
        <f>IF(ISBLANK($A32),,ROUNDDOWN(V32*AO6*1.024,))</f>
        <v>0</v>
      </c>
      <c r="AT32" s="156">
        <f>IF(ISBLANK($A32),,ROUNDDOWN(X32*AO6*1.024,))</f>
        <v>0</v>
      </c>
    </row>
    <row r="33" spans="1:46">
      <c r="A33" s="156" t="s">
        <v>503</v>
      </c>
      <c r="B33" s="156"/>
      <c r="C33" s="156" t="s">
        <v>333</v>
      </c>
      <c r="D33" s="156" t="s">
        <v>453</v>
      </c>
      <c r="E33" s="156" t="s">
        <v>73</v>
      </c>
      <c r="F33" s="152">
        <v>8</v>
      </c>
      <c r="G33" s="152">
        <v>34</v>
      </c>
      <c r="H33" s="152">
        <v>34</v>
      </c>
      <c r="I33" s="176">
        <v>136</v>
      </c>
      <c r="J33" s="154">
        <f t="shared" si="3"/>
        <v>0</v>
      </c>
      <c r="K33" s="152" t="s">
        <v>335</v>
      </c>
      <c r="L33" s="152"/>
      <c r="M33" s="152"/>
      <c r="N33" s="152"/>
      <c r="O33" s="152"/>
      <c r="P33" s="152"/>
      <c r="Q33" s="152"/>
      <c r="R33" s="152"/>
      <c r="S33" s="152"/>
      <c r="T33" s="152"/>
      <c r="U33" s="152"/>
      <c r="V33" s="152"/>
      <c r="W33" s="152"/>
      <c r="X33" s="152"/>
      <c r="Y33" s="152"/>
      <c r="Z33" s="152"/>
      <c r="AA33" s="152"/>
      <c r="AB33" s="152"/>
      <c r="AC33" s="152"/>
      <c r="AD33" s="152"/>
      <c r="AE33" s="152"/>
      <c r="AF33" s="152" t="s">
        <v>346</v>
      </c>
      <c r="AG33" s="152" t="s">
        <v>347</v>
      </c>
      <c r="AH33" s="152"/>
      <c r="AI33" s="156"/>
      <c r="AJ33" s="156"/>
      <c r="AK33" s="156">
        <f t="shared" si="0"/>
        <v>34.816000000000003</v>
      </c>
      <c r="AL33" s="156">
        <f t="shared" si="1"/>
        <v>34.816000000000003</v>
      </c>
      <c r="AM33" s="156">
        <f>IF(ISBLANK($A33),,ROUNDDOWN(I33*AO6*1.024,))</f>
        <v>125</v>
      </c>
      <c r="AN33" s="156">
        <f>IF(ISBLANK($A33),,ROUNDDOWN(L33*AO6*1.024,))</f>
        <v>0</v>
      </c>
      <c r="AO33" s="156">
        <f>IF(ISBLANK($A33),,ROUNDDOWN(N33*AO6*1.024,))</f>
        <v>0</v>
      </c>
      <c r="AP33" s="156">
        <f>IF(ISBLANK($A33),,ROUNDDOWN(P33*AO6*1.024,))</f>
        <v>0</v>
      </c>
      <c r="AQ33" s="156">
        <f>IF(ISBLANK($A33),,ROUNDDOWN(R33*AO6*1.024,))</f>
        <v>0</v>
      </c>
      <c r="AR33" s="156">
        <f t="shared" si="2"/>
        <v>0</v>
      </c>
      <c r="AS33" s="156">
        <f>IF(ISBLANK($A33),,ROUNDDOWN(V33*AO6*1.024,))</f>
        <v>0</v>
      </c>
      <c r="AT33" s="156">
        <f>IF(ISBLANK($A33),,ROUNDDOWN(X33*AO6*1.024,))</f>
        <v>0</v>
      </c>
    </row>
    <row r="34" spans="1:46">
      <c r="A34" s="156" t="s">
        <v>504</v>
      </c>
      <c r="B34" s="156"/>
      <c r="C34" s="156" t="s">
        <v>333</v>
      </c>
      <c r="D34" s="11" t="s">
        <v>362</v>
      </c>
      <c r="E34" s="156" t="s">
        <v>75</v>
      </c>
      <c r="F34" s="152">
        <v>4</v>
      </c>
      <c r="G34" s="152">
        <v>4</v>
      </c>
      <c r="H34" s="152">
        <v>0</v>
      </c>
      <c r="I34" s="152">
        <v>100</v>
      </c>
      <c r="J34" s="154">
        <f t="shared" si="3"/>
        <v>4</v>
      </c>
      <c r="K34" s="152" t="s">
        <v>337</v>
      </c>
      <c r="L34" s="152"/>
      <c r="M34" s="152"/>
      <c r="N34" s="152"/>
      <c r="O34" s="152"/>
      <c r="P34" s="152"/>
      <c r="Q34" s="152"/>
      <c r="R34" s="152"/>
      <c r="S34" s="152"/>
      <c r="T34" s="152"/>
      <c r="U34" s="152"/>
      <c r="V34" s="152"/>
      <c r="W34" s="152"/>
      <c r="X34" s="152"/>
      <c r="Y34" s="152"/>
      <c r="Z34" s="152"/>
      <c r="AA34" s="152"/>
      <c r="AB34" s="152"/>
      <c r="AC34" s="152"/>
      <c r="AD34" s="152"/>
      <c r="AE34" s="152"/>
      <c r="AF34" s="152" t="s">
        <v>328</v>
      </c>
      <c r="AG34" s="152" t="s">
        <v>329</v>
      </c>
      <c r="AH34" s="152"/>
      <c r="AI34" s="156"/>
      <c r="AJ34" s="156"/>
      <c r="AK34" s="156">
        <f t="shared" si="0"/>
        <v>4.0960000000000001</v>
      </c>
      <c r="AL34" s="156">
        <f t="shared" si="1"/>
        <v>0</v>
      </c>
      <c r="AM34" s="156">
        <f>IF(ISBLANK($A34),,ROUNDDOWN(I34*AO6*1.024,))</f>
        <v>92</v>
      </c>
      <c r="AN34" s="156">
        <f>IF(ISBLANK($A34),,ROUNDDOWN(L34*AO6*1.024,))</f>
        <v>0</v>
      </c>
      <c r="AO34" s="156">
        <f>IF(ISBLANK($A34),,ROUNDDOWN(N34*AO6*1.024,))</f>
        <v>0</v>
      </c>
      <c r="AP34" s="156">
        <f>IF(ISBLANK($A34),,ROUNDDOWN(P34*AO6*1.024,))</f>
        <v>0</v>
      </c>
      <c r="AQ34" s="156">
        <f>IF(ISBLANK($A34),,ROUNDDOWN(R34*AO6*1.024,))</f>
        <v>0</v>
      </c>
      <c r="AR34" s="156">
        <f t="shared" si="2"/>
        <v>0</v>
      </c>
      <c r="AS34" s="156">
        <f>IF(ISBLANK($A34),,ROUNDDOWN(V34*AO6*1.024,))</f>
        <v>0</v>
      </c>
      <c r="AT34" s="156">
        <f>IF(ISBLANK($A34),,ROUNDDOWN(X34*AO6*1.024,))</f>
        <v>0</v>
      </c>
    </row>
    <row r="35" spans="1:46">
      <c r="A35" s="156" t="s">
        <v>505</v>
      </c>
      <c r="B35" s="156"/>
      <c r="C35" s="156" t="s">
        <v>333</v>
      </c>
      <c r="D35" s="11" t="s">
        <v>362</v>
      </c>
      <c r="E35" s="156" t="s">
        <v>79</v>
      </c>
      <c r="F35" s="152">
        <v>4</v>
      </c>
      <c r="G35" s="152">
        <v>16</v>
      </c>
      <c r="H35" s="152">
        <v>0</v>
      </c>
      <c r="I35" s="152">
        <v>110</v>
      </c>
      <c r="J35" s="154">
        <f t="shared" si="3"/>
        <v>16</v>
      </c>
      <c r="K35" s="152" t="s">
        <v>343</v>
      </c>
      <c r="L35" s="152"/>
      <c r="M35" s="152"/>
      <c r="N35" s="152"/>
      <c r="O35" s="152"/>
      <c r="P35" s="152"/>
      <c r="Q35" s="152"/>
      <c r="R35" s="152"/>
      <c r="S35" s="152"/>
      <c r="T35" s="152"/>
      <c r="U35" s="152"/>
      <c r="V35" s="152"/>
      <c r="W35" s="152"/>
      <c r="X35" s="152"/>
      <c r="Y35" s="152"/>
      <c r="Z35" s="152"/>
      <c r="AA35" s="152"/>
      <c r="AB35" s="152"/>
      <c r="AC35" s="152"/>
      <c r="AD35" s="152"/>
      <c r="AE35" s="152"/>
      <c r="AF35" s="152" t="s">
        <v>328</v>
      </c>
      <c r="AG35" s="152" t="s">
        <v>329</v>
      </c>
      <c r="AH35" s="152"/>
      <c r="AI35" s="156"/>
      <c r="AJ35" s="156"/>
      <c r="AK35" s="156">
        <f t="shared" si="0"/>
        <v>16.384</v>
      </c>
      <c r="AL35" s="156">
        <f t="shared" si="1"/>
        <v>0</v>
      </c>
      <c r="AM35" s="156">
        <f>IF(ISBLANK($A35),,ROUNDDOWN(I35*AO6*1.024,))</f>
        <v>101</v>
      </c>
      <c r="AN35" s="156">
        <f>IF(ISBLANK($A35),,ROUNDDOWN(L35*AO6*1.024,))</f>
        <v>0</v>
      </c>
      <c r="AO35" s="156">
        <f>IF(ISBLANK($A35),,ROUNDDOWN(N35*AO6*1.024,))</f>
        <v>0</v>
      </c>
      <c r="AP35" s="156">
        <f>IF(ISBLANK($A35),,ROUNDDOWN(P35*AO6*1.024,))</f>
        <v>0</v>
      </c>
      <c r="AQ35" s="156">
        <f>IF(ISBLANK($A35),,ROUNDDOWN(R35*AO6*1.024,))</f>
        <v>0</v>
      </c>
      <c r="AR35" s="156">
        <f t="shared" si="2"/>
        <v>0</v>
      </c>
      <c r="AS35" s="156">
        <f>IF(ISBLANK($A35),,ROUNDDOWN(V35*AO6*1.024,))</f>
        <v>0</v>
      </c>
      <c r="AT35" s="156">
        <f>IF(ISBLANK($A35),,ROUNDDOWN(X35*AO6*1.024,))</f>
        <v>0</v>
      </c>
    </row>
    <row r="36" spans="1:46">
      <c r="A36" s="156" t="s">
        <v>364</v>
      </c>
      <c r="B36" s="156"/>
      <c r="C36" s="156" t="s">
        <v>333</v>
      </c>
      <c r="D36" s="11" t="s">
        <v>362</v>
      </c>
      <c r="E36" s="156" t="s">
        <v>77</v>
      </c>
      <c r="F36" s="152">
        <v>4</v>
      </c>
      <c r="G36" s="152">
        <v>14</v>
      </c>
      <c r="H36" s="152">
        <v>0</v>
      </c>
      <c r="I36" s="152">
        <v>100</v>
      </c>
      <c r="J36" s="154">
        <f t="shared" si="3"/>
        <v>14</v>
      </c>
      <c r="K36" s="152" t="s">
        <v>343</v>
      </c>
      <c r="L36" s="152"/>
      <c r="M36" s="152"/>
      <c r="N36" s="152"/>
      <c r="O36" s="152"/>
      <c r="P36" s="152"/>
      <c r="Q36" s="152"/>
      <c r="R36" s="152"/>
      <c r="S36" s="152"/>
      <c r="T36" s="152"/>
      <c r="U36" s="152"/>
      <c r="V36" s="152"/>
      <c r="W36" s="152"/>
      <c r="X36" s="152"/>
      <c r="Y36" s="152"/>
      <c r="Z36" s="152"/>
      <c r="AA36" s="152"/>
      <c r="AB36" s="152"/>
      <c r="AC36" s="152"/>
      <c r="AD36" s="152"/>
      <c r="AE36" s="152"/>
      <c r="AF36" s="152" t="s">
        <v>328</v>
      </c>
      <c r="AG36" s="152" t="s">
        <v>329</v>
      </c>
      <c r="AH36" s="152"/>
      <c r="AI36" s="156"/>
      <c r="AJ36" s="156"/>
      <c r="AK36" s="156">
        <f t="shared" si="0"/>
        <v>14.336</v>
      </c>
      <c r="AL36" s="156">
        <f t="shared" si="1"/>
        <v>0</v>
      </c>
      <c r="AM36" s="156">
        <f>IF(ISBLANK($A36),,ROUNDDOWN(I36*AO6*1.024,))</f>
        <v>92</v>
      </c>
      <c r="AN36" s="156">
        <f>IF(ISBLANK($A36),,ROUNDDOWN(L36*AO6*1.024,))</f>
        <v>0</v>
      </c>
      <c r="AO36" s="156">
        <f>IF(ISBLANK($A36),,ROUNDDOWN(N36*AO6*1.024,))</f>
        <v>0</v>
      </c>
      <c r="AP36" s="156">
        <f>IF(ISBLANK($A36),,ROUNDDOWN(P36*AO6*1.024,))</f>
        <v>0</v>
      </c>
      <c r="AQ36" s="156">
        <f>IF(ISBLANK($A36),,ROUNDDOWN(R36*AO6*1.024,))</f>
        <v>0</v>
      </c>
      <c r="AR36" s="156">
        <f t="shared" si="2"/>
        <v>0</v>
      </c>
      <c r="AS36" s="156">
        <f>IF(ISBLANK($A36),,ROUNDDOWN(V36*AO6*1.024,))</f>
        <v>0</v>
      </c>
      <c r="AT36" s="156">
        <f>IF(ISBLANK($A36),,ROUNDDOWN(X36*AO6*1.024,))</f>
        <v>0</v>
      </c>
    </row>
    <row r="37" spans="1:46">
      <c r="A37" s="156" t="s">
        <v>365</v>
      </c>
      <c r="B37" s="152"/>
      <c r="C37" s="156" t="s">
        <v>333</v>
      </c>
      <c r="D37" s="156" t="s">
        <v>453</v>
      </c>
      <c r="E37" s="156" t="s">
        <v>81</v>
      </c>
      <c r="F37" s="152">
        <v>9</v>
      </c>
      <c r="G37" s="152">
        <v>12</v>
      </c>
      <c r="H37" s="152">
        <v>0</v>
      </c>
      <c r="I37" s="152">
        <v>56</v>
      </c>
      <c r="J37" s="154">
        <f t="shared" si="3"/>
        <v>12</v>
      </c>
      <c r="K37" s="152" t="s">
        <v>335</v>
      </c>
      <c r="L37" s="152"/>
      <c r="M37" s="152"/>
      <c r="N37" s="152"/>
      <c r="O37" s="152"/>
      <c r="P37" s="152"/>
      <c r="Q37" s="152"/>
      <c r="R37" s="152"/>
      <c r="S37" s="152"/>
      <c r="T37" s="152"/>
      <c r="U37" s="152"/>
      <c r="V37" s="152"/>
      <c r="W37" s="152"/>
      <c r="X37" s="152"/>
      <c r="Y37" s="152"/>
      <c r="Z37" s="154">
        <v>50</v>
      </c>
      <c r="AA37" s="152" t="s">
        <v>366</v>
      </c>
      <c r="AB37" s="152"/>
      <c r="AC37" s="152"/>
      <c r="AD37" s="152"/>
      <c r="AE37" s="152"/>
      <c r="AF37" s="152" t="s">
        <v>328</v>
      </c>
      <c r="AG37" s="152" t="s">
        <v>329</v>
      </c>
      <c r="AH37" s="152"/>
      <c r="AI37" s="156"/>
      <c r="AJ37" s="156"/>
      <c r="AK37" s="156">
        <f t="shared" si="0"/>
        <v>12.288</v>
      </c>
      <c r="AL37" s="156">
        <f t="shared" si="1"/>
        <v>0</v>
      </c>
      <c r="AM37" s="156">
        <f>IF(ISBLANK($A37),,ROUNDDOWN(I37*AO6*1.024,))</f>
        <v>51</v>
      </c>
      <c r="AN37" s="156">
        <f>IF(ISBLANK($A37),,ROUNDDOWN(L37*AO6*1.024,))</f>
        <v>0</v>
      </c>
      <c r="AO37" s="156">
        <f>IF(ISBLANK($A37),,ROUNDDOWN(N37*AO6*1.024,))</f>
        <v>0</v>
      </c>
      <c r="AP37" s="156">
        <f>IF(ISBLANK($A37),,ROUNDDOWN(P37*AO6*1.024,))</f>
        <v>0</v>
      </c>
      <c r="AQ37" s="156">
        <f>IF(ISBLANK($A37),,ROUNDDOWN(R37*AO6*1.024,))</f>
        <v>0</v>
      </c>
      <c r="AR37" s="156">
        <f t="shared" si="2"/>
        <v>0</v>
      </c>
      <c r="AS37" s="156">
        <f>IF(ISBLANK($A37),,ROUNDDOWN(V37*AO6*1.024,))</f>
        <v>0</v>
      </c>
      <c r="AT37" s="156">
        <f>IF(ISBLANK($A37),,ROUNDDOWN(X37*AO6*1.024,))</f>
        <v>0</v>
      </c>
    </row>
    <row r="38" spans="1:46">
      <c r="A38" s="156" t="s">
        <v>367</v>
      </c>
      <c r="B38" s="156"/>
      <c r="C38" s="156" t="s">
        <v>333</v>
      </c>
      <c r="D38" s="156" t="s">
        <v>453</v>
      </c>
      <c r="E38" s="156" t="s">
        <v>81</v>
      </c>
      <c r="F38" s="152">
        <v>9</v>
      </c>
      <c r="G38" s="152">
        <v>12</v>
      </c>
      <c r="H38" s="152">
        <v>0</v>
      </c>
      <c r="I38" s="176">
        <v>56</v>
      </c>
      <c r="J38" s="154">
        <f t="shared" si="3"/>
        <v>12</v>
      </c>
      <c r="K38" s="152" t="s">
        <v>337</v>
      </c>
      <c r="L38" s="152"/>
      <c r="M38" s="152"/>
      <c r="N38" s="152"/>
      <c r="O38" s="152"/>
      <c r="P38" s="152"/>
      <c r="Q38" s="152"/>
      <c r="R38" s="152"/>
      <c r="S38" s="152"/>
      <c r="T38" s="152"/>
      <c r="U38" s="152"/>
      <c r="V38" s="152"/>
      <c r="W38" s="152"/>
      <c r="X38" s="152"/>
      <c r="Y38" s="152"/>
      <c r="Z38" s="154">
        <v>50</v>
      </c>
      <c r="AA38" s="152" t="s">
        <v>366</v>
      </c>
      <c r="AB38" s="152"/>
      <c r="AC38" s="152"/>
      <c r="AD38" s="152"/>
      <c r="AE38" s="152"/>
      <c r="AF38" s="152" t="s">
        <v>328</v>
      </c>
      <c r="AG38" s="152" t="s">
        <v>329</v>
      </c>
      <c r="AH38" s="152"/>
      <c r="AI38" s="156"/>
      <c r="AJ38" s="156"/>
      <c r="AK38" s="156">
        <f t="shared" si="0"/>
        <v>12.288</v>
      </c>
      <c r="AL38" s="156">
        <f t="shared" si="1"/>
        <v>0</v>
      </c>
      <c r="AM38" s="156">
        <f>IF(ISBLANK($A38),,ROUNDDOWN(I38*AO6*1.024,))</f>
        <v>51</v>
      </c>
      <c r="AN38" s="156">
        <f>IF(ISBLANK($A38),,ROUNDDOWN(L38*AO6*1.024,))</f>
        <v>0</v>
      </c>
      <c r="AO38" s="156">
        <f>IF(ISBLANK($A38),,ROUNDDOWN(N38*AO6*1.024,))</f>
        <v>0</v>
      </c>
      <c r="AP38" s="156">
        <f>IF(ISBLANK($A38),,ROUNDDOWN(P38*AO6*1.024,))</f>
        <v>0</v>
      </c>
      <c r="AQ38" s="156">
        <f>IF(ISBLANK($A38),,ROUNDDOWN(R38*AO6*1.024,))</f>
        <v>0</v>
      </c>
      <c r="AR38" s="156">
        <f t="shared" si="2"/>
        <v>0</v>
      </c>
      <c r="AS38" s="156">
        <f>IF(ISBLANK($A38),,ROUNDDOWN(V38*AO6*1.024,))</f>
        <v>0</v>
      </c>
      <c r="AT38" s="156">
        <f>IF(ISBLANK($A38),,ROUNDDOWN(X38*AO6*1.024,))</f>
        <v>0</v>
      </c>
    </row>
    <row r="39" spans="1:46">
      <c r="A39" s="156" t="s">
        <v>506</v>
      </c>
      <c r="B39" s="156"/>
      <c r="C39" s="156" t="s">
        <v>333</v>
      </c>
      <c r="D39" s="156" t="s">
        <v>453</v>
      </c>
      <c r="E39" s="156" t="s">
        <v>81</v>
      </c>
      <c r="F39" s="152">
        <v>9</v>
      </c>
      <c r="G39" s="152">
        <v>12</v>
      </c>
      <c r="H39" s="152">
        <v>0</v>
      </c>
      <c r="I39" s="176">
        <v>56</v>
      </c>
      <c r="J39" s="154">
        <f t="shared" si="3"/>
        <v>12</v>
      </c>
      <c r="K39" s="152" t="s">
        <v>343</v>
      </c>
      <c r="L39" s="152"/>
      <c r="M39" s="152"/>
      <c r="N39" s="152"/>
      <c r="O39" s="152"/>
      <c r="P39" s="152"/>
      <c r="Q39" s="152"/>
      <c r="R39" s="152"/>
      <c r="S39" s="152"/>
      <c r="T39" s="152"/>
      <c r="U39" s="152"/>
      <c r="V39" s="152"/>
      <c r="W39" s="152"/>
      <c r="X39" s="152"/>
      <c r="Y39" s="152"/>
      <c r="Z39" s="154">
        <v>50</v>
      </c>
      <c r="AA39" s="152" t="s">
        <v>366</v>
      </c>
      <c r="AB39" s="152"/>
      <c r="AC39" s="152"/>
      <c r="AD39" s="152"/>
      <c r="AE39" s="152"/>
      <c r="AF39" s="152" t="s">
        <v>328</v>
      </c>
      <c r="AG39" s="152" t="s">
        <v>329</v>
      </c>
      <c r="AH39" s="152"/>
      <c r="AI39" s="156"/>
      <c r="AJ39" s="156"/>
      <c r="AK39" s="156">
        <f t="shared" si="0"/>
        <v>12.288</v>
      </c>
      <c r="AL39" s="156">
        <f t="shared" si="1"/>
        <v>0</v>
      </c>
      <c r="AM39" s="156">
        <f>IF(ISBLANK($A39),,ROUNDDOWN(I39*AO6*1.024,))</f>
        <v>51</v>
      </c>
      <c r="AN39" s="156">
        <f>IF(ISBLANK($A39),,ROUNDDOWN(L39*AO6*1.024,))</f>
        <v>0</v>
      </c>
      <c r="AO39" s="156">
        <f>IF(ISBLANK($A39),,ROUNDDOWN(N39*AO6*1.024,))</f>
        <v>0</v>
      </c>
      <c r="AP39" s="156">
        <f>IF(ISBLANK($A39),,ROUNDDOWN(P39*AO6*1.024,))</f>
        <v>0</v>
      </c>
      <c r="AQ39" s="156">
        <f>IF(ISBLANK($A39),,ROUNDDOWN(R39*AO6*1.024,))</f>
        <v>0</v>
      </c>
      <c r="AR39" s="156">
        <f t="shared" si="2"/>
        <v>0</v>
      </c>
      <c r="AS39" s="156">
        <f>IF(ISBLANK($A39),,ROUNDDOWN(V39*AO6*1.024,))</f>
        <v>0</v>
      </c>
      <c r="AT39" s="156">
        <f>IF(ISBLANK($A39),,ROUNDDOWN(X39*AO6*1.024,))</f>
        <v>0</v>
      </c>
    </row>
    <row r="40" spans="1:46">
      <c r="A40" s="156" t="s">
        <v>507</v>
      </c>
      <c r="B40" s="156"/>
      <c r="C40" s="156" t="s">
        <v>333</v>
      </c>
      <c r="D40" s="156" t="s">
        <v>453</v>
      </c>
      <c r="E40" s="156" t="s">
        <v>81</v>
      </c>
      <c r="F40" s="152">
        <v>9</v>
      </c>
      <c r="G40" s="152">
        <v>12</v>
      </c>
      <c r="H40" s="152">
        <v>0</v>
      </c>
      <c r="I40" s="176">
        <v>56</v>
      </c>
      <c r="J40" s="154">
        <f t="shared" si="3"/>
        <v>12</v>
      </c>
      <c r="K40" s="152" t="s">
        <v>335</v>
      </c>
      <c r="L40" s="152"/>
      <c r="M40" s="152"/>
      <c r="N40" s="152"/>
      <c r="O40" s="152"/>
      <c r="P40" s="152"/>
      <c r="Q40" s="152"/>
      <c r="R40" s="152"/>
      <c r="S40" s="152"/>
      <c r="T40" s="152"/>
      <c r="U40" s="152"/>
      <c r="V40" s="152"/>
      <c r="W40" s="152"/>
      <c r="X40" s="152"/>
      <c r="Y40" s="152"/>
      <c r="Z40" s="154">
        <v>50</v>
      </c>
      <c r="AA40" s="152" t="s">
        <v>366</v>
      </c>
      <c r="AB40" s="152"/>
      <c r="AC40" s="152"/>
      <c r="AD40" s="152"/>
      <c r="AE40" s="152"/>
      <c r="AF40" s="152" t="s">
        <v>328</v>
      </c>
      <c r="AG40" s="152" t="s">
        <v>329</v>
      </c>
      <c r="AH40" s="152"/>
      <c r="AI40" s="156"/>
      <c r="AJ40" s="156"/>
      <c r="AK40" s="156">
        <f t="shared" si="0"/>
        <v>12.288</v>
      </c>
      <c r="AL40" s="156">
        <f t="shared" si="1"/>
        <v>0</v>
      </c>
      <c r="AM40" s="156">
        <f>IF(ISBLANK($A40),,ROUNDDOWN(I40*AO6*1.024,))</f>
        <v>51</v>
      </c>
      <c r="AN40" s="156">
        <f>IF(ISBLANK($A40),,ROUNDDOWN(L40*AO6*1.024,))</f>
        <v>0</v>
      </c>
      <c r="AO40" s="156">
        <f>IF(ISBLANK($A40),,ROUNDDOWN(N40*AO6*1.024,))</f>
        <v>0</v>
      </c>
      <c r="AP40" s="156">
        <f>IF(ISBLANK($A40),,ROUNDDOWN(P40*AO6*1.024,))</f>
        <v>0</v>
      </c>
      <c r="AQ40" s="156">
        <f>IF(ISBLANK($A40),,ROUNDDOWN(R40*AO6*1.024,))</f>
        <v>0</v>
      </c>
      <c r="AR40" s="156">
        <f t="shared" si="2"/>
        <v>0</v>
      </c>
      <c r="AS40" s="156">
        <f>IF(ISBLANK($A40),,ROUNDDOWN(V40*AO6*1.024,))</f>
        <v>0</v>
      </c>
      <c r="AT40" s="156">
        <f>IF(ISBLANK($A40),,ROUNDDOWN(X40*AO6*1.024,))</f>
        <v>0</v>
      </c>
    </row>
    <row r="41" spans="1:46">
      <c r="A41" s="156" t="s">
        <v>368</v>
      </c>
      <c r="B41" s="156"/>
      <c r="C41" s="156" t="s">
        <v>333</v>
      </c>
      <c r="D41" s="156" t="s">
        <v>453</v>
      </c>
      <c r="E41" s="156" t="s">
        <v>369</v>
      </c>
      <c r="F41" s="152">
        <v>4</v>
      </c>
      <c r="G41" s="152">
        <v>4</v>
      </c>
      <c r="H41" s="152">
        <v>0</v>
      </c>
      <c r="I41" s="152">
        <v>41</v>
      </c>
      <c r="J41" s="154">
        <f t="shared" si="3"/>
        <v>4</v>
      </c>
      <c r="K41" s="152" t="s">
        <v>343</v>
      </c>
      <c r="L41" s="152"/>
      <c r="M41" s="152"/>
      <c r="N41" s="152"/>
      <c r="O41" s="152"/>
      <c r="P41" s="152"/>
      <c r="Q41" s="152"/>
      <c r="R41" s="152"/>
      <c r="S41" s="152"/>
      <c r="T41" s="152"/>
      <c r="U41" s="152"/>
      <c r="V41" s="152"/>
      <c r="W41" s="152"/>
      <c r="X41" s="152"/>
      <c r="Y41" s="152"/>
      <c r="Z41" s="154"/>
      <c r="AA41" s="152"/>
      <c r="AB41" s="152"/>
      <c r="AC41" s="152"/>
      <c r="AD41" s="152"/>
      <c r="AE41" s="152"/>
      <c r="AF41" s="152" t="s">
        <v>328</v>
      </c>
      <c r="AG41" s="152" t="s">
        <v>329</v>
      </c>
      <c r="AH41" s="152"/>
      <c r="AI41" s="156"/>
      <c r="AJ41" s="156"/>
      <c r="AK41" s="156">
        <f t="shared" si="0"/>
        <v>4.0960000000000001</v>
      </c>
      <c r="AL41" s="156">
        <f t="shared" si="1"/>
        <v>0</v>
      </c>
      <c r="AM41" s="156">
        <f>IF(ISBLANK($A41),,ROUNDDOWN(I41*AO6*1.024,))</f>
        <v>37</v>
      </c>
      <c r="AN41" s="156">
        <f>IF(ISBLANK($A41),,ROUNDDOWN(L41*AO6*1.024,))</f>
        <v>0</v>
      </c>
      <c r="AO41" s="156">
        <f>IF(ISBLANK($A41),,ROUNDDOWN(N41*AO6*1.024,))</f>
        <v>0</v>
      </c>
      <c r="AP41" s="156">
        <f>IF(ISBLANK($A41),,ROUNDDOWN(P41*AO6*1.024,))</f>
        <v>0</v>
      </c>
      <c r="AQ41" s="156">
        <f>IF(ISBLANK($A41),,ROUNDDOWN(R41*AO6*1.024,))</f>
        <v>0</v>
      </c>
      <c r="AR41" s="156">
        <f t="shared" si="2"/>
        <v>0</v>
      </c>
      <c r="AS41" s="156">
        <f>IF(ISBLANK($A41),,ROUNDDOWN(V41*AO6*1.024,))</f>
        <v>0</v>
      </c>
      <c r="AT41" s="156">
        <f>IF(ISBLANK($A41),,ROUNDDOWN(X41*AO6*1.024,))</f>
        <v>0</v>
      </c>
    </row>
    <row r="42" spans="1:46">
      <c r="A42" s="156" t="s">
        <v>370</v>
      </c>
      <c r="B42" s="156"/>
      <c r="C42" s="156" t="s">
        <v>333</v>
      </c>
      <c r="D42" s="156" t="s">
        <v>453</v>
      </c>
      <c r="E42" s="156" t="s">
        <v>371</v>
      </c>
      <c r="F42" s="152">
        <v>4</v>
      </c>
      <c r="G42" s="152">
        <v>4</v>
      </c>
      <c r="H42" s="152">
        <v>0</v>
      </c>
      <c r="I42" s="152">
        <v>41</v>
      </c>
      <c r="J42" s="154">
        <f t="shared" si="3"/>
        <v>4</v>
      </c>
      <c r="K42" s="152" t="s">
        <v>343</v>
      </c>
      <c r="L42" s="152"/>
      <c r="M42" s="152"/>
      <c r="N42" s="152"/>
      <c r="O42" s="152"/>
      <c r="P42" s="152"/>
      <c r="Q42" s="152"/>
      <c r="R42" s="152"/>
      <c r="S42" s="152"/>
      <c r="T42" s="152"/>
      <c r="U42" s="152"/>
      <c r="V42" s="152"/>
      <c r="W42" s="152"/>
      <c r="X42" s="152"/>
      <c r="Y42" s="8"/>
      <c r="Z42" s="36"/>
      <c r="AA42" s="8"/>
      <c r="AB42" s="8"/>
      <c r="AC42" s="8"/>
      <c r="AD42" s="8"/>
      <c r="AE42" s="8"/>
      <c r="AF42" s="8" t="s">
        <v>620</v>
      </c>
      <c r="AG42" s="8" t="s">
        <v>329</v>
      </c>
      <c r="AH42" s="8"/>
      <c r="AI42" s="156"/>
      <c r="AJ42" s="156"/>
      <c r="AK42" s="156">
        <f t="shared" si="0"/>
        <v>4.0960000000000001</v>
      </c>
      <c r="AL42" s="156">
        <f t="shared" si="1"/>
        <v>0</v>
      </c>
      <c r="AM42" s="156">
        <f>IF(ISBLANK($A42),,ROUNDDOWN(I42*AO6*1.024,))</f>
        <v>37</v>
      </c>
      <c r="AN42" s="156">
        <f>IF(ISBLANK($A42),,ROUNDDOWN(L42*AO6*1.024,))</f>
        <v>0</v>
      </c>
      <c r="AO42" s="156">
        <f>IF(ISBLANK($A42),,ROUNDDOWN(N42*AO6*1.024,))</f>
        <v>0</v>
      </c>
      <c r="AP42" s="156">
        <f>IF(ISBLANK($A42),,ROUNDDOWN(P42*AO6*1.024,))</f>
        <v>0</v>
      </c>
      <c r="AQ42" s="156">
        <f>IF(ISBLANK($A42),,ROUNDDOWN(R42*AO6*1.024,))</f>
        <v>0</v>
      </c>
      <c r="AR42" s="156">
        <f t="shared" si="2"/>
        <v>0</v>
      </c>
      <c r="AS42" s="156">
        <f>IF(ISBLANK($A42),,ROUNDDOWN(V42*AO6*1.024,))</f>
        <v>0</v>
      </c>
      <c r="AT42" s="156">
        <f>IF(ISBLANK($A42),,ROUNDDOWN(X42*AO6*1.024,))</f>
        <v>0</v>
      </c>
    </row>
    <row r="43" spans="1:46">
      <c r="A43" s="10"/>
      <c r="B43" s="10"/>
      <c r="C43" s="10"/>
      <c r="D43" s="10"/>
      <c r="E43" s="10"/>
      <c r="F43" s="9">
        <f>SUM(F8:F42)</f>
        <v>222</v>
      </c>
      <c r="G43" s="9">
        <f>SUM(G8:G42)</f>
        <v>651</v>
      </c>
      <c r="H43" s="9">
        <f>SUM(H8:H42)</f>
        <v>417</v>
      </c>
      <c r="I43" s="9">
        <f>SUM(I8:I42)</f>
        <v>3209</v>
      </c>
      <c r="J43" s="9"/>
      <c r="K43" s="9"/>
      <c r="L43" s="9">
        <f>SUM(L8:L42)</f>
        <v>500</v>
      </c>
      <c r="M43" s="9"/>
      <c r="N43" s="9">
        <f>SUM(N8:N42)</f>
        <v>9000</v>
      </c>
      <c r="O43" s="9"/>
      <c r="P43" s="9">
        <f>SUM(P8:P42)</f>
        <v>13500</v>
      </c>
      <c r="Q43" s="9"/>
      <c r="R43" s="9">
        <f>SUM(R8:R42)</f>
        <v>850</v>
      </c>
      <c r="S43" s="9"/>
      <c r="T43" s="9">
        <f>SUM(T8:T42)</f>
        <v>300</v>
      </c>
      <c r="U43" s="9"/>
      <c r="V43" s="9">
        <f>SUM(V8:V40)</f>
        <v>0</v>
      </c>
      <c r="W43" s="9"/>
      <c r="X43" s="9">
        <f>SUM(X8:X42)</f>
        <v>31056</v>
      </c>
      <c r="Y43" s="156"/>
      <c r="Z43" s="152">
        <f>SUM(Z8:Z40)</f>
        <v>200</v>
      </c>
      <c r="AA43" s="156"/>
      <c r="AB43" s="156">
        <v>50</v>
      </c>
      <c r="AC43" s="156"/>
      <c r="AD43" s="156"/>
      <c r="AE43" s="156"/>
      <c r="AF43" s="156"/>
      <c r="AG43" s="152" t="s">
        <v>621</v>
      </c>
      <c r="AH43" s="152">
        <v>2</v>
      </c>
      <c r="AI43" s="156"/>
      <c r="AJ43" s="156"/>
      <c r="AK43" s="156"/>
      <c r="AL43" s="156"/>
      <c r="AM43" s="156"/>
      <c r="AN43" s="156"/>
      <c r="AO43" s="156"/>
      <c r="AP43" s="156"/>
      <c r="AQ43" s="156"/>
      <c r="AR43" s="156"/>
      <c r="AS43" s="156"/>
      <c r="AT43" s="156"/>
    </row>
    <row r="44" spans="1:46">
      <c r="A44" s="156"/>
      <c r="B44" s="156"/>
      <c r="C44" s="156"/>
      <c r="D44" s="156"/>
      <c r="E44" s="156"/>
      <c r="F44" s="152"/>
      <c r="G44" s="152"/>
      <c r="H44" s="152"/>
      <c r="I44" s="152"/>
      <c r="J44" s="152"/>
      <c r="K44" s="152"/>
      <c r="L44" s="152"/>
      <c r="M44" s="152"/>
      <c r="N44" s="152"/>
      <c r="O44" s="152"/>
      <c r="P44" s="152"/>
      <c r="Q44" s="152"/>
      <c r="R44" s="152"/>
      <c r="S44" s="152"/>
      <c r="T44" s="152"/>
      <c r="U44" s="152"/>
      <c r="V44" s="152"/>
      <c r="W44" s="152"/>
      <c r="X44" s="152"/>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row>
    <row r="46" spans="1:46">
      <c r="A46" s="7" t="s">
        <v>380</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row>
    <row r="47" spans="1:46">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row>
    <row r="48" spans="1:46">
      <c r="A48" s="35" t="s">
        <v>381</v>
      </c>
      <c r="B48" s="35"/>
      <c r="C48" s="35" t="s">
        <v>333</v>
      </c>
      <c r="D48" s="156" t="s">
        <v>453</v>
      </c>
      <c r="E48" s="35" t="s">
        <v>10</v>
      </c>
      <c r="F48" s="154">
        <v>16</v>
      </c>
      <c r="G48" s="154">
        <v>64</v>
      </c>
      <c r="H48" s="154">
        <v>0</v>
      </c>
      <c r="I48" s="157">
        <v>71</v>
      </c>
      <c r="J48" s="154">
        <f t="shared" ref="J48:J72" si="4">G48-H48</f>
        <v>64</v>
      </c>
      <c r="K48" s="154"/>
      <c r="L48" s="35"/>
      <c r="M48" s="35"/>
      <c r="N48" s="35"/>
      <c r="O48" s="35"/>
      <c r="P48" s="35"/>
      <c r="Q48" s="35"/>
      <c r="R48" s="35"/>
      <c r="S48" s="35"/>
      <c r="T48" s="35"/>
      <c r="U48" s="35"/>
      <c r="V48" s="35"/>
      <c r="W48" s="35"/>
      <c r="X48" s="35"/>
      <c r="Y48" s="35"/>
      <c r="Z48" s="35"/>
      <c r="AA48" s="35"/>
      <c r="AB48" s="35"/>
      <c r="AC48" s="35"/>
      <c r="AD48" s="35"/>
      <c r="AE48" s="35"/>
      <c r="AF48" s="154" t="s">
        <v>328</v>
      </c>
      <c r="AG48" s="154" t="s">
        <v>329</v>
      </c>
      <c r="AH48" s="154"/>
      <c r="AI48" s="35"/>
      <c r="AJ48" s="35"/>
      <c r="AK48" s="35">
        <f t="shared" ref="AK48:AK71" si="5">IF(ISBLANK($A48),,G48*1.024)</f>
        <v>65.536000000000001</v>
      </c>
      <c r="AL48" s="35">
        <f t="shared" ref="AL48:AL71" si="6">IF(ISBLANK($A48),,H48*1.024)</f>
        <v>0</v>
      </c>
      <c r="AM48" s="35">
        <f>IF(ISBLANK($A48),,ROUNDDOWN(I48*AO6*1.024,))</f>
        <v>65</v>
      </c>
      <c r="AN48" s="35">
        <f>IF(ISBLANK($A48),,ROUNDDOWN(L48*AO6*1.024,))</f>
        <v>0</v>
      </c>
      <c r="AO48" s="35">
        <f>IF(ISBLANK($A48),,ROUNDDOWN(N48*AO6*1.024,))</f>
        <v>0</v>
      </c>
      <c r="AP48" s="35">
        <f>IF(ISBLANK($A48),,ROUNDDOWN(P48*AO6*1.024,))</f>
        <v>0</v>
      </c>
      <c r="AQ48" s="35">
        <f>IF(ISBLANK($A48),,ROUNDDOWN(R48*AO6*1.024,))</f>
        <v>0</v>
      </c>
      <c r="AR48" s="156">
        <f t="shared" ref="AR48:AR71" si="7">IF(ISBLANK($A48),,ROUNDDOWN(T48*AO$6*1.024,))</f>
        <v>0</v>
      </c>
      <c r="AS48" s="35">
        <f>IF(ISBLANK($A48),,ROUNDDOWN(V48*AO6*1.024,))</f>
        <v>0</v>
      </c>
      <c r="AT48" s="35">
        <f>IF(ISBLANK($A48),,ROUNDDOWN(X48*AO6*1.024,))</f>
        <v>0</v>
      </c>
    </row>
    <row r="49" spans="1:46">
      <c r="A49" s="35" t="s">
        <v>382</v>
      </c>
      <c r="B49" s="35"/>
      <c r="C49" s="35" t="s">
        <v>333</v>
      </c>
      <c r="D49" s="39" t="s">
        <v>362</v>
      </c>
      <c r="E49" s="156" t="s">
        <v>75</v>
      </c>
      <c r="F49" s="154">
        <v>4</v>
      </c>
      <c r="G49" s="154">
        <v>4</v>
      </c>
      <c r="H49" s="154">
        <v>0</v>
      </c>
      <c r="I49" s="154">
        <v>100</v>
      </c>
      <c r="J49" s="154">
        <f t="shared" si="4"/>
        <v>4</v>
      </c>
      <c r="K49" s="154"/>
      <c r="L49" s="35"/>
      <c r="M49" s="35"/>
      <c r="N49" s="35"/>
      <c r="O49" s="35"/>
      <c r="P49" s="35"/>
      <c r="Q49" s="35"/>
      <c r="R49" s="35"/>
      <c r="S49" s="35"/>
      <c r="T49" s="35"/>
      <c r="U49" s="35"/>
      <c r="V49" s="35"/>
      <c r="W49" s="35"/>
      <c r="X49" s="35"/>
      <c r="Y49" s="35"/>
      <c r="Z49" s="35"/>
      <c r="AA49" s="35"/>
      <c r="AB49" s="35"/>
      <c r="AC49" s="35"/>
      <c r="AD49" s="35"/>
      <c r="AE49" s="35"/>
      <c r="AF49" s="154" t="s">
        <v>328</v>
      </c>
      <c r="AG49" s="154" t="s">
        <v>329</v>
      </c>
      <c r="AH49" s="154"/>
      <c r="AI49" s="35"/>
      <c r="AJ49" s="35"/>
      <c r="AK49" s="35">
        <f t="shared" si="5"/>
        <v>4.0960000000000001</v>
      </c>
      <c r="AL49" s="35">
        <f t="shared" si="6"/>
        <v>0</v>
      </c>
      <c r="AM49" s="35">
        <f>IF(ISBLANK($A49),,ROUNDDOWN(I49*AO6*1.024,))</f>
        <v>92</v>
      </c>
      <c r="AN49" s="35">
        <f>IF(ISBLANK($A49),,ROUNDDOWN(L49*AO6*1.024,))</f>
        <v>0</v>
      </c>
      <c r="AO49" s="35">
        <f>IF(ISBLANK($A49),,ROUNDDOWN(N49*AO6*1.024,))</f>
        <v>0</v>
      </c>
      <c r="AP49" s="35">
        <f>IF(ISBLANK($A49),,ROUNDDOWN(P49*AO6*1.024,))</f>
        <v>0</v>
      </c>
      <c r="AQ49" s="35">
        <f>IF(ISBLANK($A49),,ROUNDDOWN(R49*AO6*1.024,))</f>
        <v>0</v>
      </c>
      <c r="AR49" s="156">
        <f t="shared" si="7"/>
        <v>0</v>
      </c>
      <c r="AS49" s="35">
        <f>IF(ISBLANK($A49),,ROUNDDOWN(V49*AO6*1.024,))</f>
        <v>0</v>
      </c>
      <c r="AT49" s="35">
        <f>IF(ISBLANK($A49),,ROUNDDOWN(X49*AO6*1.024,))</f>
        <v>0</v>
      </c>
    </row>
    <row r="50" spans="1:46">
      <c r="A50" s="35" t="s">
        <v>383</v>
      </c>
      <c r="B50" s="35"/>
      <c r="C50" s="35" t="s">
        <v>333</v>
      </c>
      <c r="D50" s="39" t="s">
        <v>362</v>
      </c>
      <c r="E50" s="156" t="s">
        <v>79</v>
      </c>
      <c r="F50" s="154">
        <v>4</v>
      </c>
      <c r="G50" s="154">
        <v>16</v>
      </c>
      <c r="H50" s="154">
        <v>0</v>
      </c>
      <c r="I50" s="152">
        <v>100</v>
      </c>
      <c r="J50" s="154">
        <f t="shared" si="4"/>
        <v>16</v>
      </c>
      <c r="K50" s="154"/>
      <c r="L50" s="35"/>
      <c r="M50" s="35"/>
      <c r="N50" s="35"/>
      <c r="O50" s="35"/>
      <c r="P50" s="35"/>
      <c r="Q50" s="35"/>
      <c r="R50" s="35"/>
      <c r="S50" s="35"/>
      <c r="T50" s="35"/>
      <c r="U50" s="35"/>
      <c r="V50" s="35"/>
      <c r="W50" s="35"/>
      <c r="X50" s="35"/>
      <c r="Y50" s="35"/>
      <c r="Z50" s="35"/>
      <c r="AA50" s="35"/>
      <c r="AB50" s="35"/>
      <c r="AC50" s="35"/>
      <c r="AD50" s="35"/>
      <c r="AE50" s="35"/>
      <c r="AF50" s="154" t="s">
        <v>328</v>
      </c>
      <c r="AG50" s="154" t="s">
        <v>329</v>
      </c>
      <c r="AH50" s="154"/>
      <c r="AI50" s="35"/>
      <c r="AJ50" s="35"/>
      <c r="AK50" s="35">
        <f t="shared" si="5"/>
        <v>16.384</v>
      </c>
      <c r="AL50" s="35">
        <f t="shared" si="6"/>
        <v>0</v>
      </c>
      <c r="AM50" s="35">
        <f>IF(ISBLANK($A50),,ROUNDDOWN(I50*AO6*1.024,))</f>
        <v>92</v>
      </c>
      <c r="AN50" s="35">
        <f>IF(ISBLANK($A50),,ROUNDDOWN(L50*AO6*1.024,))</f>
        <v>0</v>
      </c>
      <c r="AO50" s="35">
        <f>IF(ISBLANK($A50),,ROUNDDOWN(N50*AO6*1.024,))</f>
        <v>0</v>
      </c>
      <c r="AP50" s="35">
        <f>IF(ISBLANK($A50),,ROUNDDOWN(P50*AO6*1.024,))</f>
        <v>0</v>
      </c>
      <c r="AQ50" s="35">
        <f>IF(ISBLANK($A50),,ROUNDDOWN(R50*AO6*1.024,))</f>
        <v>0</v>
      </c>
      <c r="AR50" s="156">
        <f t="shared" si="7"/>
        <v>0</v>
      </c>
      <c r="AS50" s="35">
        <f>IF(ISBLANK($A50),,ROUNDDOWN(V50*AO6*1.024,))</f>
        <v>0</v>
      </c>
      <c r="AT50" s="35">
        <f>IF(ISBLANK($A50),,ROUNDDOWN(X50*AO6*1.024,))</f>
        <v>0</v>
      </c>
    </row>
    <row r="51" spans="1:46">
      <c r="A51" s="35" t="s">
        <v>384</v>
      </c>
      <c r="B51" s="35"/>
      <c r="C51" s="35" t="s">
        <v>333</v>
      </c>
      <c r="D51" s="39" t="s">
        <v>362</v>
      </c>
      <c r="E51" s="156" t="s">
        <v>79</v>
      </c>
      <c r="F51" s="154">
        <v>4</v>
      </c>
      <c r="G51" s="154">
        <v>16</v>
      </c>
      <c r="H51" s="154">
        <v>0</v>
      </c>
      <c r="I51" s="152">
        <v>100</v>
      </c>
      <c r="J51" s="154">
        <f t="shared" si="4"/>
        <v>16</v>
      </c>
      <c r="K51" s="154"/>
      <c r="L51" s="35"/>
      <c r="M51" s="35"/>
      <c r="N51" s="35"/>
      <c r="O51" s="35"/>
      <c r="P51" s="35"/>
      <c r="Q51" s="35"/>
      <c r="R51" s="35"/>
      <c r="S51" s="35"/>
      <c r="T51" s="35"/>
      <c r="U51" s="35"/>
      <c r="V51" s="35"/>
      <c r="W51" s="35"/>
      <c r="X51" s="35"/>
      <c r="Y51" s="35"/>
      <c r="Z51" s="35"/>
      <c r="AA51" s="35"/>
      <c r="AB51" s="35"/>
      <c r="AC51" s="35"/>
      <c r="AD51" s="35"/>
      <c r="AE51" s="35"/>
      <c r="AF51" s="154" t="s">
        <v>328</v>
      </c>
      <c r="AG51" s="154" t="s">
        <v>329</v>
      </c>
      <c r="AH51" s="154"/>
      <c r="AI51" s="35"/>
      <c r="AJ51" s="35"/>
      <c r="AK51" s="35">
        <f t="shared" si="5"/>
        <v>16.384</v>
      </c>
      <c r="AL51" s="35">
        <f t="shared" si="6"/>
        <v>0</v>
      </c>
      <c r="AM51" s="35">
        <f>IF(ISBLANK($A51),,ROUNDDOWN(I51*AO6*1.024,))</f>
        <v>92</v>
      </c>
      <c r="AN51" s="35">
        <f>IF(ISBLANK($A51),,ROUNDDOWN(L51*AO6*1.024,))</f>
        <v>0</v>
      </c>
      <c r="AO51" s="35">
        <f>IF(ISBLANK($A51),,ROUNDDOWN(N51*AO6*1.024,))</f>
        <v>0</v>
      </c>
      <c r="AP51" s="35">
        <f>IF(ISBLANK($A51),,ROUNDDOWN(P51*AO6*1.024,))</f>
        <v>0</v>
      </c>
      <c r="AQ51" s="35">
        <f>IF(ISBLANK($A51),,ROUNDDOWN(R51*AO6*1.024,))</f>
        <v>0</v>
      </c>
      <c r="AR51" s="156">
        <f t="shared" si="7"/>
        <v>0</v>
      </c>
      <c r="AS51" s="35">
        <f>IF(ISBLANK($A51),,ROUNDDOWN(V51*AO6*1.024,))</f>
        <v>0</v>
      </c>
      <c r="AT51" s="35">
        <f>IF(ISBLANK($A51),,ROUNDDOWN(X51*AO6*1.024,))</f>
        <v>0</v>
      </c>
    </row>
    <row r="52" spans="1:46">
      <c r="A52" s="35" t="s">
        <v>494</v>
      </c>
      <c r="B52" s="35"/>
      <c r="C52" s="35" t="s">
        <v>333</v>
      </c>
      <c r="D52" s="39" t="s">
        <v>362</v>
      </c>
      <c r="E52" s="156" t="s">
        <v>79</v>
      </c>
      <c r="F52" s="154">
        <v>4</v>
      </c>
      <c r="G52" s="154">
        <v>16</v>
      </c>
      <c r="H52" s="154">
        <v>0</v>
      </c>
      <c r="I52" s="152">
        <v>100</v>
      </c>
      <c r="J52" s="154">
        <f t="shared" si="4"/>
        <v>16</v>
      </c>
      <c r="K52" s="154"/>
      <c r="L52" s="35"/>
      <c r="M52" s="35"/>
      <c r="N52" s="35"/>
      <c r="O52" s="35"/>
      <c r="P52" s="35"/>
      <c r="Q52" s="35"/>
      <c r="R52" s="35"/>
      <c r="S52" s="35"/>
      <c r="T52" s="35"/>
      <c r="U52" s="35"/>
      <c r="V52" s="35"/>
      <c r="W52" s="35"/>
      <c r="X52" s="35"/>
      <c r="Y52" s="35"/>
      <c r="Z52" s="35"/>
      <c r="AA52" s="35"/>
      <c r="AB52" s="35"/>
      <c r="AC52" s="35"/>
      <c r="AD52" s="35"/>
      <c r="AE52" s="35"/>
      <c r="AF52" s="154" t="s">
        <v>328</v>
      </c>
      <c r="AG52" s="154" t="s">
        <v>329</v>
      </c>
      <c r="AH52" s="154"/>
      <c r="AI52" s="35"/>
      <c r="AJ52" s="35"/>
      <c r="AK52" s="35">
        <f t="shared" si="5"/>
        <v>16.384</v>
      </c>
      <c r="AL52" s="35">
        <f t="shared" si="6"/>
        <v>0</v>
      </c>
      <c r="AM52" s="35">
        <f>IF(ISBLANK($A52),,ROUNDDOWN(I52*AO6*1.024,))</f>
        <v>92</v>
      </c>
      <c r="AN52" s="35">
        <f>IF(ISBLANK($A52),,ROUNDDOWN(L52*AO6*1.024,))</f>
        <v>0</v>
      </c>
      <c r="AO52" s="35">
        <f>IF(ISBLANK($A52),,ROUNDDOWN(N52*AO6*1.024,))</f>
        <v>0</v>
      </c>
      <c r="AP52" s="35">
        <f>IF(ISBLANK($A52),,ROUNDDOWN(P52*AO6*1.024,))</f>
        <v>0</v>
      </c>
      <c r="AQ52" s="35">
        <f>IF(ISBLANK($A52),,ROUNDDOWN(R52*AO6*1.024,))</f>
        <v>0</v>
      </c>
      <c r="AR52" s="156">
        <f t="shared" si="7"/>
        <v>0</v>
      </c>
      <c r="AS52" s="35">
        <f>IF(ISBLANK($A52),,ROUNDDOWN(V52*AO6*1.024,))</f>
        <v>0</v>
      </c>
      <c r="AT52" s="35">
        <f>IF(ISBLANK($A52),,ROUNDDOWN(X52*AO6*1.024,))</f>
        <v>0</v>
      </c>
    </row>
    <row r="53" spans="1:46">
      <c r="A53" s="35" t="s">
        <v>495</v>
      </c>
      <c r="B53" s="35"/>
      <c r="C53" s="35" t="s">
        <v>333</v>
      </c>
      <c r="D53" s="39" t="s">
        <v>362</v>
      </c>
      <c r="E53" s="156" t="s">
        <v>79</v>
      </c>
      <c r="F53" s="154">
        <v>4</v>
      </c>
      <c r="G53" s="154">
        <v>16</v>
      </c>
      <c r="H53" s="154">
        <v>0</v>
      </c>
      <c r="I53" s="152">
        <v>100</v>
      </c>
      <c r="J53" s="154">
        <f t="shared" si="4"/>
        <v>16</v>
      </c>
      <c r="K53" s="154"/>
      <c r="L53" s="35"/>
      <c r="M53" s="35"/>
      <c r="N53" s="35"/>
      <c r="O53" s="35"/>
      <c r="P53" s="35"/>
      <c r="Q53" s="35"/>
      <c r="R53" s="35"/>
      <c r="S53" s="35"/>
      <c r="T53" s="35"/>
      <c r="U53" s="35"/>
      <c r="V53" s="35"/>
      <c r="W53" s="35"/>
      <c r="X53" s="35"/>
      <c r="Y53" s="35"/>
      <c r="Z53" s="35"/>
      <c r="AA53" s="35"/>
      <c r="AB53" s="35"/>
      <c r="AC53" s="35"/>
      <c r="AD53" s="35"/>
      <c r="AE53" s="35"/>
      <c r="AF53" s="154" t="s">
        <v>328</v>
      </c>
      <c r="AG53" s="154" t="s">
        <v>329</v>
      </c>
      <c r="AH53" s="154"/>
      <c r="AI53" s="35"/>
      <c r="AJ53" s="35"/>
      <c r="AK53" s="35">
        <f t="shared" si="5"/>
        <v>16.384</v>
      </c>
      <c r="AL53" s="35">
        <f t="shared" si="6"/>
        <v>0</v>
      </c>
      <c r="AM53" s="35">
        <f>IF(ISBLANK($A53),,ROUNDDOWN(I53*AO6*1.024,))</f>
        <v>92</v>
      </c>
      <c r="AN53" s="35">
        <f>IF(ISBLANK($A53),,ROUNDDOWN(L53*AO6*1.024,))</f>
        <v>0</v>
      </c>
      <c r="AO53" s="35">
        <f>IF(ISBLANK($A53),,ROUNDDOWN(N53*AO6*1.024,))</f>
        <v>0</v>
      </c>
      <c r="AP53" s="35">
        <f>IF(ISBLANK($A53),,ROUNDDOWN(P53*AO6*1.024,))</f>
        <v>0</v>
      </c>
      <c r="AQ53" s="35">
        <f>IF(ISBLANK($A53),,ROUNDDOWN(R53*AO6*1.024,))</f>
        <v>0</v>
      </c>
      <c r="AR53" s="156">
        <f t="shared" si="7"/>
        <v>0</v>
      </c>
      <c r="AS53" s="35">
        <f>IF(ISBLANK($A53),,ROUNDDOWN(V53*AO6*1.024,))</f>
        <v>0</v>
      </c>
      <c r="AT53" s="35">
        <f>IF(ISBLANK($A53),,ROUNDDOWN(X53*AO6*1.024,))</f>
        <v>0</v>
      </c>
    </row>
    <row r="54" spans="1:46">
      <c r="A54" s="35" t="s">
        <v>513</v>
      </c>
      <c r="B54" s="35"/>
      <c r="C54" s="35" t="s">
        <v>333</v>
      </c>
      <c r="D54" s="39" t="s">
        <v>362</v>
      </c>
      <c r="E54" s="156" t="s">
        <v>79</v>
      </c>
      <c r="F54" s="154">
        <v>4</v>
      </c>
      <c r="G54" s="154">
        <v>16</v>
      </c>
      <c r="H54" s="154">
        <v>0</v>
      </c>
      <c r="I54" s="152">
        <v>100</v>
      </c>
      <c r="J54" s="154">
        <f t="shared" si="4"/>
        <v>16</v>
      </c>
      <c r="K54" s="154"/>
      <c r="L54" s="35"/>
      <c r="M54" s="35"/>
      <c r="N54" s="35"/>
      <c r="O54" s="35"/>
      <c r="P54" s="35"/>
      <c r="Q54" s="35"/>
      <c r="R54" s="35"/>
      <c r="S54" s="35"/>
      <c r="T54" s="35"/>
      <c r="U54" s="35"/>
      <c r="V54" s="35"/>
      <c r="W54" s="35"/>
      <c r="X54" s="35"/>
      <c r="Y54" s="35"/>
      <c r="Z54" s="35"/>
      <c r="AA54" s="35"/>
      <c r="AB54" s="35"/>
      <c r="AC54" s="35"/>
      <c r="AD54" s="35"/>
      <c r="AE54" s="35"/>
      <c r="AF54" s="154" t="s">
        <v>328</v>
      </c>
      <c r="AG54" s="154" t="s">
        <v>329</v>
      </c>
      <c r="AH54" s="154"/>
      <c r="AI54" s="35"/>
      <c r="AJ54" s="35"/>
      <c r="AK54" s="35">
        <f t="shared" si="5"/>
        <v>16.384</v>
      </c>
      <c r="AL54" s="35">
        <f t="shared" si="6"/>
        <v>0</v>
      </c>
      <c r="AM54" s="35">
        <f>IF(ISBLANK($A54),,ROUNDDOWN(I54*AO6*1.024,))</f>
        <v>92</v>
      </c>
      <c r="AN54" s="35">
        <f>IF(ISBLANK($A54),,ROUNDDOWN(L54*AO6*1.024,))</f>
        <v>0</v>
      </c>
      <c r="AO54" s="35">
        <f>IF(ISBLANK($A54),,ROUNDDOWN(N54*AO6*1.024,))</f>
        <v>0</v>
      </c>
      <c r="AP54" s="35">
        <f>IF(ISBLANK($A54),,ROUNDDOWN(P54*AO6*1.024,))</f>
        <v>0</v>
      </c>
      <c r="AQ54" s="35">
        <f>IF(ISBLANK($A54),,ROUNDDOWN(R54*AO6*1.024,))</f>
        <v>0</v>
      </c>
      <c r="AR54" s="156">
        <f t="shared" si="7"/>
        <v>0</v>
      </c>
      <c r="AS54" s="35">
        <f>IF(ISBLANK($A54),,ROUNDDOWN(V54*AO6*1.024,))</f>
        <v>0</v>
      </c>
      <c r="AT54" s="35">
        <f>IF(ISBLANK($A54),,ROUNDDOWN(X54*AO6*1.024,))</f>
        <v>0</v>
      </c>
    </row>
    <row r="55" spans="1:46">
      <c r="A55" s="35" t="s">
        <v>514</v>
      </c>
      <c r="B55" s="35"/>
      <c r="C55" s="35" t="s">
        <v>333</v>
      </c>
      <c r="D55" s="39" t="s">
        <v>362</v>
      </c>
      <c r="E55" s="156" t="s">
        <v>79</v>
      </c>
      <c r="F55" s="154">
        <v>4</v>
      </c>
      <c r="G55" s="154">
        <v>16</v>
      </c>
      <c r="H55" s="154">
        <v>0</v>
      </c>
      <c r="I55" s="152">
        <v>100</v>
      </c>
      <c r="J55" s="154">
        <f t="shared" si="4"/>
        <v>16</v>
      </c>
      <c r="K55" s="154"/>
      <c r="L55" s="35"/>
      <c r="M55" s="35"/>
      <c r="N55" s="35"/>
      <c r="O55" s="35"/>
      <c r="P55" s="35"/>
      <c r="Q55" s="35"/>
      <c r="R55" s="35"/>
      <c r="S55" s="35"/>
      <c r="T55" s="35"/>
      <c r="U55" s="35"/>
      <c r="V55" s="35"/>
      <c r="W55" s="35"/>
      <c r="X55" s="35"/>
      <c r="Y55" s="35"/>
      <c r="Z55" s="35"/>
      <c r="AA55" s="35"/>
      <c r="AB55" s="35"/>
      <c r="AC55" s="35"/>
      <c r="AD55" s="35"/>
      <c r="AE55" s="35"/>
      <c r="AF55" s="154" t="s">
        <v>328</v>
      </c>
      <c r="AG55" s="154" t="s">
        <v>329</v>
      </c>
      <c r="AH55" s="154"/>
      <c r="AI55" s="35"/>
      <c r="AJ55" s="35"/>
      <c r="AK55" s="35">
        <f t="shared" si="5"/>
        <v>16.384</v>
      </c>
      <c r="AL55" s="35">
        <f t="shared" si="6"/>
        <v>0</v>
      </c>
      <c r="AM55" s="35">
        <f>IF(ISBLANK($A55),,ROUNDDOWN(I55*AO6*1.024,))</f>
        <v>92</v>
      </c>
      <c r="AN55" s="35">
        <f>IF(ISBLANK($A55),,ROUNDDOWN(L55*AO6*1.024,))</f>
        <v>0</v>
      </c>
      <c r="AO55" s="35">
        <f>IF(ISBLANK($A55),,ROUNDDOWN(N55*AO6*1.024,))</f>
        <v>0</v>
      </c>
      <c r="AP55" s="35">
        <f>IF(ISBLANK($A55),,ROUNDDOWN(P55*AO6*1.024,))</f>
        <v>0</v>
      </c>
      <c r="AQ55" s="35">
        <f>IF(ISBLANK($A55),,ROUNDDOWN(R55*AO6*1.024,))</f>
        <v>0</v>
      </c>
      <c r="AR55" s="156">
        <f t="shared" si="7"/>
        <v>0</v>
      </c>
      <c r="AS55" s="35">
        <f>IF(ISBLANK($A55),,ROUNDDOWN(V55*AO6*1.024,))</f>
        <v>0</v>
      </c>
      <c r="AT55" s="35">
        <f>IF(ISBLANK($A55),,ROUNDDOWN(X55*AO6*1.024,))</f>
        <v>0</v>
      </c>
    </row>
    <row r="56" spans="1:46">
      <c r="A56" s="35" t="s">
        <v>515</v>
      </c>
      <c r="B56" s="35"/>
      <c r="C56" s="35" t="s">
        <v>333</v>
      </c>
      <c r="D56" s="39" t="s">
        <v>362</v>
      </c>
      <c r="E56" s="156" t="s">
        <v>79</v>
      </c>
      <c r="F56" s="154">
        <v>4</v>
      </c>
      <c r="G56" s="154">
        <v>16</v>
      </c>
      <c r="H56" s="154">
        <v>0</v>
      </c>
      <c r="I56" s="152">
        <v>100</v>
      </c>
      <c r="J56" s="154">
        <f t="shared" si="4"/>
        <v>16</v>
      </c>
      <c r="K56" s="154"/>
      <c r="L56" s="35"/>
      <c r="M56" s="35"/>
      <c r="N56" s="35"/>
      <c r="O56" s="35"/>
      <c r="P56" s="35"/>
      <c r="Q56" s="35"/>
      <c r="R56" s="35"/>
      <c r="S56" s="35"/>
      <c r="T56" s="35"/>
      <c r="U56" s="35"/>
      <c r="V56" s="35"/>
      <c r="W56" s="35"/>
      <c r="X56" s="35"/>
      <c r="Y56" s="35"/>
      <c r="Z56" s="35"/>
      <c r="AA56" s="35"/>
      <c r="AB56" s="35"/>
      <c r="AC56" s="35"/>
      <c r="AD56" s="35"/>
      <c r="AE56" s="35"/>
      <c r="AF56" s="154" t="s">
        <v>328</v>
      </c>
      <c r="AG56" s="154" t="s">
        <v>329</v>
      </c>
      <c r="AH56" s="154"/>
      <c r="AI56" s="35"/>
      <c r="AJ56" s="35"/>
      <c r="AK56" s="35">
        <f t="shared" si="5"/>
        <v>16.384</v>
      </c>
      <c r="AL56" s="35">
        <f t="shared" si="6"/>
        <v>0</v>
      </c>
      <c r="AM56" s="35">
        <f>IF(ISBLANK($A56),,ROUNDDOWN(I56*AO6*1.024,))</f>
        <v>92</v>
      </c>
      <c r="AN56" s="35">
        <f>IF(ISBLANK($A56),,ROUNDDOWN(L56*AO6*1.024,))</f>
        <v>0</v>
      </c>
      <c r="AO56" s="35">
        <f>IF(ISBLANK($A56),,ROUNDDOWN(N56*AO6*1.024,))</f>
        <v>0</v>
      </c>
      <c r="AP56" s="35">
        <f>IF(ISBLANK($A56),,ROUNDDOWN(P56*AO6*1.024,))</f>
        <v>0</v>
      </c>
      <c r="AQ56" s="35">
        <f>IF(ISBLANK($A56),,ROUNDDOWN(R56*AO6*1.024,))</f>
        <v>0</v>
      </c>
      <c r="AR56" s="156">
        <f t="shared" si="7"/>
        <v>0</v>
      </c>
      <c r="AS56" s="35">
        <f>IF(ISBLANK($A56),,ROUNDDOWN(V56*AO6*1.024,))</f>
        <v>0</v>
      </c>
      <c r="AT56" s="35">
        <f>IF(ISBLANK($A56),,ROUNDDOWN(X56*AO6*1.024,))</f>
        <v>0</v>
      </c>
    </row>
    <row r="57" spans="1:46">
      <c r="A57" s="35" t="s">
        <v>385</v>
      </c>
      <c r="B57" s="35"/>
      <c r="C57" s="35" t="s">
        <v>333</v>
      </c>
      <c r="D57" s="39" t="s">
        <v>362</v>
      </c>
      <c r="E57" s="156" t="s">
        <v>77</v>
      </c>
      <c r="F57" s="154">
        <v>4</v>
      </c>
      <c r="G57" s="154">
        <v>14</v>
      </c>
      <c r="H57" s="154">
        <v>0</v>
      </c>
      <c r="I57" s="154">
        <v>100</v>
      </c>
      <c r="J57" s="154">
        <f t="shared" si="4"/>
        <v>14</v>
      </c>
      <c r="K57" s="154"/>
      <c r="L57" s="35"/>
      <c r="M57" s="35"/>
      <c r="N57" s="35"/>
      <c r="O57" s="35"/>
      <c r="P57" s="35"/>
      <c r="Q57" s="35"/>
      <c r="R57" s="35"/>
      <c r="S57" s="35"/>
      <c r="T57" s="35"/>
      <c r="U57" s="35"/>
      <c r="V57" s="35"/>
      <c r="W57" s="35"/>
      <c r="X57" s="35"/>
      <c r="Y57" s="35"/>
      <c r="Z57" s="35"/>
      <c r="AA57" s="35"/>
      <c r="AB57" s="35"/>
      <c r="AC57" s="35"/>
      <c r="AD57" s="35"/>
      <c r="AE57" s="35"/>
      <c r="AF57" s="154" t="s">
        <v>328</v>
      </c>
      <c r="AG57" s="154" t="s">
        <v>329</v>
      </c>
      <c r="AH57" s="154"/>
      <c r="AI57" s="35"/>
      <c r="AJ57" s="35"/>
      <c r="AK57" s="35">
        <f t="shared" si="5"/>
        <v>14.336</v>
      </c>
      <c r="AL57" s="35">
        <f t="shared" si="6"/>
        <v>0</v>
      </c>
      <c r="AM57" s="35">
        <f>IF(ISBLANK($A57),,ROUNDDOWN(I57*AO6*1.024,))</f>
        <v>92</v>
      </c>
      <c r="AN57" s="35">
        <f>IF(ISBLANK($A57),,ROUNDDOWN(L57*AO6*1.024,))</f>
        <v>0</v>
      </c>
      <c r="AO57" s="35">
        <f>IF(ISBLANK($A57),,ROUNDDOWN(N57*AO6*1.024,))</f>
        <v>0</v>
      </c>
      <c r="AP57" s="35">
        <f>IF(ISBLANK($A57),,ROUNDDOWN(P57*AO6*1.024,))</f>
        <v>0</v>
      </c>
      <c r="AQ57" s="35">
        <f>IF(ISBLANK($A57),,ROUNDDOWN(R57*AO6*1.024,))</f>
        <v>0</v>
      </c>
      <c r="AR57" s="156">
        <f t="shared" si="7"/>
        <v>0</v>
      </c>
      <c r="AS57" s="35">
        <f>IF(ISBLANK($A57),,ROUNDDOWN(V57*AO6*1.024,))</f>
        <v>0</v>
      </c>
      <c r="AT57" s="35">
        <f>IF(ISBLANK($A57),,ROUNDDOWN(X57*AO6*1.024,))</f>
        <v>0</v>
      </c>
    </row>
    <row r="58" spans="1:46">
      <c r="A58" s="35" t="s">
        <v>516</v>
      </c>
      <c r="B58" s="35"/>
      <c r="C58" s="35" t="s">
        <v>333</v>
      </c>
      <c r="D58" s="39" t="s">
        <v>362</v>
      </c>
      <c r="E58" s="156" t="s">
        <v>79</v>
      </c>
      <c r="F58" s="154">
        <v>4</v>
      </c>
      <c r="G58" s="154">
        <v>16</v>
      </c>
      <c r="H58" s="154">
        <v>0</v>
      </c>
      <c r="I58" s="152">
        <v>100</v>
      </c>
      <c r="J58" s="154">
        <f t="shared" si="4"/>
        <v>16</v>
      </c>
      <c r="K58" s="154"/>
      <c r="L58" s="35"/>
      <c r="M58" s="35"/>
      <c r="N58" s="35"/>
      <c r="O58" s="35"/>
      <c r="P58" s="35"/>
      <c r="Q58" s="35"/>
      <c r="R58" s="35"/>
      <c r="S58" s="35"/>
      <c r="T58" s="35"/>
      <c r="U58" s="35"/>
      <c r="V58" s="35"/>
      <c r="W58" s="35"/>
      <c r="X58" s="35"/>
      <c r="Y58" s="35"/>
      <c r="Z58" s="35"/>
      <c r="AA58" s="35"/>
      <c r="AB58" s="35"/>
      <c r="AC58" s="35"/>
      <c r="AD58" s="35"/>
      <c r="AE58" s="35"/>
      <c r="AF58" s="154" t="s">
        <v>328</v>
      </c>
      <c r="AG58" s="154" t="s">
        <v>329</v>
      </c>
      <c r="AH58" s="154"/>
      <c r="AI58" s="35"/>
      <c r="AJ58" s="35"/>
      <c r="AK58" s="35">
        <f t="shared" si="5"/>
        <v>16.384</v>
      </c>
      <c r="AL58" s="35">
        <f t="shared" si="6"/>
        <v>0</v>
      </c>
      <c r="AM58" s="35">
        <f>IF(ISBLANK($A58),,ROUNDDOWN(I58*AO6*1.024,))</f>
        <v>92</v>
      </c>
      <c r="AN58" s="35">
        <f>IF(ISBLANK($A58),,ROUNDDOWN(L58*AO6*1.024,))</f>
        <v>0</v>
      </c>
      <c r="AO58" s="35">
        <f>IF(ISBLANK($A58),,ROUNDDOWN(N58*AO6*1.024,))</f>
        <v>0</v>
      </c>
      <c r="AP58" s="35">
        <f>IF(ISBLANK($A58),,ROUNDDOWN(P58*AO6*1.024,))</f>
        <v>0</v>
      </c>
      <c r="AQ58" s="35">
        <f>IF(ISBLANK($A58),,ROUNDDOWN(R58*AO6*1.024,))</f>
        <v>0</v>
      </c>
      <c r="AR58" s="156">
        <f t="shared" si="7"/>
        <v>0</v>
      </c>
      <c r="AS58" s="35">
        <f>IF(ISBLANK($A58),,ROUNDDOWN(V58*AO6*1.024,))</f>
        <v>0</v>
      </c>
      <c r="AT58" s="35">
        <f>IF(ISBLANK($A58),,ROUNDDOWN(X58*AO6*1.024,))</f>
        <v>0</v>
      </c>
    </row>
    <row r="59" spans="1:46">
      <c r="A59" s="35" t="s">
        <v>386</v>
      </c>
      <c r="B59" s="35"/>
      <c r="C59" s="35" t="s">
        <v>333</v>
      </c>
      <c r="D59" s="156" t="s">
        <v>453</v>
      </c>
      <c r="E59" s="35" t="s">
        <v>110</v>
      </c>
      <c r="F59" s="154">
        <v>6</v>
      </c>
      <c r="G59" s="154">
        <v>20</v>
      </c>
      <c r="H59" s="154">
        <v>0</v>
      </c>
      <c r="I59" s="154">
        <v>201</v>
      </c>
      <c r="J59" s="154">
        <f t="shared" si="4"/>
        <v>20</v>
      </c>
      <c r="K59" s="154"/>
      <c r="L59" s="35"/>
      <c r="M59" s="35"/>
      <c r="N59" s="35"/>
      <c r="O59" s="35"/>
      <c r="P59" s="35"/>
      <c r="Q59" s="35"/>
      <c r="R59" s="35"/>
      <c r="S59" s="35"/>
      <c r="T59" s="35"/>
      <c r="U59" s="35"/>
      <c r="V59" s="35"/>
      <c r="W59" s="35"/>
      <c r="X59" s="35"/>
      <c r="Y59" s="35"/>
      <c r="Z59" s="35"/>
      <c r="AA59" s="35"/>
      <c r="AB59" s="35"/>
      <c r="AC59" s="35"/>
      <c r="AD59" s="35"/>
      <c r="AE59" s="35"/>
      <c r="AF59" s="154" t="s">
        <v>328</v>
      </c>
      <c r="AG59" s="154" t="s">
        <v>329</v>
      </c>
      <c r="AH59" s="154"/>
      <c r="AI59" s="35"/>
      <c r="AJ59" s="35"/>
      <c r="AK59" s="35">
        <f t="shared" si="5"/>
        <v>20.48</v>
      </c>
      <c r="AL59" s="35">
        <f t="shared" si="6"/>
        <v>0</v>
      </c>
      <c r="AM59" s="35">
        <f>IF(ISBLANK($A59),,ROUNDDOWN(I59*AO6*1.024,))</f>
        <v>185</v>
      </c>
      <c r="AN59" s="35">
        <f>IF(ISBLANK($A59),,ROUNDDOWN(L59*AO6*1.024,))</f>
        <v>0</v>
      </c>
      <c r="AO59" s="35">
        <f>IF(ISBLANK($A59),,ROUNDDOWN(N59*AO6*1.024,))</f>
        <v>0</v>
      </c>
      <c r="AP59" s="35">
        <f>IF(ISBLANK($A59),,ROUNDDOWN(P59*AO6*1.024,))</f>
        <v>0</v>
      </c>
      <c r="AQ59" s="35">
        <f>IF(ISBLANK($A59),,ROUNDDOWN(R59*AO6*1.024,))</f>
        <v>0</v>
      </c>
      <c r="AR59" s="156">
        <f t="shared" si="7"/>
        <v>0</v>
      </c>
      <c r="AS59" s="35">
        <f>IF(ISBLANK($A59),,ROUNDDOWN(V59*AO6*1.024,))</f>
        <v>0</v>
      </c>
      <c r="AT59" s="35">
        <f>IF(ISBLANK($A59),,ROUNDDOWN(X59*AO6*1.024,))</f>
        <v>0</v>
      </c>
    </row>
    <row r="60" spans="1:46">
      <c r="A60" s="35" t="s">
        <v>387</v>
      </c>
      <c r="B60" s="35"/>
      <c r="C60" s="35" t="s">
        <v>333</v>
      </c>
      <c r="D60" s="156" t="s">
        <v>453</v>
      </c>
      <c r="E60" s="35" t="s">
        <v>110</v>
      </c>
      <c r="F60" s="154">
        <v>6</v>
      </c>
      <c r="G60" s="154">
        <v>20</v>
      </c>
      <c r="H60" s="154">
        <v>0</v>
      </c>
      <c r="I60" s="177">
        <v>201</v>
      </c>
      <c r="J60" s="154">
        <f t="shared" si="4"/>
        <v>20</v>
      </c>
      <c r="K60" s="154"/>
      <c r="L60" s="35"/>
      <c r="M60" s="35"/>
      <c r="N60" s="35"/>
      <c r="O60" s="35"/>
      <c r="P60" s="35"/>
      <c r="Q60" s="35"/>
      <c r="R60" s="35"/>
      <c r="S60" s="35"/>
      <c r="T60" s="35"/>
      <c r="U60" s="35"/>
      <c r="V60" s="35"/>
      <c r="W60" s="35"/>
      <c r="X60" s="35"/>
      <c r="Y60" s="35"/>
      <c r="Z60" s="35"/>
      <c r="AA60" s="35"/>
      <c r="AB60" s="35"/>
      <c r="AC60" s="35"/>
      <c r="AD60" s="35"/>
      <c r="AE60" s="35"/>
      <c r="AF60" s="154" t="s">
        <v>328</v>
      </c>
      <c r="AG60" s="154" t="s">
        <v>329</v>
      </c>
      <c r="AH60" s="154"/>
      <c r="AI60" s="35"/>
      <c r="AJ60" s="35"/>
      <c r="AK60" s="35">
        <f t="shared" si="5"/>
        <v>20.48</v>
      </c>
      <c r="AL60" s="35">
        <f t="shared" si="6"/>
        <v>0</v>
      </c>
      <c r="AM60" s="35">
        <f>IF(ISBLANK($A60),,ROUNDDOWN(I60*AO6*1.024,))</f>
        <v>185</v>
      </c>
      <c r="AN60" s="35">
        <f>IF(ISBLANK($A60),,ROUNDDOWN(L60*AO6*1.024,))</f>
        <v>0</v>
      </c>
      <c r="AO60" s="35">
        <f>IF(ISBLANK($A60),,ROUNDDOWN(N60*AO6*1.024,))</f>
        <v>0</v>
      </c>
      <c r="AP60" s="35">
        <f>IF(ISBLANK($A60),,ROUNDDOWN(P60*AO6*1.024,))</f>
        <v>0</v>
      </c>
      <c r="AQ60" s="35">
        <f>IF(ISBLANK($A60),,ROUNDDOWN(R60*AO6*1.024,))</f>
        <v>0</v>
      </c>
      <c r="AR60" s="156">
        <f t="shared" si="7"/>
        <v>0</v>
      </c>
      <c r="AS60" s="35">
        <f>IF(ISBLANK($A60),,ROUNDDOWN(V60*AO6*1.024,))</f>
        <v>0</v>
      </c>
      <c r="AT60" s="35">
        <f>IF(ISBLANK($A60),,ROUNDDOWN(X60*AO6*1.024,))</f>
        <v>0</v>
      </c>
    </row>
    <row r="61" spans="1:46">
      <c r="A61" s="35" t="s">
        <v>496</v>
      </c>
      <c r="B61" s="35"/>
      <c r="C61" s="35" t="s">
        <v>333</v>
      </c>
      <c r="D61" s="156" t="s">
        <v>453</v>
      </c>
      <c r="E61" s="35" t="s">
        <v>110</v>
      </c>
      <c r="F61" s="154">
        <v>6</v>
      </c>
      <c r="G61" s="154">
        <v>20</v>
      </c>
      <c r="H61" s="154">
        <v>0</v>
      </c>
      <c r="I61" s="177">
        <v>201</v>
      </c>
      <c r="J61" s="154">
        <f t="shared" si="4"/>
        <v>20</v>
      </c>
      <c r="K61" s="154"/>
      <c r="L61" s="35"/>
      <c r="M61" s="35"/>
      <c r="N61" s="35"/>
      <c r="O61" s="35"/>
      <c r="P61" s="35"/>
      <c r="Q61" s="35"/>
      <c r="R61" s="35"/>
      <c r="S61" s="35"/>
      <c r="T61" s="35"/>
      <c r="U61" s="35"/>
      <c r="V61" s="35"/>
      <c r="W61" s="35"/>
      <c r="X61" s="35"/>
      <c r="Y61" s="35"/>
      <c r="Z61" s="35"/>
      <c r="AA61" s="35"/>
      <c r="AB61" s="35"/>
      <c r="AC61" s="35"/>
      <c r="AD61" s="35"/>
      <c r="AE61" s="35"/>
      <c r="AF61" s="154" t="s">
        <v>328</v>
      </c>
      <c r="AG61" s="154" t="s">
        <v>329</v>
      </c>
      <c r="AH61" s="154"/>
      <c r="AI61" s="35"/>
      <c r="AJ61" s="35"/>
      <c r="AK61" s="35">
        <f t="shared" si="5"/>
        <v>20.48</v>
      </c>
      <c r="AL61" s="35">
        <f t="shared" si="6"/>
        <v>0</v>
      </c>
      <c r="AM61" s="35">
        <f>IF(ISBLANK($A61),,ROUNDDOWN(I61*AO6*1.024,))</f>
        <v>185</v>
      </c>
      <c r="AN61" s="35">
        <f>IF(ISBLANK($A61),,ROUNDDOWN(L61*AO6*1.024,))</f>
        <v>0</v>
      </c>
      <c r="AO61" s="35">
        <f>IF(ISBLANK($A61),,ROUNDDOWN(N61*AO6*1.024,))</f>
        <v>0</v>
      </c>
      <c r="AP61" s="35">
        <f>IF(ISBLANK($A61),,ROUNDDOWN(P61*AO6*1.024,))</f>
        <v>0</v>
      </c>
      <c r="AQ61" s="35">
        <f>IF(ISBLANK($A61),,ROUNDDOWN(R61*AO6*1.024,))</f>
        <v>0</v>
      </c>
      <c r="AR61" s="156">
        <f t="shared" si="7"/>
        <v>0</v>
      </c>
      <c r="AS61" s="35">
        <f>IF(ISBLANK($A61),,ROUNDDOWN(V61*AO6*1.024,))</f>
        <v>0</v>
      </c>
      <c r="AT61" s="35">
        <f>IF(ISBLANK($A61),,ROUNDDOWN(X61*AO6*1.024,))</f>
        <v>0</v>
      </c>
    </row>
    <row r="62" spans="1:46">
      <c r="A62" s="35" t="s">
        <v>497</v>
      </c>
      <c r="B62" s="35"/>
      <c r="C62" s="35" t="s">
        <v>333</v>
      </c>
      <c r="D62" s="156" t="s">
        <v>453</v>
      </c>
      <c r="E62" s="35" t="s">
        <v>110</v>
      </c>
      <c r="F62" s="154">
        <v>6</v>
      </c>
      <c r="G62" s="154">
        <v>20</v>
      </c>
      <c r="H62" s="154">
        <v>0</v>
      </c>
      <c r="I62" s="177">
        <v>201</v>
      </c>
      <c r="J62" s="154">
        <f t="shared" si="4"/>
        <v>20</v>
      </c>
      <c r="K62" s="154"/>
      <c r="L62" s="35"/>
      <c r="M62" s="35"/>
      <c r="N62" s="35"/>
      <c r="O62" s="35"/>
      <c r="P62" s="35"/>
      <c r="Q62" s="35"/>
      <c r="R62" s="35"/>
      <c r="S62" s="35"/>
      <c r="T62" s="35"/>
      <c r="U62" s="35"/>
      <c r="V62" s="35"/>
      <c r="W62" s="35"/>
      <c r="X62" s="35"/>
      <c r="Y62" s="35"/>
      <c r="Z62" s="35"/>
      <c r="AA62" s="35"/>
      <c r="AB62" s="35"/>
      <c r="AC62" s="35"/>
      <c r="AD62" s="35"/>
      <c r="AE62" s="35"/>
      <c r="AF62" s="154" t="s">
        <v>328</v>
      </c>
      <c r="AG62" s="154" t="s">
        <v>329</v>
      </c>
      <c r="AH62" s="154"/>
      <c r="AI62" s="35"/>
      <c r="AJ62" s="35"/>
      <c r="AK62" s="35">
        <f t="shared" si="5"/>
        <v>20.48</v>
      </c>
      <c r="AL62" s="35">
        <f t="shared" si="6"/>
        <v>0</v>
      </c>
      <c r="AM62" s="35">
        <f>IF(ISBLANK($A62),,ROUNDDOWN(I62*AO6*1.024,))</f>
        <v>185</v>
      </c>
      <c r="AN62" s="35">
        <f>IF(ISBLANK($A62),,ROUNDDOWN(L62*AO6*1.024,))</f>
        <v>0</v>
      </c>
      <c r="AO62" s="35">
        <f>IF(ISBLANK($A62),,ROUNDDOWN(N62*AO6*1.024,))</f>
        <v>0</v>
      </c>
      <c r="AP62" s="35">
        <f>IF(ISBLANK($A62),,ROUNDDOWN(P62*AO6*1.024,))</f>
        <v>0</v>
      </c>
      <c r="AQ62" s="35">
        <f>IF(ISBLANK($A62),,ROUNDDOWN(R62*AO6*1.024,))</f>
        <v>0</v>
      </c>
      <c r="AR62" s="156">
        <f t="shared" si="7"/>
        <v>0</v>
      </c>
      <c r="AS62" s="35">
        <f>IF(ISBLANK($A62),,ROUNDDOWN(V62*AO6*1.024,))</f>
        <v>0</v>
      </c>
      <c r="AT62" s="35">
        <f>IF(ISBLANK($A62),,ROUNDDOWN(X62*AO6*1.024,))</f>
        <v>0</v>
      </c>
    </row>
    <row r="63" spans="1:46">
      <c r="A63" s="35" t="s">
        <v>388</v>
      </c>
      <c r="B63" s="35"/>
      <c r="C63" s="35" t="s">
        <v>333</v>
      </c>
      <c r="D63" s="156" t="s">
        <v>453</v>
      </c>
      <c r="E63" s="35" t="s">
        <v>30</v>
      </c>
      <c r="F63" s="154">
        <v>2</v>
      </c>
      <c r="G63" s="154">
        <v>4</v>
      </c>
      <c r="H63" s="154">
        <v>0</v>
      </c>
      <c r="I63" s="154">
        <v>41</v>
      </c>
      <c r="J63" s="154">
        <f t="shared" si="4"/>
        <v>4</v>
      </c>
      <c r="K63" s="154"/>
      <c r="L63" s="35"/>
      <c r="M63" s="35"/>
      <c r="N63" s="35"/>
      <c r="O63" s="35"/>
      <c r="P63" s="35"/>
      <c r="Q63" s="35"/>
      <c r="R63" s="35"/>
      <c r="S63" s="35"/>
      <c r="T63" s="35"/>
      <c r="U63" s="35"/>
      <c r="V63" s="35"/>
      <c r="W63" s="35"/>
      <c r="X63" s="35"/>
      <c r="Y63" s="35"/>
      <c r="Z63" s="35"/>
      <c r="AA63" s="35"/>
      <c r="AB63" s="35"/>
      <c r="AC63" s="35"/>
      <c r="AD63" s="35"/>
      <c r="AE63" s="35"/>
      <c r="AF63" s="154" t="s">
        <v>328</v>
      </c>
      <c r="AG63" s="154" t="s">
        <v>329</v>
      </c>
      <c r="AH63" s="154"/>
      <c r="AI63" s="35"/>
      <c r="AJ63" s="35"/>
      <c r="AK63" s="35">
        <f t="shared" si="5"/>
        <v>4.0960000000000001</v>
      </c>
      <c r="AL63" s="35">
        <f t="shared" si="6"/>
        <v>0</v>
      </c>
      <c r="AM63" s="35">
        <f>IF(ISBLANK($A63),,ROUNDDOWN(I63*AO6*1.024,))</f>
        <v>37</v>
      </c>
      <c r="AN63" s="35">
        <f>IF(ISBLANK($A63),,ROUNDDOWN(L63*AO6*1.024,))</f>
        <v>0</v>
      </c>
      <c r="AO63" s="35">
        <f>IF(ISBLANK($A63),,ROUNDDOWN(N63*AO6*1.024,))</f>
        <v>0</v>
      </c>
      <c r="AP63" s="35">
        <f>IF(ISBLANK($A63),,ROUNDDOWN(P63*AO6*1.024,))</f>
        <v>0</v>
      </c>
      <c r="AQ63" s="35">
        <f>IF(ISBLANK($A63),,ROUNDDOWN(R63*AO6*1.024,))</f>
        <v>0</v>
      </c>
      <c r="AR63" s="156">
        <f t="shared" si="7"/>
        <v>0</v>
      </c>
      <c r="AS63" s="35">
        <f>IF(ISBLANK($A63),,ROUNDDOWN(V63*AO6*1.024,))</f>
        <v>0</v>
      </c>
      <c r="AT63" s="35">
        <f>IF(ISBLANK($A63),,ROUNDDOWN(X63*AO6*1.024,))</f>
        <v>0</v>
      </c>
    </row>
    <row r="64" spans="1:46">
      <c r="A64" s="35" t="s">
        <v>389</v>
      </c>
      <c r="B64" s="35"/>
      <c r="C64" s="35" t="s">
        <v>333</v>
      </c>
      <c r="D64" s="156" t="s">
        <v>453</v>
      </c>
      <c r="E64" s="35" t="s">
        <v>22</v>
      </c>
      <c r="F64" s="154">
        <v>2</v>
      </c>
      <c r="G64" s="154">
        <v>4</v>
      </c>
      <c r="H64" s="154">
        <v>0</v>
      </c>
      <c r="I64" s="154">
        <v>31</v>
      </c>
      <c r="J64" s="154">
        <f t="shared" si="4"/>
        <v>4</v>
      </c>
      <c r="K64" s="154"/>
      <c r="L64" s="35"/>
      <c r="M64" s="35"/>
      <c r="N64" s="35"/>
      <c r="O64" s="35"/>
      <c r="P64" s="35"/>
      <c r="Q64" s="35"/>
      <c r="R64" s="35"/>
      <c r="S64" s="35"/>
      <c r="T64" s="35"/>
      <c r="U64" s="35"/>
      <c r="V64" s="35"/>
      <c r="W64" s="35"/>
      <c r="X64" s="35"/>
      <c r="Y64" s="35"/>
      <c r="Z64" s="35"/>
      <c r="AA64" s="35"/>
      <c r="AB64" s="35"/>
      <c r="AC64" s="35"/>
      <c r="AD64" s="35"/>
      <c r="AE64" s="35"/>
      <c r="AF64" s="154" t="s">
        <v>328</v>
      </c>
      <c r="AG64" s="154" t="s">
        <v>329</v>
      </c>
      <c r="AH64" s="154"/>
      <c r="AI64" s="35"/>
      <c r="AJ64" s="35"/>
      <c r="AK64" s="35">
        <f t="shared" si="5"/>
        <v>4.0960000000000001</v>
      </c>
      <c r="AL64" s="35">
        <f t="shared" si="6"/>
        <v>0</v>
      </c>
      <c r="AM64" s="35">
        <f>IF(ISBLANK($A64),,ROUNDDOWN(I64*AO6*1.024,))</f>
        <v>28</v>
      </c>
      <c r="AN64" s="35">
        <f>IF(ISBLANK($A64),,ROUNDDOWN(L64*AO6*1.024,))</f>
        <v>0</v>
      </c>
      <c r="AO64" s="35">
        <f>IF(ISBLANK($A64),,ROUNDDOWN(N64*AO6*1.024,))</f>
        <v>0</v>
      </c>
      <c r="AP64" s="35">
        <f>IF(ISBLANK($A64),,ROUNDDOWN(P64*AO6*1.024,))</f>
        <v>0</v>
      </c>
      <c r="AQ64" s="35">
        <f>IF(ISBLANK($A64),,ROUNDDOWN(R64*AO6*1.024,))</f>
        <v>0</v>
      </c>
      <c r="AR64" s="156">
        <f t="shared" si="7"/>
        <v>0</v>
      </c>
      <c r="AS64" s="35">
        <f>IF(ISBLANK($A64),,ROUNDDOWN(V64*AO6*1.024,))</f>
        <v>0</v>
      </c>
      <c r="AT64" s="35">
        <f>IF(ISBLANK($A64),,ROUNDDOWN(X64*AO6*1.024,))</f>
        <v>0</v>
      </c>
    </row>
    <row r="65" spans="1:46">
      <c r="A65" s="35" t="s">
        <v>390</v>
      </c>
      <c r="B65" s="35"/>
      <c r="C65" s="35" t="s">
        <v>333</v>
      </c>
      <c r="D65" s="156" t="s">
        <v>453</v>
      </c>
      <c r="E65" s="35" t="s">
        <v>26</v>
      </c>
      <c r="F65" s="154">
        <v>4</v>
      </c>
      <c r="G65" s="154">
        <v>4</v>
      </c>
      <c r="H65" s="154">
        <v>0</v>
      </c>
      <c r="I65" s="154">
        <v>31</v>
      </c>
      <c r="J65" s="154">
        <f t="shared" si="4"/>
        <v>4</v>
      </c>
      <c r="K65" s="154"/>
      <c r="L65" s="35"/>
      <c r="M65" s="35"/>
      <c r="N65" s="35"/>
      <c r="O65" s="35"/>
      <c r="P65" s="35"/>
      <c r="Q65" s="35"/>
      <c r="R65" s="35"/>
      <c r="S65" s="35"/>
      <c r="T65" s="35"/>
      <c r="U65" s="35"/>
      <c r="V65" s="35"/>
      <c r="W65" s="35"/>
      <c r="X65" s="35"/>
      <c r="Y65" s="35"/>
      <c r="Z65" s="35"/>
      <c r="AA65" s="35"/>
      <c r="AB65" s="35"/>
      <c r="AC65" s="35"/>
      <c r="AD65" s="35"/>
      <c r="AE65" s="35"/>
      <c r="AF65" s="154" t="s">
        <v>328</v>
      </c>
      <c r="AG65" s="154" t="s">
        <v>329</v>
      </c>
      <c r="AH65" s="154"/>
      <c r="AI65" s="35"/>
      <c r="AJ65" s="35"/>
      <c r="AK65" s="35">
        <f t="shared" si="5"/>
        <v>4.0960000000000001</v>
      </c>
      <c r="AL65" s="35">
        <f t="shared" si="6"/>
        <v>0</v>
      </c>
      <c r="AM65" s="35">
        <f>IF(ISBLANK($A65),,ROUNDDOWN(I65*AO6*1.024,))</f>
        <v>28</v>
      </c>
      <c r="AN65" s="35">
        <f>IF(ISBLANK($A65),,ROUNDDOWN(L65*AO6*1.024,))</f>
        <v>0</v>
      </c>
      <c r="AO65" s="35">
        <f>IF(ISBLANK($A65),,ROUNDDOWN(N65*AO6*1.024,))</f>
        <v>0</v>
      </c>
      <c r="AP65" s="35">
        <f>IF(ISBLANK($A65),,ROUNDDOWN(P65*AO6*1.024,))</f>
        <v>0</v>
      </c>
      <c r="AQ65" s="35">
        <f>IF(ISBLANK($A65),,ROUNDDOWN(R65*AO6*1.024,))</f>
        <v>0</v>
      </c>
      <c r="AR65" s="156">
        <f t="shared" si="7"/>
        <v>0</v>
      </c>
      <c r="AS65" s="35">
        <f>IF(ISBLANK($A65),,ROUNDDOWN(V65*AO6*1.024,))</f>
        <v>0</v>
      </c>
      <c r="AT65" s="35">
        <f>IF(ISBLANK($A65),,ROUNDDOWN(X65*AO6*1.024,))</f>
        <v>0</v>
      </c>
    </row>
    <row r="66" spans="1:46" ht="15">
      <c r="A66" s="35" t="s">
        <v>391</v>
      </c>
      <c r="B66" s="35"/>
      <c r="C66" s="35" t="s">
        <v>333</v>
      </c>
      <c r="D66" s="156" t="s">
        <v>453</v>
      </c>
      <c r="E66" s="35" t="s">
        <v>38</v>
      </c>
      <c r="F66" s="154">
        <v>6</v>
      </c>
      <c r="G66" s="154">
        <v>7</v>
      </c>
      <c r="H66" s="154">
        <v>0</v>
      </c>
      <c r="I66" s="152">
        <v>111</v>
      </c>
      <c r="J66" s="154">
        <f t="shared" si="4"/>
        <v>7</v>
      </c>
      <c r="K66" s="40"/>
      <c r="L66" s="154"/>
      <c r="M66" s="154"/>
      <c r="N66" s="40"/>
      <c r="O66" s="41"/>
      <c r="P66" s="154"/>
      <c r="Q66" s="154"/>
      <c r="R66" s="154"/>
      <c r="S66" s="154"/>
      <c r="T66" s="154"/>
      <c r="U66" s="154"/>
      <c r="V66" s="154"/>
      <c r="W66" s="35"/>
      <c r="X66" s="154"/>
      <c r="Y66" s="35"/>
      <c r="Z66" s="154"/>
      <c r="AA66" s="154"/>
      <c r="AB66" s="154"/>
      <c r="AC66" s="154"/>
      <c r="AD66" s="154"/>
      <c r="AE66" s="154"/>
      <c r="AF66" s="154" t="s">
        <v>328</v>
      </c>
      <c r="AG66" s="154" t="s">
        <v>329</v>
      </c>
      <c r="AH66" s="154" t="s">
        <v>329</v>
      </c>
      <c r="AI66" s="35"/>
      <c r="AJ66" s="35"/>
      <c r="AK66" s="35">
        <f t="shared" si="5"/>
        <v>7.1680000000000001</v>
      </c>
      <c r="AL66" s="35">
        <f t="shared" si="6"/>
        <v>0</v>
      </c>
      <c r="AM66" s="35">
        <f>IF(ISBLANK($A66),,ROUNDDOWN(I66*AO6*1.024,))</f>
        <v>102</v>
      </c>
      <c r="AN66" s="35">
        <f>IF(ISBLANK($A66),,ROUNDDOWN(L66*AO6*1.024,))</f>
        <v>0</v>
      </c>
      <c r="AO66" s="35">
        <f>IF(ISBLANK($A66),,ROUNDDOWN(N66*AO6*1.024,))</f>
        <v>0</v>
      </c>
      <c r="AP66" s="35">
        <f>IF(ISBLANK($A66),,ROUNDDOWN(P66*AO6*1.024,))</f>
        <v>0</v>
      </c>
      <c r="AQ66" s="35">
        <f>IF(ISBLANK($A66),,ROUNDDOWN(R66*AO6*1.024,))</f>
        <v>0</v>
      </c>
      <c r="AR66" s="156">
        <f t="shared" si="7"/>
        <v>0</v>
      </c>
      <c r="AS66" s="35">
        <f>IF(ISBLANK($A66),,ROUNDDOWN(V66*AO6*1.024,))</f>
        <v>0</v>
      </c>
      <c r="AT66" s="35">
        <f>IF(ISBLANK($A66),,ROUNDDOWN(X66*AO6*1.024,))</f>
        <v>0</v>
      </c>
    </row>
    <row r="67" spans="1:46" ht="15">
      <c r="A67" s="35" t="s">
        <v>517</v>
      </c>
      <c r="B67" s="35"/>
      <c r="C67" s="35" t="s">
        <v>333</v>
      </c>
      <c r="D67" s="156" t="s">
        <v>453</v>
      </c>
      <c r="E67" s="35" t="s">
        <v>38</v>
      </c>
      <c r="F67" s="154">
        <v>6</v>
      </c>
      <c r="G67" s="154">
        <v>7</v>
      </c>
      <c r="H67" s="154">
        <v>0</v>
      </c>
      <c r="I67" s="152">
        <v>111</v>
      </c>
      <c r="J67" s="154">
        <f t="shared" si="4"/>
        <v>7</v>
      </c>
      <c r="K67" s="40"/>
      <c r="L67" s="154"/>
      <c r="M67" s="154"/>
      <c r="N67" s="40"/>
      <c r="O67" s="41"/>
      <c r="P67" s="154"/>
      <c r="Q67" s="154"/>
      <c r="R67" s="154"/>
      <c r="S67" s="154"/>
      <c r="T67" s="154"/>
      <c r="U67" s="154"/>
      <c r="V67" s="154"/>
      <c r="W67" s="35"/>
      <c r="X67" s="154"/>
      <c r="Y67" s="35"/>
      <c r="Z67" s="154"/>
      <c r="AA67" s="154"/>
      <c r="AB67" s="154"/>
      <c r="AC67" s="154"/>
      <c r="AD67" s="154"/>
      <c r="AE67" s="154"/>
      <c r="AF67" s="154" t="s">
        <v>328</v>
      </c>
      <c r="AG67" s="154" t="s">
        <v>329</v>
      </c>
      <c r="AH67" s="154"/>
      <c r="AI67" s="35"/>
      <c r="AJ67" s="35"/>
      <c r="AK67" s="35">
        <f t="shared" si="5"/>
        <v>7.1680000000000001</v>
      </c>
      <c r="AL67" s="35">
        <f t="shared" si="6"/>
        <v>0</v>
      </c>
      <c r="AM67" s="35">
        <f>IF(ISBLANK($A67),,ROUNDDOWN(I67*AO6*1.024,))</f>
        <v>102</v>
      </c>
      <c r="AN67" s="35">
        <f>IF(ISBLANK($A67),,ROUNDDOWN(L67*AO6*1.024,))</f>
        <v>0</v>
      </c>
      <c r="AO67" s="35">
        <f>IF(ISBLANK($A67),,ROUNDDOWN(N67*AO6*1.024,))</f>
        <v>0</v>
      </c>
      <c r="AP67" s="35">
        <f>IF(ISBLANK($A67),,ROUNDDOWN(P67*AO6*1.024,))</f>
        <v>0</v>
      </c>
      <c r="AQ67" s="35">
        <f>IF(ISBLANK($A67),,ROUNDDOWN(R67*AO6*1.024,))</f>
        <v>0</v>
      </c>
      <c r="AR67" s="156">
        <f t="shared" si="7"/>
        <v>0</v>
      </c>
      <c r="AS67" s="35">
        <f>IF(ISBLANK($A67),,ROUNDDOWN(V67*AO6*1.024,))</f>
        <v>0</v>
      </c>
      <c r="AT67" s="35">
        <f>IF(ISBLANK($A67),,ROUNDDOWN(X67*AO6*1.024,))</f>
        <v>0</v>
      </c>
    </row>
    <row r="68" spans="1:46" ht="15">
      <c r="A68" s="156" t="s">
        <v>392</v>
      </c>
      <c r="B68" s="156"/>
      <c r="C68" s="156" t="s">
        <v>333</v>
      </c>
      <c r="D68" s="156" t="s">
        <v>453</v>
      </c>
      <c r="E68" s="156" t="s">
        <v>49</v>
      </c>
      <c r="F68" s="152">
        <v>2</v>
      </c>
      <c r="G68" s="152">
        <v>2</v>
      </c>
      <c r="H68" s="152">
        <v>0</v>
      </c>
      <c r="I68" s="152">
        <v>16</v>
      </c>
      <c r="J68" s="154">
        <f t="shared" si="4"/>
        <v>2</v>
      </c>
      <c r="K68" s="40"/>
      <c r="L68" s="154"/>
      <c r="M68" s="154"/>
      <c r="N68" s="40"/>
      <c r="O68" s="41"/>
      <c r="P68" s="154"/>
      <c r="Q68" s="154"/>
      <c r="R68" s="154"/>
      <c r="S68" s="154"/>
      <c r="T68" s="154"/>
      <c r="U68" s="154"/>
      <c r="V68" s="154"/>
      <c r="W68" s="35"/>
      <c r="X68" s="154"/>
      <c r="Y68" s="35"/>
      <c r="Z68" s="154"/>
      <c r="AA68" s="154"/>
      <c r="AB68" s="154"/>
      <c r="AC68" s="154"/>
      <c r="AD68" s="154"/>
      <c r="AE68" s="154"/>
      <c r="AF68" s="154" t="s">
        <v>328</v>
      </c>
      <c r="AG68" s="154" t="s">
        <v>329</v>
      </c>
      <c r="AH68" s="154"/>
      <c r="AI68" s="35"/>
      <c r="AJ68" s="35"/>
      <c r="AK68" s="35">
        <f t="shared" si="5"/>
        <v>2.048</v>
      </c>
      <c r="AL68" s="35">
        <f t="shared" si="6"/>
        <v>0</v>
      </c>
      <c r="AM68" s="35">
        <f>IF(ISBLANK($A68),,ROUNDDOWN(I68*AO6*1.024,))</f>
        <v>14</v>
      </c>
      <c r="AN68" s="35">
        <f>IF(ISBLANK($A68),,ROUNDDOWN(L68*AO6*1.024,))</f>
        <v>0</v>
      </c>
      <c r="AO68" s="35">
        <f>IF(ISBLANK($A68),,ROUNDDOWN(N68*AO6*1.024,))</f>
        <v>0</v>
      </c>
      <c r="AP68" s="35">
        <f>IF(ISBLANK($A68),,ROUNDDOWN(P68*AO6*1.024,))</f>
        <v>0</v>
      </c>
      <c r="AQ68" s="35">
        <f>IF(ISBLANK($A68),,ROUNDDOWN(R68*AO6*1.024,))</f>
        <v>0</v>
      </c>
      <c r="AR68" s="156">
        <f t="shared" si="7"/>
        <v>0</v>
      </c>
      <c r="AS68" s="35">
        <f>IF(ISBLANK($A68),,ROUNDDOWN(V68*AO6*1.024,))</f>
        <v>0</v>
      </c>
      <c r="AT68" s="35">
        <f>IF(ISBLANK($A68),,ROUNDDOWN(X68*AO6*1.024,))</f>
        <v>0</v>
      </c>
    </row>
    <row r="69" spans="1:46" ht="15">
      <c r="A69" s="156" t="s">
        <v>393</v>
      </c>
      <c r="B69" s="156"/>
      <c r="C69" s="156" t="s">
        <v>333</v>
      </c>
      <c r="D69" s="156" t="s">
        <v>453</v>
      </c>
      <c r="E69" s="156" t="s">
        <v>49</v>
      </c>
      <c r="F69" s="152">
        <v>2</v>
      </c>
      <c r="G69" s="152">
        <v>2</v>
      </c>
      <c r="H69" s="152">
        <v>0</v>
      </c>
      <c r="I69" s="152">
        <v>16</v>
      </c>
      <c r="J69" s="154">
        <f t="shared" si="4"/>
        <v>2</v>
      </c>
      <c r="K69" s="40"/>
      <c r="L69" s="154"/>
      <c r="M69" s="154"/>
      <c r="N69" s="40"/>
      <c r="O69" s="41"/>
      <c r="P69" s="154"/>
      <c r="Q69" s="154"/>
      <c r="R69" s="154"/>
      <c r="S69" s="154"/>
      <c r="T69" s="154"/>
      <c r="U69" s="154"/>
      <c r="V69" s="154"/>
      <c r="W69" s="35"/>
      <c r="X69" s="154"/>
      <c r="Y69" s="35"/>
      <c r="Z69" s="154"/>
      <c r="AA69" s="154"/>
      <c r="AB69" s="154"/>
      <c r="AC69" s="154"/>
      <c r="AD69" s="154"/>
      <c r="AE69" s="154"/>
      <c r="AF69" s="154" t="s">
        <v>328</v>
      </c>
      <c r="AG69" s="154" t="s">
        <v>329</v>
      </c>
      <c r="AH69" s="154"/>
      <c r="AI69" s="35"/>
      <c r="AJ69" s="35"/>
      <c r="AK69" s="35">
        <f t="shared" si="5"/>
        <v>2.048</v>
      </c>
      <c r="AL69" s="35">
        <f t="shared" si="6"/>
        <v>0</v>
      </c>
      <c r="AM69" s="35">
        <f>IF(ISBLANK($A69),,ROUNDDOWN(I69*AO6*1.024,))</f>
        <v>14</v>
      </c>
      <c r="AN69" s="35">
        <f>IF(ISBLANK($A69),,ROUNDDOWN(L69*AO6*1.024,))</f>
        <v>0</v>
      </c>
      <c r="AO69" s="35">
        <f>IF(ISBLANK($A69),,ROUNDDOWN(N69*AO6*1.024,))</f>
        <v>0</v>
      </c>
      <c r="AP69" s="35">
        <f>IF(ISBLANK($A69),,ROUNDDOWN(P69*AO6*1.024,))</f>
        <v>0</v>
      </c>
      <c r="AQ69" s="35">
        <f>IF(ISBLANK($A69),,ROUNDDOWN(R69*AO6*1.024,))</f>
        <v>0</v>
      </c>
      <c r="AR69" s="156">
        <f t="shared" si="7"/>
        <v>0</v>
      </c>
      <c r="AS69" s="35">
        <f>IF(ISBLANK($A69),,ROUNDDOWN(V69*AO6*1.024,))</f>
        <v>0</v>
      </c>
      <c r="AT69" s="35">
        <f>IF(ISBLANK($A69),,ROUNDDOWN(X69*AO6*1.024,))</f>
        <v>0</v>
      </c>
    </row>
    <row r="70" spans="1:46" ht="15">
      <c r="A70" s="156" t="s">
        <v>394</v>
      </c>
      <c r="B70" s="156"/>
      <c r="C70" s="156" t="s">
        <v>333</v>
      </c>
      <c r="D70" s="156" t="s">
        <v>453</v>
      </c>
      <c r="E70" s="156" t="s">
        <v>53</v>
      </c>
      <c r="F70" s="152">
        <v>6</v>
      </c>
      <c r="G70" s="152">
        <v>5</v>
      </c>
      <c r="H70" s="152">
        <v>0</v>
      </c>
      <c r="I70" s="152">
        <v>41</v>
      </c>
      <c r="J70" s="154">
        <f t="shared" si="4"/>
        <v>5</v>
      </c>
      <c r="K70" s="40"/>
      <c r="L70" s="154"/>
      <c r="M70" s="154"/>
      <c r="N70" s="40"/>
      <c r="O70" s="41"/>
      <c r="P70" s="154"/>
      <c r="Q70" s="154"/>
      <c r="R70" s="154"/>
      <c r="S70" s="154"/>
      <c r="T70" s="154"/>
      <c r="U70" s="154"/>
      <c r="V70" s="154"/>
      <c r="W70" s="35"/>
      <c r="X70" s="154"/>
      <c r="Y70" s="35"/>
      <c r="Z70" s="154"/>
      <c r="AA70" s="154"/>
      <c r="AB70" s="154"/>
      <c r="AC70" s="154"/>
      <c r="AD70" s="154"/>
      <c r="AE70" s="154"/>
      <c r="AF70" s="154" t="s">
        <v>328</v>
      </c>
      <c r="AG70" s="154" t="s">
        <v>329</v>
      </c>
      <c r="AH70" s="154"/>
      <c r="AI70" s="35"/>
      <c r="AJ70" s="35"/>
      <c r="AK70" s="35">
        <f t="shared" si="5"/>
        <v>5.12</v>
      </c>
      <c r="AL70" s="35">
        <f t="shared" si="6"/>
        <v>0</v>
      </c>
      <c r="AM70" s="35">
        <f>IF(ISBLANK($A70),,ROUNDDOWN(I70*AO6*1.024,))</f>
        <v>37</v>
      </c>
      <c r="AN70" s="35">
        <f>IF(ISBLANK($A70),,ROUNDDOWN(L70*AO6*1.024,))</f>
        <v>0</v>
      </c>
      <c r="AO70" s="35">
        <f>IF(ISBLANK($A70),,ROUNDDOWN(N70*AO6*1.024,))</f>
        <v>0</v>
      </c>
      <c r="AP70" s="35">
        <f>IF(ISBLANK($A70),,ROUNDDOWN(P70*AO6*1.024,))</f>
        <v>0</v>
      </c>
      <c r="AQ70" s="35">
        <f>IF(ISBLANK($A70),,ROUNDDOWN(R70*AO6*1.024,))</f>
        <v>0</v>
      </c>
      <c r="AR70" s="156">
        <f t="shared" si="7"/>
        <v>0</v>
      </c>
      <c r="AS70" s="35">
        <f>IF(ISBLANK($A70),,ROUNDDOWN(V70*AO6*1.024,))</f>
        <v>0</v>
      </c>
      <c r="AT70" s="35">
        <f>IF(ISBLANK($A70),,ROUNDDOWN(X70*AO6*1.024,))</f>
        <v>0</v>
      </c>
    </row>
    <row r="71" spans="1:46" ht="15">
      <c r="A71" s="156" t="s">
        <v>395</v>
      </c>
      <c r="B71" s="156"/>
      <c r="C71" s="156" t="s">
        <v>333</v>
      </c>
      <c r="D71" s="156" t="s">
        <v>453</v>
      </c>
      <c r="E71" s="156" t="s">
        <v>57</v>
      </c>
      <c r="F71" s="152">
        <v>2</v>
      </c>
      <c r="G71" s="152">
        <v>2</v>
      </c>
      <c r="H71" s="152">
        <v>0</v>
      </c>
      <c r="I71" s="152">
        <v>31</v>
      </c>
      <c r="J71" s="152">
        <f t="shared" si="4"/>
        <v>2</v>
      </c>
      <c r="K71" s="40"/>
      <c r="L71" s="154"/>
      <c r="M71" s="154"/>
      <c r="N71" s="40"/>
      <c r="O71" s="41"/>
      <c r="P71" s="154"/>
      <c r="Q71" s="154"/>
      <c r="R71" s="154"/>
      <c r="S71" s="154"/>
      <c r="T71" s="154"/>
      <c r="U71" s="154"/>
      <c r="V71" s="154"/>
      <c r="W71" s="35"/>
      <c r="X71" s="154"/>
      <c r="Y71" s="115"/>
      <c r="Z71" s="114"/>
      <c r="AA71" s="114"/>
      <c r="AB71" s="114"/>
      <c r="AC71" s="114"/>
      <c r="AD71" s="114"/>
      <c r="AE71" s="114"/>
      <c r="AF71" s="114" t="s">
        <v>328</v>
      </c>
      <c r="AG71" s="114" t="s">
        <v>329</v>
      </c>
      <c r="AH71" s="114"/>
      <c r="AI71" s="35"/>
      <c r="AJ71" s="35"/>
      <c r="AK71" s="35">
        <f t="shared" si="5"/>
        <v>2.048</v>
      </c>
      <c r="AL71" s="35">
        <f t="shared" si="6"/>
        <v>0</v>
      </c>
      <c r="AM71" s="35">
        <f>IF(ISBLANK($A71),,ROUNDDOWN(I71*AO6*1.024,))</f>
        <v>28</v>
      </c>
      <c r="AN71" s="35">
        <f>IF(ISBLANK($A71),,ROUNDDOWN(L71*AO6*1.024,))</f>
        <v>0</v>
      </c>
      <c r="AO71" s="35">
        <f>IF(ISBLANK($A71),,ROUNDDOWN(N71*AO6*1.024,))</f>
        <v>0</v>
      </c>
      <c r="AP71" s="35">
        <f>IF(ISBLANK($A71),,ROUNDDOWN(P71*AO6*1.024,))</f>
        <v>0</v>
      </c>
      <c r="AQ71" s="35">
        <f>IF(ISBLANK($A71),,ROUNDDOWN(R71*AO6*1.024,))</f>
        <v>0</v>
      </c>
      <c r="AR71" s="156">
        <f t="shared" si="7"/>
        <v>0</v>
      </c>
      <c r="AS71" s="35">
        <f>IF(ISBLANK($A71),,ROUNDDOWN(V71*AO6*1.024,))</f>
        <v>0</v>
      </c>
      <c r="AT71" s="35">
        <f>IF(ISBLANK($A71),,ROUNDDOWN(X71*AO$6*1.024,))</f>
        <v>0</v>
      </c>
    </row>
    <row r="72" spans="1:46" s="42" customFormat="1" ht="15">
      <c r="A72" s="13" t="s">
        <v>655</v>
      </c>
      <c r="B72" s="13"/>
      <c r="C72" s="13" t="s">
        <v>333</v>
      </c>
      <c r="D72" s="13" t="s">
        <v>326</v>
      </c>
      <c r="E72" s="13" t="s">
        <v>656</v>
      </c>
      <c r="F72" s="8">
        <v>12</v>
      </c>
      <c r="G72" s="8">
        <v>24</v>
      </c>
      <c r="H72" s="8">
        <v>0</v>
      </c>
      <c r="I72" s="8">
        <v>2098</v>
      </c>
      <c r="J72" s="8">
        <f t="shared" si="4"/>
        <v>24</v>
      </c>
      <c r="K72" s="99"/>
      <c r="L72" s="36"/>
      <c r="M72" s="36"/>
      <c r="N72" s="99"/>
      <c r="O72" s="163"/>
      <c r="P72" s="36"/>
      <c r="Q72" s="36"/>
      <c r="R72" s="36"/>
      <c r="S72" s="36"/>
      <c r="T72" s="36"/>
      <c r="U72" s="36"/>
      <c r="V72" s="36"/>
      <c r="X72" s="36"/>
      <c r="Z72" s="36"/>
      <c r="AA72" s="36"/>
      <c r="AB72" s="36"/>
      <c r="AC72" s="36"/>
      <c r="AD72" s="36"/>
      <c r="AE72" s="36"/>
      <c r="AF72" s="36" t="s">
        <v>328</v>
      </c>
      <c r="AG72" s="36" t="s">
        <v>329</v>
      </c>
      <c r="AH72" s="36"/>
      <c r="AK72" s="42">
        <f>IF(ISBLANK($A72),,G72*1.024)</f>
        <v>24.576000000000001</v>
      </c>
      <c r="AL72" s="42">
        <f>IF(ISBLANK($A72),,H72*1.024)</f>
        <v>0</v>
      </c>
      <c r="AM72" s="42">
        <f>IF(ISBLANK($A72),,ROUNDDOWN(I72*AO$6*1.024,))</f>
        <v>1933</v>
      </c>
      <c r="AN72" s="42">
        <f>IF(ISBLANK($A72),,ROUNDDOWN(L72*AO$6*1.024,))</f>
        <v>0</v>
      </c>
      <c r="AO72" s="42">
        <f>IF(ISBLANK($A72),,ROUNDDOWN(N72*AO$6*1.024,))</f>
        <v>0</v>
      </c>
      <c r="AP72" s="42">
        <f>IF(ISBLANK($A72),,ROUNDDOWN(P72*AO$6*1.024,))</f>
        <v>0</v>
      </c>
      <c r="AQ72" s="42">
        <f>IF(ISBLANK($A72),,ROUNDDOWN(R72*AO$6*1.024,))</f>
        <v>0</v>
      </c>
      <c r="AR72" s="42">
        <f>IF(ISBLANK($A72),,ROUNDDOWN(V72*AO$6*1.024,))</f>
        <v>0</v>
      </c>
      <c r="AS72" s="42">
        <f>IF(ISBLANK($A72),,ROUNDDOWN(X72*AO$6*1.024,))</f>
        <v>0</v>
      </c>
      <c r="AT72" s="35">
        <f>IF(ISBLANK($A72),,ROUNDDOWN(X72*AO$6*1.024,))</f>
        <v>0</v>
      </c>
    </row>
    <row r="73" spans="1:46">
      <c r="A73" s="115"/>
      <c r="B73" s="115"/>
      <c r="C73" s="115"/>
      <c r="D73" s="115"/>
      <c r="E73" s="115"/>
      <c r="F73" s="114">
        <f>SUM(F48:F72)+F43</f>
        <v>346</v>
      </c>
      <c r="G73" s="114">
        <f>SUM(G48:G72)+G43</f>
        <v>1002</v>
      </c>
      <c r="H73" s="114">
        <f>SUM(H48:H72)+H43</f>
        <v>417</v>
      </c>
      <c r="I73" s="114">
        <f>SUM(I48:I72)+I43</f>
        <v>7611</v>
      </c>
      <c r="J73" s="114"/>
      <c r="K73" s="114"/>
      <c r="L73" s="114">
        <f>SUM(L48:L72)+L43</f>
        <v>500</v>
      </c>
      <c r="M73" s="114"/>
      <c r="N73" s="114">
        <f>SUM(N48:N72)+N43</f>
        <v>9000</v>
      </c>
      <c r="O73" s="114"/>
      <c r="P73" s="114">
        <f>SUM(P48:P72)+P43</f>
        <v>13500</v>
      </c>
      <c r="Q73" s="114"/>
      <c r="R73" s="114">
        <f>SUM(R48:R72)+R43</f>
        <v>850</v>
      </c>
      <c r="S73" s="114"/>
      <c r="T73" s="114">
        <f>SUM(T48:T72)+T43</f>
        <v>300</v>
      </c>
      <c r="U73" s="114"/>
      <c r="V73" s="114">
        <f>SUM(V48:V72)+V43</f>
        <v>0</v>
      </c>
      <c r="W73" s="114"/>
      <c r="X73" s="114">
        <f>SUM(X48:X72)+X43</f>
        <v>31056</v>
      </c>
      <c r="Y73" s="35"/>
      <c r="Z73" s="114">
        <f>SUM(Z48:Z72)+Z43</f>
        <v>200</v>
      </c>
      <c r="AA73" s="35"/>
      <c r="AB73" s="114">
        <f>SUM(AB48:AB72)+AB43</f>
        <v>50</v>
      </c>
      <c r="AC73" s="35"/>
      <c r="AD73" s="114">
        <f>SUM(AD48:AD72)+AD43</f>
        <v>0</v>
      </c>
      <c r="AE73" s="35"/>
      <c r="AF73" s="35"/>
      <c r="AG73" s="154" t="s">
        <v>530</v>
      </c>
      <c r="AH73" s="154">
        <f>3</f>
        <v>3</v>
      </c>
      <c r="AI73" s="35"/>
      <c r="AJ73" s="35"/>
      <c r="AK73" s="35"/>
      <c r="AL73" s="35"/>
      <c r="AM73" s="35"/>
      <c r="AN73" s="35"/>
      <c r="AO73" s="35"/>
      <c r="AP73" s="35"/>
      <c r="AQ73" s="35"/>
      <c r="AR73" s="35"/>
      <c r="AS73" s="35"/>
      <c r="AT73" s="35"/>
    </row>
    <row r="74" spans="1:46">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row>
    <row r="75" spans="1:46">
      <c r="A75" s="7" t="s">
        <v>424</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row>
    <row r="76" spans="1:4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row>
    <row r="77" spans="1:46">
      <c r="A77" s="156" t="s">
        <v>425</v>
      </c>
      <c r="B77" s="156"/>
      <c r="C77" s="156" t="s">
        <v>426</v>
      </c>
      <c r="D77" s="156" t="s">
        <v>427</v>
      </c>
      <c r="E77" s="156" t="s">
        <v>8</v>
      </c>
      <c r="F77" s="152">
        <v>2</v>
      </c>
      <c r="G77" s="152">
        <v>4</v>
      </c>
      <c r="H77" s="152">
        <v>4</v>
      </c>
      <c r="I77" s="152">
        <v>350</v>
      </c>
      <c r="J77" s="152">
        <f t="shared" ref="J77:J82" si="8">G77-H77</f>
        <v>0</v>
      </c>
      <c r="K77" s="154" t="s">
        <v>428</v>
      </c>
      <c r="L77" s="154"/>
      <c r="M77" s="154"/>
      <c r="N77" s="154"/>
      <c r="O77" s="154"/>
      <c r="P77" s="154"/>
      <c r="Q77" s="154"/>
      <c r="R77" s="154"/>
      <c r="S77" s="154"/>
      <c r="T77" s="154"/>
      <c r="U77" s="154"/>
      <c r="V77" s="154"/>
      <c r="W77" s="35"/>
      <c r="X77" s="35"/>
      <c r="Y77" s="35"/>
      <c r="Z77" s="154"/>
      <c r="AA77" s="154"/>
      <c r="AB77" s="154"/>
      <c r="AC77" s="154"/>
      <c r="AD77" s="154"/>
      <c r="AE77" s="154"/>
      <c r="AF77" s="154" t="s">
        <v>328</v>
      </c>
      <c r="AG77" s="154" t="s">
        <v>329</v>
      </c>
      <c r="AH77" s="154"/>
      <c r="AI77" s="35"/>
      <c r="AJ77" s="35"/>
      <c r="AK77" s="35">
        <f t="shared" ref="AK77:AL84" si="9">IF(ISBLANK($A77),,G77*1.024)</f>
        <v>4.0960000000000001</v>
      </c>
      <c r="AL77" s="35">
        <f t="shared" si="9"/>
        <v>4.0960000000000001</v>
      </c>
      <c r="AM77" s="35">
        <f>IF(ISBLANK($A77),,ROUNDDOWN(I77*AO6*1.024,))</f>
        <v>322</v>
      </c>
      <c r="AN77" s="35">
        <f>IF(ISBLANK($A77),,ROUNDDOWN(L77*AO6*1.024,))</f>
        <v>0</v>
      </c>
      <c r="AO77" s="35">
        <f>IF(ISBLANK($A77),,ROUNDDOWN(N77*AO6*1.024,))</f>
        <v>0</v>
      </c>
      <c r="AP77" s="35">
        <f>IF(ISBLANK($A77),,ROUNDDOWN(P77*AO6*1.024,))</f>
        <v>0</v>
      </c>
      <c r="AQ77" s="35">
        <f>IF(ISBLANK($A77),,ROUNDDOWN(R77*AO6*1.024,))</f>
        <v>0</v>
      </c>
      <c r="AR77" s="156">
        <f t="shared" ref="AR77:AR84" si="10">IF(ISBLANK($A77),,ROUNDDOWN(T77*AO$6*1.024,))</f>
        <v>0</v>
      </c>
      <c r="AS77" s="35">
        <f>IF(ISBLANK($A77),,ROUNDDOWN(V77*AO6*1.024,))</f>
        <v>0</v>
      </c>
      <c r="AT77" s="35">
        <f>IF(ISBLANK($A77),,ROUNDDOWN(X77*AO6*1.024,))</f>
        <v>0</v>
      </c>
    </row>
    <row r="78" spans="1:46">
      <c r="A78" s="156" t="s">
        <v>429</v>
      </c>
      <c r="B78" s="156"/>
      <c r="C78" s="156" t="s">
        <v>426</v>
      </c>
      <c r="D78" s="156" t="s">
        <v>427</v>
      </c>
      <c r="E78" s="156" t="s">
        <v>430</v>
      </c>
      <c r="F78" s="152">
        <v>6</v>
      </c>
      <c r="G78" s="152">
        <v>10</v>
      </c>
      <c r="H78" s="152">
        <v>10</v>
      </c>
      <c r="I78" s="152">
        <v>100</v>
      </c>
      <c r="J78" s="152">
        <f t="shared" si="8"/>
        <v>0</v>
      </c>
      <c r="K78" s="154" t="s">
        <v>428</v>
      </c>
      <c r="L78" s="154"/>
      <c r="M78" s="154"/>
      <c r="N78" s="154">
        <v>200</v>
      </c>
      <c r="O78" s="154" t="s">
        <v>431</v>
      </c>
      <c r="P78" s="154"/>
      <c r="Q78" s="154"/>
      <c r="R78" s="154"/>
      <c r="S78" s="154"/>
      <c r="T78" s="154"/>
      <c r="U78" s="154"/>
      <c r="V78" s="154"/>
      <c r="W78" s="35"/>
      <c r="X78" s="35"/>
      <c r="Y78" s="35"/>
      <c r="Z78" s="154"/>
      <c r="AA78" s="154"/>
      <c r="AB78" s="154"/>
      <c r="AC78" s="154"/>
      <c r="AD78" s="154"/>
      <c r="AE78" s="154"/>
      <c r="AF78" s="154" t="s">
        <v>328</v>
      </c>
      <c r="AG78" s="154" t="s">
        <v>329</v>
      </c>
      <c r="AH78" s="154"/>
      <c r="AI78" s="35"/>
      <c r="AJ78" s="35"/>
      <c r="AK78" s="35">
        <f t="shared" si="9"/>
        <v>10.24</v>
      </c>
      <c r="AL78" s="35">
        <f t="shared" si="9"/>
        <v>10.24</v>
      </c>
      <c r="AM78" s="35">
        <f>IF(ISBLANK($A78),,ROUNDDOWN(I78*AO6*1.024,))</f>
        <v>92</v>
      </c>
      <c r="AN78" s="35">
        <f>IF(ISBLANK($A78),,ROUNDDOWN(L78*AO6*1.024,))</f>
        <v>0</v>
      </c>
      <c r="AO78" s="35">
        <f>IF(ISBLANK($A78),,ROUNDDOWN(N78*AO6*1.024,))</f>
        <v>184</v>
      </c>
      <c r="AP78" s="35">
        <f>IF(ISBLANK($A78),,ROUNDDOWN(P78*AO6*1.024,))</f>
        <v>0</v>
      </c>
      <c r="AQ78" s="35">
        <f>IF(ISBLANK($A78),,ROUNDDOWN(R78*AO6*1.024,))</f>
        <v>0</v>
      </c>
      <c r="AR78" s="156">
        <f t="shared" si="10"/>
        <v>0</v>
      </c>
      <c r="AS78" s="35">
        <f>IF(ISBLANK($A78),,ROUNDDOWN(V78*AO6*1.024,))</f>
        <v>0</v>
      </c>
      <c r="AT78" s="35">
        <f>IF(ISBLANK($A78),,ROUNDDOWN(X78*AO6*1.024,))</f>
        <v>0</v>
      </c>
    </row>
    <row r="79" spans="1:46">
      <c r="A79" s="156" t="s">
        <v>432</v>
      </c>
      <c r="B79" s="156"/>
      <c r="C79" s="156" t="s">
        <v>426</v>
      </c>
      <c r="D79" s="156" t="s">
        <v>427</v>
      </c>
      <c r="E79" s="156" t="s">
        <v>433</v>
      </c>
      <c r="F79" s="152">
        <v>8</v>
      </c>
      <c r="G79" s="152">
        <v>16</v>
      </c>
      <c r="H79" s="152">
        <v>16</v>
      </c>
      <c r="I79" s="152">
        <v>60</v>
      </c>
      <c r="J79" s="152">
        <f t="shared" si="8"/>
        <v>0</v>
      </c>
      <c r="K79" s="154" t="s">
        <v>434</v>
      </c>
      <c r="L79" s="154"/>
      <c r="M79" s="154"/>
      <c r="N79" s="154"/>
      <c r="O79" s="154"/>
      <c r="P79" s="154"/>
      <c r="Q79" s="154"/>
      <c r="R79" s="154"/>
      <c r="S79" s="154"/>
      <c r="T79" s="154"/>
      <c r="U79" s="154"/>
      <c r="V79" s="154"/>
      <c r="W79" s="35"/>
      <c r="X79" s="35"/>
      <c r="Y79" s="35"/>
      <c r="Z79" s="154"/>
      <c r="AA79" s="154"/>
      <c r="AB79" s="154"/>
      <c r="AC79" s="154"/>
      <c r="AD79" s="154"/>
      <c r="AE79" s="154"/>
      <c r="AF79" s="154" t="s">
        <v>346</v>
      </c>
      <c r="AG79" s="152" t="s">
        <v>347</v>
      </c>
      <c r="AH79" s="154"/>
      <c r="AI79" s="35"/>
      <c r="AJ79" s="35"/>
      <c r="AK79" s="35">
        <f t="shared" si="9"/>
        <v>16.384</v>
      </c>
      <c r="AL79" s="35">
        <f t="shared" si="9"/>
        <v>16.384</v>
      </c>
      <c r="AM79" s="35">
        <f>IF(ISBLANK($A79),,ROUNDDOWN(I79*AO6*1.024,))</f>
        <v>55</v>
      </c>
      <c r="AN79" s="35">
        <f>IF(ISBLANK($A79),,ROUNDDOWN(L79*AO6*1.024,))</f>
        <v>0</v>
      </c>
      <c r="AO79" s="35">
        <f>IF(ISBLANK($A79),,ROUNDDOWN(N79*AO6*1.024,))</f>
        <v>0</v>
      </c>
      <c r="AP79" s="35">
        <f>IF(ISBLANK($A79),,ROUNDDOWN(P79*AO6*1.024,))</f>
        <v>0</v>
      </c>
      <c r="AQ79" s="35">
        <f>IF(ISBLANK($A79),,ROUNDDOWN(R79*AO6*1.024,))</f>
        <v>0</v>
      </c>
      <c r="AR79" s="156">
        <f t="shared" si="10"/>
        <v>0</v>
      </c>
      <c r="AS79" s="35">
        <f>IF(ISBLANK($A79),,ROUNDDOWN(V79*AO6*1.024,))</f>
        <v>0</v>
      </c>
      <c r="AT79" s="35">
        <f>IF(ISBLANK($A79),,ROUNDDOWN(X79*AO6*1.024,))</f>
        <v>0</v>
      </c>
    </row>
    <row r="80" spans="1:46">
      <c r="A80" s="156" t="s">
        <v>435</v>
      </c>
      <c r="B80" s="156"/>
      <c r="C80" s="156" t="s">
        <v>426</v>
      </c>
      <c r="D80" s="156" t="s">
        <v>427</v>
      </c>
      <c r="E80" s="156" t="s">
        <v>436</v>
      </c>
      <c r="F80" s="152">
        <v>10</v>
      </c>
      <c r="G80" s="152">
        <v>10</v>
      </c>
      <c r="H80" s="152">
        <v>10</v>
      </c>
      <c r="I80" s="152">
        <v>40</v>
      </c>
      <c r="J80" s="152">
        <f t="shared" si="8"/>
        <v>0</v>
      </c>
      <c r="K80" s="154" t="s">
        <v>434</v>
      </c>
      <c r="L80" s="154"/>
      <c r="M80" s="154"/>
      <c r="N80" s="154"/>
      <c r="O80" s="154"/>
      <c r="P80" s="154"/>
      <c r="Q80" s="154"/>
      <c r="R80" s="154"/>
      <c r="S80" s="154"/>
      <c r="T80" s="154"/>
      <c r="U80" s="154"/>
      <c r="V80" s="154"/>
      <c r="W80" s="35"/>
      <c r="X80" s="35"/>
      <c r="Y80" s="35"/>
      <c r="Z80" s="154"/>
      <c r="AA80" s="154"/>
      <c r="AB80" s="154"/>
      <c r="AC80" s="154"/>
      <c r="AD80" s="154"/>
      <c r="AE80" s="154"/>
      <c r="AF80" s="154" t="s">
        <v>346</v>
      </c>
      <c r="AG80" s="152" t="s">
        <v>347</v>
      </c>
      <c r="AH80" s="154"/>
      <c r="AI80" s="35"/>
      <c r="AJ80" s="35"/>
      <c r="AK80" s="35">
        <f t="shared" si="9"/>
        <v>10.24</v>
      </c>
      <c r="AL80" s="35">
        <f t="shared" si="9"/>
        <v>10.24</v>
      </c>
      <c r="AM80" s="35">
        <f>IF(ISBLANK($A80),,ROUNDDOWN(I80*AO6*1.024,))</f>
        <v>36</v>
      </c>
      <c r="AN80" s="35">
        <f>IF(ISBLANK($A80),,ROUNDDOWN(L80*AO6*1.024,))</f>
        <v>0</v>
      </c>
      <c r="AO80" s="35">
        <f>IF(ISBLANK($A80),,ROUNDDOWN(N80*AO6*1.024,))</f>
        <v>0</v>
      </c>
      <c r="AP80" s="35">
        <f>IF(ISBLANK($A80),,ROUNDDOWN(P80*AO6*1.024,))</f>
        <v>0</v>
      </c>
      <c r="AQ80" s="35">
        <f>IF(ISBLANK($A80),,ROUNDDOWN(R80*AO6*1.024,))</f>
        <v>0</v>
      </c>
      <c r="AR80" s="156">
        <f t="shared" si="10"/>
        <v>0</v>
      </c>
      <c r="AS80" s="35">
        <f>IF(ISBLANK($A80),,ROUNDDOWN(V80*AO6*1.024,))</f>
        <v>0</v>
      </c>
      <c r="AT80" s="35">
        <f>IF(ISBLANK($A80),,ROUNDDOWN(X80*AO6*1.024,))</f>
        <v>0</v>
      </c>
    </row>
    <row r="81" spans="1:46">
      <c r="A81" s="156" t="s">
        <v>437</v>
      </c>
      <c r="B81" s="156"/>
      <c r="C81" s="156" t="s">
        <v>426</v>
      </c>
      <c r="D81" s="156" t="s">
        <v>427</v>
      </c>
      <c r="E81" s="156" t="s">
        <v>438</v>
      </c>
      <c r="F81" s="152">
        <v>4</v>
      </c>
      <c r="G81" s="152">
        <v>16</v>
      </c>
      <c r="H81" s="152">
        <v>0</v>
      </c>
      <c r="I81" s="152">
        <v>550</v>
      </c>
      <c r="J81" s="152">
        <f t="shared" si="8"/>
        <v>16</v>
      </c>
      <c r="K81" s="154" t="s">
        <v>439</v>
      </c>
      <c r="L81" s="154"/>
      <c r="M81" s="154"/>
      <c r="N81" s="154"/>
      <c r="O81" s="154"/>
      <c r="P81" s="154"/>
      <c r="Q81" s="154"/>
      <c r="R81" s="154"/>
      <c r="S81" s="154"/>
      <c r="T81" s="154"/>
      <c r="U81" s="154"/>
      <c r="V81" s="154"/>
      <c r="W81" s="35"/>
      <c r="X81" s="35"/>
      <c r="Y81" s="35"/>
      <c r="Z81" s="154"/>
      <c r="AA81" s="154"/>
      <c r="AB81" s="154"/>
      <c r="AC81" s="154"/>
      <c r="AD81" s="154"/>
      <c r="AE81" s="154"/>
      <c r="AF81" s="154" t="s">
        <v>346</v>
      </c>
      <c r="AG81" s="152" t="s">
        <v>347</v>
      </c>
      <c r="AH81" s="154"/>
      <c r="AI81" s="35"/>
      <c r="AJ81" s="35"/>
      <c r="AK81" s="35">
        <f t="shared" si="9"/>
        <v>16.384</v>
      </c>
      <c r="AL81" s="35">
        <f t="shared" si="9"/>
        <v>0</v>
      </c>
      <c r="AM81" s="35">
        <f>IF(ISBLANK($A81),,ROUNDDOWN(I81*AO6*1.024,))</f>
        <v>506</v>
      </c>
      <c r="AN81" s="35">
        <f>IF(ISBLANK($A81),,ROUNDDOWN(L81*AO6*1.024,))</f>
        <v>0</v>
      </c>
      <c r="AO81" s="35">
        <f>IF(ISBLANK($A81),,ROUNDDOWN(N81*AO6*1.024,))</f>
        <v>0</v>
      </c>
      <c r="AP81" s="35">
        <f>IF(ISBLANK($A81),,ROUNDDOWN(P81*AO6*1.024,))</f>
        <v>0</v>
      </c>
      <c r="AQ81" s="35">
        <f>IF(ISBLANK($A81),,ROUNDDOWN(R81*AO6*1.024,))</f>
        <v>0</v>
      </c>
      <c r="AR81" s="156">
        <f t="shared" si="10"/>
        <v>0</v>
      </c>
      <c r="AS81" s="35">
        <f>IF(ISBLANK($A81),,ROUNDDOWN(V81*AO6*1.024,))</f>
        <v>0</v>
      </c>
      <c r="AT81" s="35">
        <f>IF(ISBLANK($A81),,ROUNDDOWN(X81*AO6*1.024,))</f>
        <v>0</v>
      </c>
    </row>
    <row r="82" spans="1:46">
      <c r="A82" s="156" t="s">
        <v>440</v>
      </c>
      <c r="B82" s="156"/>
      <c r="C82" s="156" t="s">
        <v>426</v>
      </c>
      <c r="D82" s="156" t="s">
        <v>427</v>
      </c>
      <c r="E82" s="156" t="s">
        <v>441</v>
      </c>
      <c r="F82" s="152">
        <v>2</v>
      </c>
      <c r="G82" s="152">
        <v>4</v>
      </c>
      <c r="H82" s="152">
        <v>4</v>
      </c>
      <c r="I82" s="152">
        <v>40</v>
      </c>
      <c r="J82" s="152">
        <f t="shared" si="8"/>
        <v>0</v>
      </c>
      <c r="K82" s="154" t="s">
        <v>434</v>
      </c>
      <c r="L82" s="154"/>
      <c r="M82" s="154"/>
      <c r="N82" s="154"/>
      <c r="O82" s="154"/>
      <c r="P82" s="154"/>
      <c r="Q82" s="154"/>
      <c r="R82" s="154">
        <v>50</v>
      </c>
      <c r="S82" s="154" t="s">
        <v>442</v>
      </c>
      <c r="T82" s="154"/>
      <c r="U82" s="154"/>
      <c r="V82" s="154"/>
      <c r="W82" s="35"/>
      <c r="X82" s="35"/>
      <c r="Y82" s="35"/>
      <c r="Z82" s="154"/>
      <c r="AA82" s="154"/>
      <c r="AB82" s="154"/>
      <c r="AC82" s="154"/>
      <c r="AD82" s="154"/>
      <c r="AE82" s="154"/>
      <c r="AF82" s="154" t="s">
        <v>328</v>
      </c>
      <c r="AG82" s="154" t="s">
        <v>329</v>
      </c>
      <c r="AH82" s="154"/>
      <c r="AI82" s="35"/>
      <c r="AJ82" s="35"/>
      <c r="AK82" s="35">
        <f t="shared" si="9"/>
        <v>4.0960000000000001</v>
      </c>
      <c r="AL82" s="35">
        <f t="shared" si="9"/>
        <v>4.0960000000000001</v>
      </c>
      <c r="AM82" s="35">
        <f>IF(ISBLANK($A82),,ROUNDDOWN(I82*AO6*1.024,))</f>
        <v>36</v>
      </c>
      <c r="AN82" s="35">
        <f>IF(ISBLANK($A82),,ROUNDDOWN(L82*AO6*1.024,))</f>
        <v>0</v>
      </c>
      <c r="AO82" s="35">
        <f>IF(ISBLANK($A82),,ROUNDDOWN(N82*AO6*1.024,))</f>
        <v>0</v>
      </c>
      <c r="AP82" s="35">
        <f>IF(ISBLANK($A82),,ROUNDDOWN(P82*AO6*1.024,))</f>
        <v>0</v>
      </c>
      <c r="AQ82" s="35">
        <f>IF(ISBLANK($A82),,ROUNDDOWN(R82*AO6*1.024,))</f>
        <v>46</v>
      </c>
      <c r="AR82" s="156">
        <f t="shared" si="10"/>
        <v>0</v>
      </c>
      <c r="AS82" s="35">
        <f>IF(ISBLANK($A82),,ROUNDDOWN(V82*AO6*1.024,))</f>
        <v>0</v>
      </c>
      <c r="AT82" s="35">
        <f>IF(ISBLANK($A82),,ROUNDDOWN(X82*AO6*1.024,))</f>
        <v>0</v>
      </c>
    </row>
    <row r="83" spans="1:46">
      <c r="A83" s="35" t="s">
        <v>443</v>
      </c>
      <c r="B83" s="35"/>
      <c r="C83" s="156" t="s">
        <v>444</v>
      </c>
      <c r="D83" s="35" t="s">
        <v>427</v>
      </c>
      <c r="E83" s="156" t="s">
        <v>45</v>
      </c>
      <c r="F83" s="154">
        <v>8</v>
      </c>
      <c r="G83" s="154">
        <v>32</v>
      </c>
      <c r="H83" s="152">
        <v>0</v>
      </c>
      <c r="I83" s="154">
        <v>80</v>
      </c>
      <c r="J83" s="154">
        <f>G83-H83</f>
        <v>32</v>
      </c>
      <c r="K83" s="154" t="s">
        <v>445</v>
      </c>
      <c r="L83" s="154"/>
      <c r="M83" s="154"/>
      <c r="N83" s="154"/>
      <c r="O83" s="154"/>
      <c r="P83" s="154"/>
      <c r="Q83" s="154"/>
      <c r="R83" s="154"/>
      <c r="S83" s="154"/>
      <c r="T83" s="154"/>
      <c r="U83" s="154"/>
      <c r="V83" s="154"/>
      <c r="W83" s="35"/>
      <c r="X83" s="35"/>
      <c r="Y83" s="35"/>
      <c r="Z83" s="154"/>
      <c r="AA83" s="154"/>
      <c r="AB83" s="154"/>
      <c r="AC83" s="154"/>
      <c r="AD83" s="154"/>
      <c r="AE83" s="154"/>
      <c r="AF83" s="154" t="s">
        <v>328</v>
      </c>
      <c r="AG83" s="154" t="s">
        <v>329</v>
      </c>
      <c r="AH83" s="154"/>
      <c r="AI83" s="35"/>
      <c r="AJ83" s="35"/>
      <c r="AK83" s="35">
        <f t="shared" si="9"/>
        <v>32.768000000000001</v>
      </c>
      <c r="AL83" s="35">
        <f t="shared" si="9"/>
        <v>0</v>
      </c>
      <c r="AM83" s="35">
        <f>IF(ISBLANK($A83),,ROUNDDOWN(I83*AO6*1.024,))</f>
        <v>73</v>
      </c>
      <c r="AN83" s="35">
        <f>IF(ISBLANK($A83),,ROUNDDOWN(L83*AO6*1.024,))</f>
        <v>0</v>
      </c>
      <c r="AO83" s="35">
        <f>IF(ISBLANK($A83),,ROUNDDOWN(N83*AO6*1.024,))</f>
        <v>0</v>
      </c>
      <c r="AP83" s="35">
        <f>IF(ISBLANK($A83),,ROUNDDOWN(P83*AO6*1.024,))</f>
        <v>0</v>
      </c>
      <c r="AQ83" s="35">
        <f>IF(ISBLANK($A83),,ROUNDDOWN(R83*AO6*1.024,))</f>
        <v>0</v>
      </c>
      <c r="AR83" s="156">
        <f t="shared" si="10"/>
        <v>0</v>
      </c>
      <c r="AS83" s="35">
        <f>IF(ISBLANK($A83),,ROUNDDOWN(V83*AO6*1.024,))</f>
        <v>0</v>
      </c>
      <c r="AT83" s="35">
        <f>IF(ISBLANK($A83),,ROUNDDOWN(X83*AO6*1.024,))</f>
        <v>0</v>
      </c>
    </row>
    <row r="84" spans="1:46" s="13" customFormat="1">
      <c r="A84" s="42" t="s">
        <v>446</v>
      </c>
      <c r="B84" s="42"/>
      <c r="C84" s="13" t="s">
        <v>444</v>
      </c>
      <c r="D84" s="42" t="s">
        <v>427</v>
      </c>
      <c r="E84" s="13" t="s">
        <v>45</v>
      </c>
      <c r="F84" s="36">
        <v>8</v>
      </c>
      <c r="G84" s="36">
        <v>32</v>
      </c>
      <c r="H84" s="8">
        <v>0</v>
      </c>
      <c r="I84" s="36">
        <v>80</v>
      </c>
      <c r="J84" s="36">
        <f>G84-H84</f>
        <v>32</v>
      </c>
      <c r="K84" s="36" t="s">
        <v>445</v>
      </c>
      <c r="L84" s="36"/>
      <c r="M84" s="36"/>
      <c r="N84" s="36"/>
      <c r="O84" s="36"/>
      <c r="P84" s="36"/>
      <c r="Q84" s="36"/>
      <c r="R84" s="36"/>
      <c r="S84" s="36"/>
      <c r="T84" s="36"/>
      <c r="U84" s="36"/>
      <c r="V84" s="36"/>
      <c r="W84" s="42"/>
      <c r="X84" s="42"/>
      <c r="Y84" s="42"/>
      <c r="Z84" s="36"/>
      <c r="AA84" s="36"/>
      <c r="AB84" s="36"/>
      <c r="AC84" s="36"/>
      <c r="AD84" s="36"/>
      <c r="AE84" s="36"/>
      <c r="AF84" s="36" t="s">
        <v>328</v>
      </c>
      <c r="AG84" s="36" t="s">
        <v>329</v>
      </c>
      <c r="AH84" s="36"/>
      <c r="AI84" s="42"/>
      <c r="AJ84" s="42"/>
      <c r="AK84" s="42">
        <f t="shared" si="9"/>
        <v>32.768000000000001</v>
      </c>
      <c r="AL84" s="42">
        <f t="shared" si="9"/>
        <v>0</v>
      </c>
      <c r="AM84" s="42">
        <f>IF(ISBLANK($A84),,ROUNDDOWN(I84*AO6*1.024,))</f>
        <v>73</v>
      </c>
      <c r="AN84" s="42">
        <f>IF(ISBLANK($A84),,ROUNDDOWN(L84*AO6*1.024,))</f>
        <v>0</v>
      </c>
      <c r="AO84" s="42">
        <f>IF(ISBLANK($A84),,ROUNDDOWN(N84*AO6*1.024,))</f>
        <v>0</v>
      </c>
      <c r="AP84" s="42">
        <f>IF(ISBLANK($A84),,ROUNDDOWN(P84*AO6*1.024,))</f>
        <v>0</v>
      </c>
      <c r="AQ84" s="42">
        <f>IF(ISBLANK($A84),,ROUNDDOWN(R84*AO6*1.024,))</f>
        <v>0</v>
      </c>
      <c r="AR84" s="13">
        <f t="shared" si="10"/>
        <v>0</v>
      </c>
      <c r="AS84" s="42">
        <f>IF(ISBLANK($A84),,ROUNDDOWN(V84*AO6*1.024,))</f>
        <v>0</v>
      </c>
      <c r="AT84" s="42">
        <f>IF(ISBLANK($A84),,ROUNDDOWN(X84*AO6*1.024,))</f>
        <v>0</v>
      </c>
    </row>
    <row r="85" spans="1:46">
      <c r="A85" s="35"/>
      <c r="B85" s="35"/>
      <c r="C85" s="35"/>
      <c r="D85" s="35"/>
      <c r="E85" s="35"/>
      <c r="F85" s="154">
        <f>F73+SUM(F77:F84)</f>
        <v>394</v>
      </c>
      <c r="G85" s="154">
        <f>G73+SUM(G77:G84)</f>
        <v>1126</v>
      </c>
      <c r="H85" s="154">
        <f>H73+SUM(H77:H84)</f>
        <v>461</v>
      </c>
      <c r="I85" s="154">
        <f>I73+SUM(I77:I84)</f>
        <v>8911</v>
      </c>
      <c r="J85" s="154"/>
      <c r="K85" s="154"/>
      <c r="L85" s="154">
        <f>L73+SUM(L77:L84)</f>
        <v>500</v>
      </c>
      <c r="M85" s="154"/>
      <c r="N85" s="154">
        <f>N73+SUM(N77:N84)</f>
        <v>9200</v>
      </c>
      <c r="O85" s="154"/>
      <c r="P85" s="154">
        <f>P73+SUM(P77:P84)</f>
        <v>13500</v>
      </c>
      <c r="Q85" s="154"/>
      <c r="R85" s="154">
        <f>R73+SUM(R77:R84)</f>
        <v>900</v>
      </c>
      <c r="S85" s="154"/>
      <c r="T85" s="154">
        <f>T73+SUM(T77:T84)</f>
        <v>300</v>
      </c>
      <c r="U85" s="154"/>
      <c r="V85" s="154">
        <f>V73+SUM(V77:V84)</f>
        <v>0</v>
      </c>
      <c r="W85" s="154"/>
      <c r="X85" s="154">
        <f>X73+SUM(X77:X84)</f>
        <v>31056</v>
      </c>
      <c r="Y85" s="154"/>
      <c r="Z85" s="154">
        <f>Z73+SUM(Z77:Z84)</f>
        <v>200</v>
      </c>
      <c r="AA85" s="154"/>
      <c r="AB85" s="154"/>
      <c r="AC85" s="154"/>
      <c r="AD85" s="154"/>
      <c r="AE85" s="154"/>
      <c r="AF85" s="154"/>
      <c r="AG85" s="154" t="s">
        <v>659</v>
      </c>
      <c r="AH85" s="154">
        <v>3</v>
      </c>
      <c r="AI85" s="35"/>
      <c r="AJ85" s="35"/>
      <c r="AK85" s="35"/>
      <c r="AL85" s="35"/>
      <c r="AM85" s="35"/>
      <c r="AN85" s="35"/>
      <c r="AO85" s="35"/>
      <c r="AP85" s="35"/>
      <c r="AQ85" s="35"/>
      <c r="AR85" s="35"/>
      <c r="AS85" s="35"/>
      <c r="AT85" s="35"/>
    </row>
  </sheetData>
  <mergeCells count="1">
    <mergeCell ref="F3:G3"/>
  </mergeCells>
  <hyperlinks>
    <hyperlink ref="F3:G3" location="Shortcuts!A1" display="Back to shortcuts" xr:uid="{919C2A6F-FB4E-49C4-B05E-A78F09DBE154}"/>
  </hyperlink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01CE-51A7-4403-825A-9D127D890CD5}">
  <dimension ref="A1:BJ85"/>
  <sheetViews>
    <sheetView topLeftCell="E1" zoomScale="85" zoomScaleNormal="85" zoomScalePageLayoutView="70" workbookViewId="0">
      <selection activeCell="F1" sqref="F1"/>
    </sheetView>
  </sheetViews>
  <sheetFormatPr defaultColWidth="8.5703125" defaultRowHeight="12.75"/>
  <cols>
    <col min="1" max="1" width="8.5703125" style="3"/>
    <col min="2" max="2" width="20.85546875" style="3" customWidth="1"/>
    <col min="3" max="3" width="24" style="3" customWidth="1"/>
    <col min="4" max="4" width="55.5703125" style="3" customWidth="1"/>
    <col min="5" max="5" width="14.42578125" style="3" customWidth="1"/>
    <col min="6" max="7" width="8.5703125" style="3"/>
    <col min="8" max="9" width="8.42578125" style="3" customWidth="1"/>
    <col min="10" max="10" width="6.140625" style="3" customWidth="1"/>
    <col min="11" max="11" width="15.42578125" style="3" customWidth="1"/>
    <col min="12" max="12" width="6.5703125" style="3" customWidth="1"/>
    <col min="13" max="13" width="8.5703125" style="3"/>
    <col min="14" max="14" width="6.140625" style="3" customWidth="1"/>
    <col min="15" max="15" width="15.42578125" style="3" customWidth="1"/>
    <col min="16" max="16" width="6.5703125" style="3" customWidth="1"/>
    <col min="17" max="17" width="8.5703125" style="3"/>
    <col min="18" max="18" width="6.140625" style="3" customWidth="1"/>
    <col min="19" max="19" width="15.42578125" style="3" customWidth="1"/>
    <col min="20" max="20" width="6.5703125" style="3" customWidth="1"/>
    <col min="21" max="21" width="9.42578125" style="3" customWidth="1"/>
    <col min="22" max="22" width="6.140625" style="3" customWidth="1"/>
    <col min="23" max="23" width="11.42578125" style="3" customWidth="1"/>
    <col min="24" max="24" width="6.5703125" style="3" customWidth="1"/>
    <col min="25" max="25" width="8.5703125" style="3"/>
    <col min="26" max="26" width="6.140625" style="3" customWidth="1"/>
    <col min="27" max="27" width="15.42578125" style="3" customWidth="1"/>
    <col min="28" max="28" width="6.5703125" style="3" customWidth="1"/>
    <col min="29" max="29" width="8.5703125" style="3"/>
    <col min="30" max="30" width="6.140625" style="3" customWidth="1"/>
    <col min="31" max="31" width="15.42578125" style="3" customWidth="1"/>
    <col min="32" max="32" width="6.5703125" style="3" customWidth="1"/>
    <col min="33" max="33" width="13.42578125" style="3" customWidth="1"/>
    <col min="34" max="34" width="6.140625" style="3" customWidth="1"/>
    <col min="35" max="36" width="11.42578125" style="3" customWidth="1"/>
    <col min="37" max="37" width="7.42578125" style="3" customWidth="1"/>
    <col min="38" max="38" width="6.140625" style="3" customWidth="1"/>
    <col min="39" max="39" width="15.42578125" style="3" customWidth="1"/>
    <col min="40" max="40" width="6.5703125" style="3" customWidth="1"/>
    <col min="41" max="41" width="12.5703125" style="3" customWidth="1"/>
    <col min="42" max="48" width="6.5703125" style="3" customWidth="1"/>
    <col min="49" max="49" width="9.5703125" style="3" customWidth="1"/>
    <col min="50" max="50" width="12.42578125" style="3" customWidth="1"/>
    <col min="51" max="52" width="13.42578125" style="3" customWidth="1"/>
    <col min="53" max="53" width="6.42578125" style="3" customWidth="1"/>
    <col min="54" max="54" width="18.42578125" style="3" customWidth="1"/>
    <col min="55" max="55" width="17.42578125" style="3" customWidth="1"/>
    <col min="56" max="56" width="18.5703125" style="3" customWidth="1"/>
    <col min="57" max="58" width="13.42578125" style="3" customWidth="1"/>
    <col min="59" max="59" width="22.5703125" style="3" customWidth="1"/>
    <col min="60" max="60" width="17.5703125" style="3" customWidth="1"/>
    <col min="61" max="70" width="8.5703125" style="3"/>
    <col min="71" max="71" width="10.42578125" style="3" customWidth="1"/>
    <col min="72" max="16384" width="8.5703125" style="3"/>
  </cols>
  <sheetData>
    <row r="1" spans="1:60">
      <c r="A1" s="215" t="s">
        <v>4</v>
      </c>
      <c r="B1" s="215"/>
      <c r="C1" s="215"/>
      <c r="D1" s="216"/>
      <c r="E1" s="156"/>
      <c r="F1" s="155" t="s">
        <v>709</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row>
    <row r="3" spans="1:60" ht="15">
      <c r="A3" s="225" t="s">
        <v>632</v>
      </c>
      <c r="B3" s="225"/>
      <c r="C3" s="16"/>
      <c r="D3" s="156" t="s">
        <v>553</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c r="AW3" s="156"/>
      <c r="AX3" s="156"/>
      <c r="AY3" s="156"/>
      <c r="AZ3" s="156"/>
      <c r="BA3" s="156"/>
      <c r="BB3" s="156"/>
      <c r="BC3" s="156"/>
      <c r="BD3" s="156"/>
      <c r="BE3" s="156"/>
      <c r="BF3" s="156"/>
      <c r="BG3" s="156"/>
      <c r="BH3" s="156"/>
    </row>
    <row r="4" spans="1:60">
      <c r="A4" s="225" t="s">
        <v>303</v>
      </c>
      <c r="B4" s="225"/>
      <c r="C4" s="2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row>
    <row r="5" spans="1:60">
      <c r="A5" s="225" t="s">
        <v>305</v>
      </c>
      <c r="B5" s="225"/>
      <c r="C5" s="156"/>
      <c r="D5" s="35" t="s">
        <v>307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c r="AW5" s="156"/>
      <c r="AX5" s="156"/>
      <c r="AY5" s="156"/>
      <c r="AZ5" s="156"/>
      <c r="BA5" s="156"/>
      <c r="BB5" s="156"/>
      <c r="BC5" s="156"/>
      <c r="BD5" s="156"/>
      <c r="BE5" s="156"/>
      <c r="BF5" s="156"/>
      <c r="BG5" s="156"/>
      <c r="BH5" s="156"/>
    </row>
    <row r="6" spans="1:60">
      <c r="A6" s="156"/>
      <c r="B6" s="156"/>
      <c r="C6" s="156"/>
      <c r="D6" s="156" t="s">
        <v>558</v>
      </c>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156"/>
      <c r="AN6" s="156"/>
      <c r="AO6" s="156"/>
      <c r="AP6" s="156"/>
      <c r="AQ6" s="156"/>
      <c r="AR6" s="156"/>
      <c r="AS6" s="156"/>
      <c r="AT6" s="156"/>
      <c r="AU6" s="156"/>
      <c r="AV6" s="156"/>
      <c r="AW6" s="156"/>
      <c r="AX6" s="156"/>
      <c r="AY6" s="156"/>
      <c r="AZ6" s="156"/>
      <c r="BA6" s="156"/>
      <c r="BB6" s="156"/>
      <c r="BC6" s="156"/>
      <c r="BD6" s="156"/>
      <c r="BE6" s="156"/>
      <c r="BF6" s="156"/>
      <c r="BG6" s="156"/>
      <c r="BH6" s="156"/>
    </row>
    <row r="7" spans="1:60" ht="38.25">
      <c r="A7" s="5" t="s">
        <v>164</v>
      </c>
      <c r="B7" s="5" t="s">
        <v>310</v>
      </c>
      <c r="C7" s="5" t="s">
        <v>312</v>
      </c>
      <c r="D7" s="5" t="s">
        <v>313</v>
      </c>
      <c r="E7" s="4" t="s">
        <v>559</v>
      </c>
      <c r="F7" s="4" t="s">
        <v>103</v>
      </c>
      <c r="G7" s="4" t="s">
        <v>109</v>
      </c>
      <c r="H7" s="4" t="s">
        <v>560</v>
      </c>
      <c r="I7" s="4" t="s">
        <v>315</v>
      </c>
      <c r="J7" s="4" t="s">
        <v>561</v>
      </c>
      <c r="K7" s="4" t="s">
        <v>562</v>
      </c>
      <c r="L7" s="4" t="s">
        <v>563</v>
      </c>
      <c r="M7" s="4" t="s">
        <v>118</v>
      </c>
      <c r="N7" s="4" t="s">
        <v>561</v>
      </c>
      <c r="O7" s="4" t="s">
        <v>562</v>
      </c>
      <c r="P7" s="4" t="s">
        <v>563</v>
      </c>
      <c r="Q7" s="4" t="s">
        <v>20</v>
      </c>
      <c r="R7" s="4" t="s">
        <v>561</v>
      </c>
      <c r="S7" s="4" t="s">
        <v>562</v>
      </c>
      <c r="T7" s="4" t="s">
        <v>563</v>
      </c>
      <c r="U7" s="4" t="s">
        <v>122</v>
      </c>
      <c r="V7" s="4" t="s">
        <v>561</v>
      </c>
      <c r="W7" s="4" t="s">
        <v>562</v>
      </c>
      <c r="X7" s="4" t="s">
        <v>563</v>
      </c>
      <c r="Y7" s="4" t="s">
        <v>130</v>
      </c>
      <c r="Z7" s="4" t="s">
        <v>561</v>
      </c>
      <c r="AA7" s="4" t="s">
        <v>562</v>
      </c>
      <c r="AB7" s="4" t="s">
        <v>563</v>
      </c>
      <c r="AC7" s="4" t="s">
        <v>501</v>
      </c>
      <c r="AD7" s="4" t="s">
        <v>561</v>
      </c>
      <c r="AE7" s="4" t="s">
        <v>562</v>
      </c>
      <c r="AF7" s="4" t="s">
        <v>563</v>
      </c>
      <c r="AG7" s="4" t="s">
        <v>126</v>
      </c>
      <c r="AH7" s="4" t="s">
        <v>561</v>
      </c>
      <c r="AI7" s="4" t="s">
        <v>562</v>
      </c>
      <c r="AJ7" s="4" t="s">
        <v>563</v>
      </c>
      <c r="AK7" s="4" t="s">
        <v>481</v>
      </c>
      <c r="AL7" s="4" t="s">
        <v>561</v>
      </c>
      <c r="AM7" s="4" t="s">
        <v>562</v>
      </c>
      <c r="AN7" s="4" t="s">
        <v>563</v>
      </c>
      <c r="AO7" s="95" t="s">
        <v>564</v>
      </c>
      <c r="AP7" s="4" t="s">
        <v>561</v>
      </c>
      <c r="AQ7" s="4" t="s">
        <v>562</v>
      </c>
      <c r="AR7" s="4" t="s">
        <v>563</v>
      </c>
      <c r="AS7" s="95" t="s">
        <v>140</v>
      </c>
      <c r="AT7" s="4" t="s">
        <v>561</v>
      </c>
      <c r="AU7" s="4" t="s">
        <v>562</v>
      </c>
      <c r="AV7" s="4" t="s">
        <v>563</v>
      </c>
      <c r="AW7" s="4" t="s">
        <v>136</v>
      </c>
      <c r="AX7" s="4" t="s">
        <v>323</v>
      </c>
      <c r="AY7" s="4" t="s">
        <v>324</v>
      </c>
      <c r="AZ7" s="4" t="s">
        <v>566</v>
      </c>
      <c r="BA7" s="4" t="s">
        <v>567</v>
      </c>
      <c r="BB7" s="4" t="s">
        <v>568</v>
      </c>
      <c r="BC7" s="4" t="s">
        <v>569</v>
      </c>
      <c r="BD7" s="95" t="s">
        <v>570</v>
      </c>
      <c r="BE7" s="4" t="s">
        <v>571</v>
      </c>
      <c r="BF7" s="4" t="s">
        <v>572</v>
      </c>
      <c r="BG7" s="4" t="s">
        <v>573</v>
      </c>
      <c r="BH7" s="4" t="s">
        <v>574</v>
      </c>
    </row>
    <row r="8" spans="1:60">
      <c r="A8" s="156" t="s">
        <v>575</v>
      </c>
      <c r="B8" s="152"/>
      <c r="C8" s="156" t="s">
        <v>326</v>
      </c>
      <c r="D8" s="156" t="s">
        <v>576</v>
      </c>
      <c r="E8" s="152" t="s">
        <v>577</v>
      </c>
      <c r="F8" s="152">
        <v>4</v>
      </c>
      <c r="G8" s="152">
        <v>8</v>
      </c>
      <c r="H8" s="78">
        <v>20</v>
      </c>
      <c r="I8" s="31">
        <v>0</v>
      </c>
      <c r="J8" s="152" t="s">
        <v>578</v>
      </c>
      <c r="K8" s="156" t="s">
        <v>579</v>
      </c>
      <c r="L8" s="152">
        <v>4.7</v>
      </c>
      <c r="M8" s="78"/>
      <c r="N8" s="152"/>
      <c r="O8" s="152"/>
      <c r="P8" s="152"/>
      <c r="Q8" s="78"/>
      <c r="R8" s="152"/>
      <c r="S8" s="152"/>
      <c r="T8" s="152"/>
      <c r="U8" s="78"/>
      <c r="V8" s="152"/>
      <c r="W8" s="152"/>
      <c r="X8" s="152"/>
      <c r="Y8" s="78"/>
      <c r="Z8" s="152"/>
      <c r="AA8" s="152"/>
      <c r="AB8" s="152"/>
      <c r="AC8" s="78"/>
      <c r="AD8" s="152"/>
      <c r="AE8" s="152"/>
      <c r="AF8" s="152"/>
      <c r="AG8" s="78">
        <v>0</v>
      </c>
      <c r="AH8" s="152" t="s">
        <v>575</v>
      </c>
      <c r="AI8" s="156" t="s">
        <v>575</v>
      </c>
      <c r="AJ8" s="152" t="s">
        <v>575</v>
      </c>
      <c r="AK8" s="152"/>
      <c r="AL8" s="152"/>
      <c r="AM8" s="152"/>
      <c r="AN8" s="152"/>
      <c r="AO8" s="152"/>
      <c r="AP8" s="152"/>
      <c r="AQ8" s="152"/>
      <c r="AR8" s="152"/>
      <c r="AS8" s="152"/>
      <c r="AT8" s="152"/>
      <c r="AU8" s="152"/>
      <c r="AV8" s="152"/>
      <c r="AW8" s="152">
        <v>1</v>
      </c>
      <c r="AX8" s="156"/>
      <c r="AY8" s="152"/>
      <c r="AZ8" s="152" t="s">
        <v>329</v>
      </c>
      <c r="BA8" s="152">
        <v>2</v>
      </c>
      <c r="BB8" s="152" t="s">
        <v>329</v>
      </c>
      <c r="BC8" s="152"/>
      <c r="BD8" s="156"/>
      <c r="BE8" s="156"/>
      <c r="BF8" s="156"/>
      <c r="BG8" s="156"/>
      <c r="BH8" s="152"/>
    </row>
    <row r="9" spans="1:60">
      <c r="A9" s="156" t="s">
        <v>325</v>
      </c>
      <c r="B9" s="156"/>
      <c r="C9" s="156" t="s">
        <v>326</v>
      </c>
      <c r="D9" s="11" t="s">
        <v>8</v>
      </c>
      <c r="E9" s="152" t="s">
        <v>580</v>
      </c>
      <c r="F9" s="152">
        <v>4</v>
      </c>
      <c r="G9" s="152">
        <v>4</v>
      </c>
      <c r="H9" s="78">
        <v>350</v>
      </c>
      <c r="I9" s="31">
        <v>4096</v>
      </c>
      <c r="J9" s="152" t="s">
        <v>581</v>
      </c>
      <c r="K9" s="156" t="s">
        <v>579</v>
      </c>
      <c r="L9" s="152">
        <v>5.9</v>
      </c>
      <c r="M9" s="78"/>
      <c r="N9" s="152"/>
      <c r="O9" s="152"/>
      <c r="P9" s="152"/>
      <c r="Q9" s="78"/>
      <c r="R9" s="152"/>
      <c r="S9" s="152"/>
      <c r="T9" s="152"/>
      <c r="U9" s="78"/>
      <c r="V9" s="152"/>
      <c r="W9" s="152"/>
      <c r="X9" s="152"/>
      <c r="Y9" s="78"/>
      <c r="Z9" s="152"/>
      <c r="AA9" s="152"/>
      <c r="AB9" s="152"/>
      <c r="AC9" s="78"/>
      <c r="AD9" s="152"/>
      <c r="AE9" s="152"/>
      <c r="AF9" s="152"/>
      <c r="AG9" s="78">
        <f>2*H9</f>
        <v>700</v>
      </c>
      <c r="AH9" s="152" t="s">
        <v>581</v>
      </c>
      <c r="AI9" s="156" t="s">
        <v>579</v>
      </c>
      <c r="AJ9" s="152" t="s">
        <v>575</v>
      </c>
      <c r="AK9" s="152"/>
      <c r="AL9" s="152"/>
      <c r="AM9" s="152"/>
      <c r="AN9" s="152"/>
      <c r="AO9" s="152"/>
      <c r="AP9" s="152"/>
      <c r="AQ9" s="152"/>
      <c r="AR9" s="152"/>
      <c r="AS9" s="152"/>
      <c r="AT9" s="152"/>
      <c r="AU9" s="152"/>
      <c r="AV9" s="152"/>
      <c r="AW9" s="152">
        <v>2</v>
      </c>
      <c r="AX9" s="152" t="s">
        <v>329</v>
      </c>
      <c r="AY9" s="152"/>
      <c r="AZ9" s="152"/>
      <c r="BA9" s="152">
        <v>2</v>
      </c>
      <c r="BB9" s="152"/>
      <c r="BC9" s="152"/>
      <c r="BD9" s="152" t="s">
        <v>329</v>
      </c>
      <c r="BE9" s="152"/>
      <c r="BF9" s="152"/>
      <c r="BG9" s="152"/>
      <c r="BH9" s="152"/>
    </row>
    <row r="10" spans="1:60">
      <c r="A10" s="156" t="s">
        <v>331</v>
      </c>
      <c r="B10" s="152" t="s">
        <v>332</v>
      </c>
      <c r="C10" s="156" t="s">
        <v>326</v>
      </c>
      <c r="D10" s="11" t="s">
        <v>16</v>
      </c>
      <c r="E10" s="152" t="s">
        <v>582</v>
      </c>
      <c r="F10" s="152">
        <v>6</v>
      </c>
      <c r="G10" s="152">
        <v>6</v>
      </c>
      <c r="H10" s="78">
        <v>40.96</v>
      </c>
      <c r="I10" s="31">
        <v>4096</v>
      </c>
      <c r="J10" s="152" t="s">
        <v>581</v>
      </c>
      <c r="K10" s="156" t="s">
        <v>579</v>
      </c>
      <c r="L10" s="152">
        <v>2.6</v>
      </c>
      <c r="M10" s="78"/>
      <c r="N10" s="152"/>
      <c r="O10" s="152"/>
      <c r="P10" s="152"/>
      <c r="Q10" s="78"/>
      <c r="R10" s="152"/>
      <c r="S10" s="152"/>
      <c r="T10" s="152"/>
      <c r="U10" s="78"/>
      <c r="V10" s="152"/>
      <c r="W10" s="152"/>
      <c r="X10" s="152"/>
      <c r="Y10" s="78"/>
      <c r="Z10" s="152"/>
      <c r="AA10" s="152"/>
      <c r="AB10" s="152"/>
      <c r="AC10" s="78"/>
      <c r="AD10" s="152"/>
      <c r="AE10" s="152"/>
      <c r="AF10" s="152"/>
      <c r="AG10" s="78">
        <f>H10*2</f>
        <v>81.92</v>
      </c>
      <c r="AH10" s="152" t="s">
        <v>581</v>
      </c>
      <c r="AI10" s="156" t="s">
        <v>579</v>
      </c>
      <c r="AJ10" s="152" t="s">
        <v>575</v>
      </c>
      <c r="AK10" s="152"/>
      <c r="AL10" s="152"/>
      <c r="AM10" s="152"/>
      <c r="AN10" s="152"/>
      <c r="AO10" s="152"/>
      <c r="AP10" s="152"/>
      <c r="AQ10" s="152"/>
      <c r="AR10" s="152"/>
      <c r="AS10" s="152"/>
      <c r="AT10" s="152"/>
      <c r="AU10" s="152"/>
      <c r="AV10" s="152"/>
      <c r="AW10" s="152">
        <v>2</v>
      </c>
      <c r="AX10" s="152" t="s">
        <v>329</v>
      </c>
      <c r="AY10" s="152"/>
      <c r="AZ10" s="152"/>
      <c r="BA10" s="152">
        <v>2</v>
      </c>
      <c r="BB10" s="152"/>
      <c r="BC10" s="152"/>
      <c r="BD10" s="152" t="s">
        <v>329</v>
      </c>
      <c r="BE10" s="152"/>
      <c r="BF10" s="152"/>
      <c r="BG10" s="152"/>
      <c r="BH10" s="152"/>
    </row>
    <row r="11" spans="1:60">
      <c r="A11" s="156" t="s">
        <v>336</v>
      </c>
      <c r="B11" s="152"/>
      <c r="C11" s="156" t="s">
        <v>326</v>
      </c>
      <c r="D11" s="11" t="s">
        <v>20</v>
      </c>
      <c r="E11" s="152" t="s">
        <v>583</v>
      </c>
      <c r="F11" s="152">
        <v>16</v>
      </c>
      <c r="G11" s="152">
        <v>160</v>
      </c>
      <c r="H11" s="78">
        <v>87.04</v>
      </c>
      <c r="I11" s="31">
        <v>32768</v>
      </c>
      <c r="J11" s="152" t="s">
        <v>581</v>
      </c>
      <c r="K11" s="156" t="s">
        <v>579</v>
      </c>
      <c r="L11" s="152">
        <v>2.6</v>
      </c>
      <c r="M11" s="78">
        <v>471.04</v>
      </c>
      <c r="N11" s="152" t="s">
        <v>581</v>
      </c>
      <c r="O11" s="156" t="s">
        <v>584</v>
      </c>
      <c r="P11" s="152">
        <f>50/1000</f>
        <v>0.05</v>
      </c>
      <c r="Q11" s="152">
        <v>8294.4</v>
      </c>
      <c r="R11" s="152" t="s">
        <v>581</v>
      </c>
      <c r="S11" s="156" t="s">
        <v>584</v>
      </c>
      <c r="T11" s="152">
        <f>50/1000</f>
        <v>0.05</v>
      </c>
      <c r="U11" s="78">
        <v>12441.6</v>
      </c>
      <c r="V11" s="152" t="s">
        <v>581</v>
      </c>
      <c r="W11" s="156" t="s">
        <v>579</v>
      </c>
      <c r="X11" s="152">
        <f>50/1000</f>
        <v>0.05</v>
      </c>
      <c r="Y11" s="78"/>
      <c r="Z11" s="152"/>
      <c r="AA11" s="152"/>
      <c r="AB11" s="152"/>
      <c r="AC11" s="78"/>
      <c r="AD11" s="152"/>
      <c r="AE11" s="152"/>
      <c r="AF11" s="152"/>
      <c r="AG11" s="78">
        <v>29491.200000000001</v>
      </c>
      <c r="AH11" s="152" t="s">
        <v>581</v>
      </c>
      <c r="AI11" s="156" t="s">
        <v>579</v>
      </c>
      <c r="AJ11" s="152" t="s">
        <v>575</v>
      </c>
      <c r="AK11" s="152"/>
      <c r="AL11" s="152"/>
      <c r="AM11" s="152"/>
      <c r="AN11" s="152"/>
      <c r="AO11" s="152"/>
      <c r="AP11" s="152"/>
      <c r="AQ11" s="152"/>
      <c r="AR11" s="152"/>
      <c r="AS11" s="152"/>
      <c r="AT11" s="152"/>
      <c r="AU11" s="152"/>
      <c r="AV11" s="152"/>
      <c r="AW11" s="152">
        <v>5</v>
      </c>
      <c r="AX11" s="152" t="s">
        <v>329</v>
      </c>
      <c r="AY11" s="152"/>
      <c r="AZ11" s="152"/>
      <c r="BA11" s="152">
        <v>2</v>
      </c>
      <c r="BB11" s="152"/>
      <c r="BC11" s="152"/>
      <c r="BD11" s="152" t="s">
        <v>329</v>
      </c>
      <c r="BE11" s="152"/>
      <c r="BF11" s="152"/>
      <c r="BG11" s="152"/>
      <c r="BH11" s="152"/>
    </row>
    <row r="12" spans="1:60">
      <c r="A12" s="156" t="s">
        <v>342</v>
      </c>
      <c r="B12" s="152" t="s">
        <v>332</v>
      </c>
      <c r="C12" s="156" t="s">
        <v>326</v>
      </c>
      <c r="D12" s="11" t="s">
        <v>622</v>
      </c>
      <c r="E12" s="152" t="s">
        <v>585</v>
      </c>
      <c r="F12" s="152">
        <v>8</v>
      </c>
      <c r="G12" s="152">
        <v>7</v>
      </c>
      <c r="H12" s="78">
        <v>46.08</v>
      </c>
      <c r="I12" s="31">
        <v>4096</v>
      </c>
      <c r="J12" s="152" t="s">
        <v>581</v>
      </c>
      <c r="K12" s="156" t="s">
        <v>579</v>
      </c>
      <c r="L12" s="152">
        <v>2.6</v>
      </c>
      <c r="M12" s="78"/>
      <c r="N12" s="152"/>
      <c r="O12" s="152"/>
      <c r="P12" s="152"/>
      <c r="Q12" s="78"/>
      <c r="R12" s="152"/>
      <c r="S12" s="152"/>
      <c r="T12" s="152"/>
      <c r="U12" s="78"/>
      <c r="V12" s="152"/>
      <c r="W12" s="152"/>
      <c r="X12" s="152"/>
      <c r="Y12" s="78">
        <v>783.35</v>
      </c>
      <c r="Z12" s="152" t="s">
        <v>581</v>
      </c>
      <c r="AA12" s="156" t="s">
        <v>579</v>
      </c>
      <c r="AB12" s="152">
        <v>0.1</v>
      </c>
      <c r="AC12" s="78">
        <f>300*0.9*1.024</f>
        <v>276.48</v>
      </c>
      <c r="AD12" s="152" t="s">
        <v>581</v>
      </c>
      <c r="AE12" s="156" t="s">
        <v>579</v>
      </c>
      <c r="AF12" s="152" t="s">
        <v>575</v>
      </c>
      <c r="AG12" s="78">
        <v>638.98</v>
      </c>
      <c r="AH12" s="152" t="s">
        <v>581</v>
      </c>
      <c r="AI12" s="156" t="s">
        <v>579</v>
      </c>
      <c r="AJ12" s="152" t="s">
        <v>575</v>
      </c>
      <c r="AK12" s="152"/>
      <c r="AL12" s="152"/>
      <c r="AM12" s="152"/>
      <c r="AN12" s="152"/>
      <c r="AO12" s="152"/>
      <c r="AP12" s="152"/>
      <c r="AQ12" s="152"/>
      <c r="AR12" s="152"/>
      <c r="AS12" s="152"/>
      <c r="AT12" s="152"/>
      <c r="AU12" s="152"/>
      <c r="AV12" s="152"/>
      <c r="AW12" s="152">
        <v>4</v>
      </c>
      <c r="AX12" s="152" t="s">
        <v>329</v>
      </c>
      <c r="AY12" s="152"/>
      <c r="AZ12" s="152"/>
      <c r="BA12" s="152">
        <v>2</v>
      </c>
      <c r="BB12" s="152"/>
      <c r="BC12" s="152"/>
      <c r="BD12" s="152" t="s">
        <v>329</v>
      </c>
      <c r="BE12" s="152"/>
      <c r="BF12" s="152"/>
      <c r="BG12" s="152"/>
      <c r="BH12" s="152"/>
    </row>
    <row r="13" spans="1:60">
      <c r="A13" s="156" t="s">
        <v>345</v>
      </c>
      <c r="B13" s="156"/>
      <c r="C13" s="156" t="s">
        <v>326</v>
      </c>
      <c r="D13" s="11" t="s">
        <v>28</v>
      </c>
      <c r="E13" s="152" t="s">
        <v>586</v>
      </c>
      <c r="F13" s="152">
        <v>4</v>
      </c>
      <c r="G13" s="152">
        <v>4</v>
      </c>
      <c r="H13" s="78">
        <v>30.72</v>
      </c>
      <c r="I13" s="31">
        <v>4096</v>
      </c>
      <c r="J13" s="152" t="s">
        <v>581</v>
      </c>
      <c r="K13" s="156" t="s">
        <v>579</v>
      </c>
      <c r="L13" s="152">
        <v>2.6</v>
      </c>
      <c r="M13" s="78"/>
      <c r="N13" s="152"/>
      <c r="O13" s="152"/>
      <c r="P13" s="152"/>
      <c r="Q13" s="78"/>
      <c r="R13" s="152"/>
      <c r="S13" s="152"/>
      <c r="T13" s="152"/>
      <c r="U13" s="78"/>
      <c r="V13" s="152"/>
      <c r="W13" s="152"/>
      <c r="X13" s="152"/>
      <c r="Y13" s="78"/>
      <c r="Z13" s="152"/>
      <c r="AA13" s="152"/>
      <c r="AB13" s="152"/>
      <c r="AC13" s="78"/>
      <c r="AD13" s="152"/>
      <c r="AE13" s="152"/>
      <c r="AF13" s="152"/>
      <c r="AG13" s="78">
        <f t="shared" ref="AG13:AG43" si="0">2*H13</f>
        <v>61.44</v>
      </c>
      <c r="AH13" s="152" t="s">
        <v>581</v>
      </c>
      <c r="AI13" s="156" t="s">
        <v>579</v>
      </c>
      <c r="AJ13" s="152" t="s">
        <v>575</v>
      </c>
      <c r="AK13" s="152"/>
      <c r="AL13" s="152"/>
      <c r="AM13" s="152"/>
      <c r="AN13" s="152"/>
      <c r="AO13" s="152"/>
      <c r="AP13" s="152"/>
      <c r="AQ13" s="152"/>
      <c r="AR13" s="152"/>
      <c r="AS13" s="152"/>
      <c r="AT13" s="152"/>
      <c r="AU13" s="152"/>
      <c r="AV13" s="152"/>
      <c r="AW13" s="152">
        <v>2</v>
      </c>
      <c r="AX13" s="152" t="s">
        <v>329</v>
      </c>
      <c r="AY13" s="152" t="s">
        <v>329</v>
      </c>
      <c r="AZ13" s="152"/>
      <c r="BA13" s="152">
        <v>2</v>
      </c>
      <c r="BB13" s="152"/>
      <c r="BC13" s="152"/>
      <c r="BD13" s="152" t="s">
        <v>329</v>
      </c>
      <c r="BE13" s="152"/>
      <c r="BF13" s="152"/>
      <c r="BG13" s="152"/>
      <c r="BH13" s="152"/>
    </row>
    <row r="14" spans="1:60">
      <c r="A14" s="156" t="s">
        <v>348</v>
      </c>
      <c r="B14" s="156"/>
      <c r="C14" s="156" t="s">
        <v>326</v>
      </c>
      <c r="D14" s="11" t="s">
        <v>555</v>
      </c>
      <c r="E14" s="152" t="s">
        <v>587</v>
      </c>
      <c r="F14" s="152">
        <v>2</v>
      </c>
      <c r="G14" s="152">
        <v>3</v>
      </c>
      <c r="H14" s="78">
        <v>30.72</v>
      </c>
      <c r="I14" s="31">
        <v>4096</v>
      </c>
      <c r="J14" s="152" t="s">
        <v>581</v>
      </c>
      <c r="K14" s="156" t="s">
        <v>579</v>
      </c>
      <c r="L14" s="152">
        <v>2.6</v>
      </c>
      <c r="M14" s="78"/>
      <c r="N14" s="152"/>
      <c r="O14" s="152"/>
      <c r="P14" s="152"/>
      <c r="Q14" s="78"/>
      <c r="R14" s="152"/>
      <c r="S14" s="152"/>
      <c r="T14" s="152"/>
      <c r="U14" s="78"/>
      <c r="V14" s="152"/>
      <c r="W14" s="152"/>
      <c r="X14" s="152"/>
      <c r="Y14" s="78"/>
      <c r="Z14" s="152"/>
      <c r="AA14" s="152"/>
      <c r="AB14" s="152"/>
      <c r="AC14" s="78"/>
      <c r="AD14" s="152"/>
      <c r="AE14" s="152"/>
      <c r="AF14" s="152"/>
      <c r="AG14" s="78">
        <f t="shared" si="0"/>
        <v>61.44</v>
      </c>
      <c r="AH14" s="152" t="s">
        <v>581</v>
      </c>
      <c r="AI14" s="156" t="s">
        <v>579</v>
      </c>
      <c r="AJ14" s="152" t="s">
        <v>575</v>
      </c>
      <c r="AK14" s="152"/>
      <c r="AL14" s="152"/>
      <c r="AM14" s="152"/>
      <c r="AN14" s="152"/>
      <c r="AO14" s="152"/>
      <c r="AP14" s="152"/>
      <c r="AQ14" s="152"/>
      <c r="AR14" s="152"/>
      <c r="AS14" s="152"/>
      <c r="AT14" s="152"/>
      <c r="AU14" s="152"/>
      <c r="AV14" s="152"/>
      <c r="AW14" s="152">
        <v>2</v>
      </c>
      <c r="AX14" s="152" t="s">
        <v>329</v>
      </c>
      <c r="AY14" s="152"/>
      <c r="AZ14" s="152"/>
      <c r="BA14" s="152">
        <v>2</v>
      </c>
      <c r="BB14" s="152"/>
      <c r="BC14" s="152"/>
      <c r="BD14" s="152" t="s">
        <v>329</v>
      </c>
      <c r="BE14" s="152"/>
      <c r="BF14" s="152"/>
      <c r="BG14" s="152"/>
      <c r="BH14" s="152"/>
    </row>
    <row r="15" spans="1:60">
      <c r="A15" s="156" t="s">
        <v>349</v>
      </c>
      <c r="B15" s="156"/>
      <c r="C15" s="156" t="s">
        <v>326</v>
      </c>
      <c r="D15" s="11" t="s">
        <v>482</v>
      </c>
      <c r="E15" s="152" t="s">
        <v>588</v>
      </c>
      <c r="F15" s="152">
        <v>3</v>
      </c>
      <c r="G15" s="152">
        <v>6</v>
      </c>
      <c r="H15" s="78">
        <v>40.96</v>
      </c>
      <c r="I15" s="31">
        <v>4096</v>
      </c>
      <c r="J15" s="152" t="s">
        <v>581</v>
      </c>
      <c r="K15" s="156" t="s">
        <v>579</v>
      </c>
      <c r="L15" s="152">
        <v>2.6</v>
      </c>
      <c r="M15" s="78"/>
      <c r="N15" s="152"/>
      <c r="O15" s="152"/>
      <c r="P15" s="152"/>
      <c r="Q15" s="78"/>
      <c r="R15" s="152"/>
      <c r="S15" s="152"/>
      <c r="T15" s="152"/>
      <c r="U15" s="78"/>
      <c r="V15" s="152"/>
      <c r="W15" s="152"/>
      <c r="X15" s="152"/>
      <c r="Y15" s="78"/>
      <c r="Z15" s="152"/>
      <c r="AA15" s="152"/>
      <c r="AB15" s="152"/>
      <c r="AC15" s="78"/>
      <c r="AD15" s="152"/>
      <c r="AE15" s="152"/>
      <c r="AF15" s="152"/>
      <c r="AG15" s="78">
        <f t="shared" si="0"/>
        <v>81.92</v>
      </c>
      <c r="AH15" s="152" t="s">
        <v>581</v>
      </c>
      <c r="AI15" s="156" t="s">
        <v>579</v>
      </c>
      <c r="AJ15" s="152" t="s">
        <v>575</v>
      </c>
      <c r="AK15" s="152"/>
      <c r="AL15" s="152"/>
      <c r="AM15" s="152"/>
      <c r="AN15" s="152"/>
      <c r="AO15" s="152"/>
      <c r="AP15" s="152"/>
      <c r="AQ15" s="152"/>
      <c r="AR15" s="152"/>
      <c r="AS15" s="152"/>
      <c r="AT15" s="152"/>
      <c r="AU15" s="152"/>
      <c r="AV15" s="152"/>
      <c r="AW15" s="152">
        <v>2</v>
      </c>
      <c r="AX15" s="152" t="s">
        <v>329</v>
      </c>
      <c r="AY15" s="152"/>
      <c r="AZ15" s="152"/>
      <c r="BA15" s="152">
        <v>2</v>
      </c>
      <c r="BB15" s="152"/>
      <c r="BC15" s="152"/>
      <c r="BD15" s="152" t="s">
        <v>329</v>
      </c>
      <c r="BE15" s="152"/>
      <c r="BF15" s="152"/>
      <c r="BG15" s="152"/>
      <c r="BH15" s="152"/>
    </row>
    <row r="16" spans="1:60">
      <c r="A16" s="156" t="s">
        <v>351</v>
      </c>
      <c r="B16" s="156"/>
      <c r="C16" s="156" t="s">
        <v>326</v>
      </c>
      <c r="D16" s="11" t="s">
        <v>40</v>
      </c>
      <c r="E16" s="152" t="s">
        <v>589</v>
      </c>
      <c r="F16" s="152">
        <v>5</v>
      </c>
      <c r="G16" s="152">
        <v>7</v>
      </c>
      <c r="H16" s="78">
        <v>56.32</v>
      </c>
      <c r="I16" s="31">
        <v>4096</v>
      </c>
      <c r="J16" s="152" t="s">
        <v>581</v>
      </c>
      <c r="K16" s="156" t="s">
        <v>579</v>
      </c>
      <c r="L16" s="152">
        <v>2.6</v>
      </c>
      <c r="M16" s="78"/>
      <c r="N16" s="152"/>
      <c r="O16" s="152"/>
      <c r="P16" s="152"/>
      <c r="Q16" s="78"/>
      <c r="R16" s="152"/>
      <c r="S16" s="152"/>
      <c r="T16" s="152"/>
      <c r="U16" s="78"/>
      <c r="V16" s="152"/>
      <c r="W16" s="152"/>
      <c r="X16" s="152"/>
      <c r="Y16" s="78"/>
      <c r="Z16" s="152"/>
      <c r="AA16" s="152"/>
      <c r="AB16" s="152"/>
      <c r="AC16" s="78"/>
      <c r="AD16" s="152"/>
      <c r="AE16" s="152"/>
      <c r="AF16" s="152"/>
      <c r="AG16" s="78">
        <f t="shared" si="0"/>
        <v>112.64</v>
      </c>
      <c r="AH16" s="152" t="s">
        <v>581</v>
      </c>
      <c r="AI16" s="156" t="s">
        <v>579</v>
      </c>
      <c r="AJ16" s="152" t="s">
        <v>575</v>
      </c>
      <c r="AK16" s="152"/>
      <c r="AL16" s="152"/>
      <c r="AM16" s="152"/>
      <c r="AN16" s="152"/>
      <c r="AO16" s="152"/>
      <c r="AP16" s="152"/>
      <c r="AQ16" s="152"/>
      <c r="AR16" s="152"/>
      <c r="AS16" s="152"/>
      <c r="AT16" s="152"/>
      <c r="AU16" s="152"/>
      <c r="AV16" s="152"/>
      <c r="AW16" s="152">
        <v>2</v>
      </c>
      <c r="AX16" s="152" t="s">
        <v>329</v>
      </c>
      <c r="AY16" s="152"/>
      <c r="AZ16" s="152"/>
      <c r="BA16" s="152">
        <v>2</v>
      </c>
      <c r="BB16" s="152"/>
      <c r="BC16" s="152"/>
      <c r="BD16" s="152" t="s">
        <v>329</v>
      </c>
      <c r="BE16" s="152"/>
      <c r="BF16" s="152"/>
      <c r="BG16" s="152"/>
      <c r="BH16" s="152"/>
    </row>
    <row r="17" spans="1:60">
      <c r="A17" s="156" t="s">
        <v>352</v>
      </c>
      <c r="B17" s="156"/>
      <c r="C17" s="156" t="s">
        <v>326</v>
      </c>
      <c r="D17" s="11" t="s">
        <v>43</v>
      </c>
      <c r="E17" s="152" t="s">
        <v>590</v>
      </c>
      <c r="F17" s="152">
        <v>4</v>
      </c>
      <c r="G17" s="152">
        <v>6</v>
      </c>
      <c r="H17" s="78">
        <v>30.72</v>
      </c>
      <c r="I17" s="31">
        <v>4096</v>
      </c>
      <c r="J17" s="152" t="s">
        <v>581</v>
      </c>
      <c r="K17" s="156" t="s">
        <v>579</v>
      </c>
      <c r="L17" s="152">
        <v>2.6</v>
      </c>
      <c r="M17" s="78"/>
      <c r="N17" s="152"/>
      <c r="O17" s="78"/>
      <c r="P17" s="152"/>
      <c r="Q17" s="78"/>
      <c r="R17" s="152"/>
      <c r="S17" s="152"/>
      <c r="T17" s="152"/>
      <c r="U17" s="78"/>
      <c r="V17" s="152"/>
      <c r="W17" s="152"/>
      <c r="X17" s="152"/>
      <c r="Y17" s="78"/>
      <c r="Z17" s="152"/>
      <c r="AA17" s="152"/>
      <c r="AB17" s="152"/>
      <c r="AC17" s="78"/>
      <c r="AD17" s="152"/>
      <c r="AE17" s="152"/>
      <c r="AF17" s="152"/>
      <c r="AG17" s="78">
        <f t="shared" si="0"/>
        <v>61.44</v>
      </c>
      <c r="AH17" s="152" t="s">
        <v>581</v>
      </c>
      <c r="AI17" s="156" t="s">
        <v>579</v>
      </c>
      <c r="AJ17" s="152" t="s">
        <v>575</v>
      </c>
      <c r="AK17" s="152"/>
      <c r="AL17" s="152"/>
      <c r="AM17" s="152"/>
      <c r="AN17" s="152"/>
      <c r="AO17" s="152"/>
      <c r="AP17" s="152"/>
      <c r="AQ17" s="152"/>
      <c r="AR17" s="152"/>
      <c r="AS17" s="152"/>
      <c r="AT17" s="152"/>
      <c r="AU17" s="152"/>
      <c r="AV17" s="152"/>
      <c r="AW17" s="152">
        <v>2</v>
      </c>
      <c r="AX17" s="152" t="s">
        <v>329</v>
      </c>
      <c r="AY17" s="152"/>
      <c r="AZ17" s="152"/>
      <c r="BA17" s="152">
        <v>2</v>
      </c>
      <c r="BB17" s="152"/>
      <c r="BC17" s="152"/>
      <c r="BD17" s="152" t="s">
        <v>329</v>
      </c>
      <c r="BE17" s="152"/>
      <c r="BF17" s="152"/>
      <c r="BG17" s="152"/>
      <c r="BH17" s="152"/>
    </row>
    <row r="18" spans="1:60">
      <c r="A18" s="156" t="s">
        <v>353</v>
      </c>
      <c r="B18" s="156"/>
      <c r="C18" s="156" t="s">
        <v>326</v>
      </c>
      <c r="D18" s="11" t="s">
        <v>47</v>
      </c>
      <c r="E18" s="152" t="s">
        <v>586</v>
      </c>
      <c r="F18" s="152">
        <v>4</v>
      </c>
      <c r="G18" s="152">
        <v>4</v>
      </c>
      <c r="H18" s="78">
        <v>30.72</v>
      </c>
      <c r="I18" s="31">
        <v>4096</v>
      </c>
      <c r="J18" s="152" t="s">
        <v>581</v>
      </c>
      <c r="K18" s="156" t="s">
        <v>579</v>
      </c>
      <c r="L18" s="152">
        <v>2.6</v>
      </c>
      <c r="M18" s="78"/>
      <c r="N18" s="152"/>
      <c r="O18" s="152"/>
      <c r="P18" s="152"/>
      <c r="Q18" s="78"/>
      <c r="R18" s="152"/>
      <c r="S18" s="152"/>
      <c r="T18" s="152"/>
      <c r="U18" s="78"/>
      <c r="V18" s="152"/>
      <c r="W18" s="152"/>
      <c r="X18" s="152"/>
      <c r="Y18" s="78"/>
      <c r="Z18" s="152"/>
      <c r="AA18" s="152"/>
      <c r="AB18" s="152"/>
      <c r="AC18" s="78"/>
      <c r="AD18" s="152"/>
      <c r="AE18" s="152"/>
      <c r="AF18" s="152"/>
      <c r="AG18" s="78">
        <f t="shared" si="0"/>
        <v>61.44</v>
      </c>
      <c r="AH18" s="152" t="s">
        <v>581</v>
      </c>
      <c r="AI18" s="156" t="s">
        <v>579</v>
      </c>
      <c r="AJ18" s="152" t="s">
        <v>575</v>
      </c>
      <c r="AK18" s="152"/>
      <c r="AL18" s="152"/>
      <c r="AM18" s="152"/>
      <c r="AN18" s="152"/>
      <c r="AO18" s="152"/>
      <c r="AP18" s="152"/>
      <c r="AQ18" s="152"/>
      <c r="AR18" s="152"/>
      <c r="AS18" s="152"/>
      <c r="AT18" s="152"/>
      <c r="AU18" s="152"/>
      <c r="AV18" s="152"/>
      <c r="AW18" s="152">
        <v>2</v>
      </c>
      <c r="AX18" s="152" t="s">
        <v>329</v>
      </c>
      <c r="AY18" s="152" t="s">
        <v>329</v>
      </c>
      <c r="AZ18" s="152"/>
      <c r="BA18" s="152">
        <v>2</v>
      </c>
      <c r="BB18" s="152"/>
      <c r="BC18" s="152"/>
      <c r="BD18" s="152" t="s">
        <v>329</v>
      </c>
      <c r="BE18" s="152"/>
      <c r="BF18" s="152"/>
      <c r="BG18" s="152"/>
      <c r="BH18" s="152"/>
    </row>
    <row r="19" spans="1:60">
      <c r="A19" s="156" t="s">
        <v>354</v>
      </c>
      <c r="B19" s="156"/>
      <c r="C19" s="156" t="s">
        <v>326</v>
      </c>
      <c r="D19" s="11" t="s">
        <v>355</v>
      </c>
      <c r="E19" s="152" t="s">
        <v>591</v>
      </c>
      <c r="F19" s="152">
        <v>8</v>
      </c>
      <c r="G19" s="152">
        <v>10</v>
      </c>
      <c r="H19" s="78">
        <v>102.4</v>
      </c>
      <c r="I19" s="31">
        <v>16384</v>
      </c>
      <c r="J19" s="152" t="s">
        <v>581</v>
      </c>
      <c r="K19" s="156" t="s">
        <v>579</v>
      </c>
      <c r="L19" s="152">
        <v>2.6</v>
      </c>
      <c r="M19" s="78"/>
      <c r="N19" s="152"/>
      <c r="O19" s="152"/>
      <c r="P19" s="152"/>
      <c r="Q19" s="78"/>
      <c r="R19" s="152"/>
      <c r="S19" s="152"/>
      <c r="T19" s="152"/>
      <c r="U19" s="78"/>
      <c r="V19" s="152"/>
      <c r="W19" s="152"/>
      <c r="X19" s="152"/>
      <c r="Y19" s="78"/>
      <c r="Z19" s="152"/>
      <c r="AA19" s="152"/>
      <c r="AB19" s="152"/>
      <c r="AC19" s="78"/>
      <c r="AD19" s="152"/>
      <c r="AE19" s="152"/>
      <c r="AF19" s="152"/>
      <c r="AG19" s="78">
        <f>2*(H19+AO19)</f>
        <v>307.20000000000005</v>
      </c>
      <c r="AH19" s="152" t="s">
        <v>581</v>
      </c>
      <c r="AI19" s="156" t="s">
        <v>579</v>
      </c>
      <c r="AJ19" s="152" t="s">
        <v>575</v>
      </c>
      <c r="AK19" s="152"/>
      <c r="AL19" s="152"/>
      <c r="AM19" s="152"/>
      <c r="AN19" s="152"/>
      <c r="AO19" s="152">
        <v>51.2</v>
      </c>
      <c r="AP19" s="152" t="s">
        <v>581</v>
      </c>
      <c r="AQ19" s="156" t="s">
        <v>579</v>
      </c>
      <c r="AR19" s="152">
        <f>50/1000</f>
        <v>0.05</v>
      </c>
      <c r="AS19" s="152"/>
      <c r="AT19" s="152"/>
      <c r="AU19" s="152"/>
      <c r="AV19" s="152"/>
      <c r="AW19" s="152">
        <v>3</v>
      </c>
      <c r="AX19" s="152" t="s">
        <v>329</v>
      </c>
      <c r="AY19" s="152"/>
      <c r="AZ19" s="152"/>
      <c r="BA19" s="152">
        <v>2</v>
      </c>
      <c r="BB19" s="152"/>
      <c r="BC19" s="152"/>
      <c r="BD19" s="152" t="s">
        <v>329</v>
      </c>
      <c r="BE19" s="152"/>
      <c r="BF19" s="152"/>
      <c r="BG19" s="152"/>
      <c r="BH19" s="152"/>
    </row>
    <row r="20" spans="1:60">
      <c r="A20" s="156" t="s">
        <v>356</v>
      </c>
      <c r="B20" s="156"/>
      <c r="C20" s="156" t="s">
        <v>326</v>
      </c>
      <c r="D20" s="11" t="s">
        <v>55</v>
      </c>
      <c r="E20" s="152" t="s">
        <v>592</v>
      </c>
      <c r="F20" s="152">
        <v>6</v>
      </c>
      <c r="G20" s="152">
        <v>6</v>
      </c>
      <c r="H20" s="78">
        <v>133.12</v>
      </c>
      <c r="I20" s="31">
        <v>4096</v>
      </c>
      <c r="J20" s="152" t="s">
        <v>581</v>
      </c>
      <c r="K20" s="156" t="s">
        <v>579</v>
      </c>
      <c r="L20" s="152">
        <v>2.6</v>
      </c>
      <c r="M20" s="78"/>
      <c r="N20" s="152"/>
      <c r="O20" s="152"/>
      <c r="P20" s="152"/>
      <c r="Q20" s="78"/>
      <c r="R20" s="152"/>
      <c r="S20" s="152"/>
      <c r="T20" s="152"/>
      <c r="U20" s="78"/>
      <c r="V20" s="152"/>
      <c r="W20" s="152"/>
      <c r="X20" s="152"/>
      <c r="Y20" s="78"/>
      <c r="Z20" s="152"/>
      <c r="AA20" s="152"/>
      <c r="AB20" s="152"/>
      <c r="AC20" s="78"/>
      <c r="AD20" s="152"/>
      <c r="AE20" s="152"/>
      <c r="AF20" s="152"/>
      <c r="AG20" s="78">
        <f t="shared" si="0"/>
        <v>266.24</v>
      </c>
      <c r="AH20" s="152" t="s">
        <v>581</v>
      </c>
      <c r="AI20" s="156" t="s">
        <v>579</v>
      </c>
      <c r="AJ20" s="152" t="s">
        <v>575</v>
      </c>
      <c r="AK20" s="152"/>
      <c r="AL20" s="152"/>
      <c r="AM20" s="152"/>
      <c r="AN20" s="152"/>
      <c r="AO20" s="152"/>
      <c r="AP20" s="152"/>
      <c r="AQ20" s="152"/>
      <c r="AR20" s="152"/>
      <c r="AS20" s="152"/>
      <c r="AT20" s="152"/>
      <c r="AU20" s="152"/>
      <c r="AV20" s="152"/>
      <c r="AW20" s="152">
        <v>2</v>
      </c>
      <c r="AX20" s="152" t="s">
        <v>329</v>
      </c>
      <c r="AY20" s="152"/>
      <c r="AZ20" s="152"/>
      <c r="BA20" s="152">
        <v>2</v>
      </c>
      <c r="BB20" s="152"/>
      <c r="BC20" s="152"/>
      <c r="BD20" s="152" t="s">
        <v>329</v>
      </c>
      <c r="BE20" s="152"/>
      <c r="BF20" s="152"/>
      <c r="BG20" s="152"/>
      <c r="BH20" s="152"/>
    </row>
    <row r="21" spans="1:60">
      <c r="A21" s="156" t="s">
        <v>357</v>
      </c>
      <c r="B21" s="156"/>
      <c r="C21" s="156" t="s">
        <v>326</v>
      </c>
      <c r="D21" s="11" t="s">
        <v>59</v>
      </c>
      <c r="E21" s="152" t="s">
        <v>618</v>
      </c>
      <c r="F21" s="152">
        <v>6</v>
      </c>
      <c r="G21" s="152">
        <v>8</v>
      </c>
      <c r="H21" s="78">
        <v>61.44</v>
      </c>
      <c r="I21" s="31">
        <v>4096</v>
      </c>
      <c r="J21" s="152" t="s">
        <v>581</v>
      </c>
      <c r="K21" s="156" t="s">
        <v>579</v>
      </c>
      <c r="L21" s="152">
        <v>2.6</v>
      </c>
      <c r="M21" s="78"/>
      <c r="N21" s="152"/>
      <c r="O21" s="152"/>
      <c r="P21" s="152"/>
      <c r="Q21" s="78"/>
      <c r="R21" s="152"/>
      <c r="S21" s="152"/>
      <c r="T21" s="152"/>
      <c r="U21" s="78"/>
      <c r="V21" s="152"/>
      <c r="W21" s="152"/>
      <c r="X21" s="152"/>
      <c r="Y21" s="78"/>
      <c r="Z21" s="152"/>
      <c r="AA21" s="152"/>
      <c r="AB21" s="152"/>
      <c r="AC21" s="78"/>
      <c r="AD21" s="152"/>
      <c r="AE21" s="152"/>
      <c r="AF21" s="152"/>
      <c r="AG21" s="78">
        <f t="shared" si="0"/>
        <v>122.88</v>
      </c>
      <c r="AH21" s="152" t="s">
        <v>581</v>
      </c>
      <c r="AI21" s="156" t="s">
        <v>579</v>
      </c>
      <c r="AJ21" s="152" t="s">
        <v>575</v>
      </c>
      <c r="AK21" s="152"/>
      <c r="AL21" s="152"/>
      <c r="AM21" s="152"/>
      <c r="AN21" s="152"/>
      <c r="AO21" s="152"/>
      <c r="AP21" s="152"/>
      <c r="AQ21" s="152"/>
      <c r="AR21" s="152"/>
      <c r="AS21" s="152"/>
      <c r="AT21" s="152"/>
      <c r="AU21" s="152"/>
      <c r="AV21" s="152"/>
      <c r="AW21" s="152">
        <v>2</v>
      </c>
      <c r="AX21" s="152" t="s">
        <v>329</v>
      </c>
      <c r="AY21" s="152"/>
      <c r="AZ21" s="152"/>
      <c r="BA21" s="152">
        <v>2</v>
      </c>
      <c r="BB21" s="152"/>
      <c r="BC21" s="152"/>
      <c r="BD21" s="152" t="s">
        <v>329</v>
      </c>
      <c r="BE21" s="152"/>
      <c r="BF21" s="152"/>
      <c r="BG21" s="152"/>
      <c r="BH21" s="152"/>
    </row>
    <row r="22" spans="1:60">
      <c r="A22" s="156" t="s">
        <v>358</v>
      </c>
      <c r="B22" s="156"/>
      <c r="C22" s="156" t="s">
        <v>326</v>
      </c>
      <c r="D22" s="11" t="s">
        <v>59</v>
      </c>
      <c r="E22" s="152" t="s">
        <v>618</v>
      </c>
      <c r="F22" s="152">
        <v>6</v>
      </c>
      <c r="G22" s="152">
        <v>8</v>
      </c>
      <c r="H22" s="78">
        <v>61.44</v>
      </c>
      <c r="I22" s="31">
        <v>4096</v>
      </c>
      <c r="J22" s="152" t="s">
        <v>581</v>
      </c>
      <c r="K22" s="156" t="s">
        <v>579</v>
      </c>
      <c r="L22" s="152">
        <v>2.6</v>
      </c>
      <c r="M22" s="78"/>
      <c r="N22" s="152"/>
      <c r="O22" s="152"/>
      <c r="P22" s="152"/>
      <c r="Q22" s="78"/>
      <c r="R22" s="152"/>
      <c r="S22" s="152"/>
      <c r="T22" s="152"/>
      <c r="U22" s="78"/>
      <c r="V22" s="152"/>
      <c r="W22" s="152"/>
      <c r="X22" s="152"/>
      <c r="Y22" s="78"/>
      <c r="Z22" s="152"/>
      <c r="AA22" s="152"/>
      <c r="AB22" s="152"/>
      <c r="AC22" s="78"/>
      <c r="AD22" s="152"/>
      <c r="AE22" s="152"/>
      <c r="AF22" s="152"/>
      <c r="AG22" s="78">
        <f t="shared" si="0"/>
        <v>122.88</v>
      </c>
      <c r="AH22" s="152" t="s">
        <v>581</v>
      </c>
      <c r="AI22" s="156" t="s">
        <v>579</v>
      </c>
      <c r="AJ22" s="152" t="s">
        <v>575</v>
      </c>
      <c r="AK22" s="152"/>
      <c r="AL22" s="152"/>
      <c r="AM22" s="152"/>
      <c r="AN22" s="152"/>
      <c r="AO22" s="152"/>
      <c r="AP22" s="152"/>
      <c r="AQ22" s="152"/>
      <c r="AR22" s="152"/>
      <c r="AS22" s="152"/>
      <c r="AT22" s="152"/>
      <c r="AU22" s="152"/>
      <c r="AV22" s="152"/>
      <c r="AW22" s="152">
        <v>2</v>
      </c>
      <c r="AX22" s="152" t="s">
        <v>329</v>
      </c>
      <c r="AY22" s="152"/>
      <c r="AZ22" s="152"/>
      <c r="BA22" s="152">
        <v>2</v>
      </c>
      <c r="BB22" s="152"/>
      <c r="BC22" s="152"/>
      <c r="BD22" s="152" t="s">
        <v>329</v>
      </c>
      <c r="BE22" s="152"/>
      <c r="BF22" s="152"/>
      <c r="BG22" s="152"/>
      <c r="BH22" s="152"/>
    </row>
    <row r="23" spans="1:60">
      <c r="A23" s="156" t="s">
        <v>359</v>
      </c>
      <c r="B23" s="156"/>
      <c r="C23" s="156" t="s">
        <v>326</v>
      </c>
      <c r="D23" s="11" t="s">
        <v>63</v>
      </c>
      <c r="E23" s="152" t="s">
        <v>593</v>
      </c>
      <c r="F23" s="152">
        <v>6</v>
      </c>
      <c r="G23" s="152">
        <v>18</v>
      </c>
      <c r="H23" s="78">
        <v>143.36000000000001</v>
      </c>
      <c r="I23" s="31">
        <v>16384</v>
      </c>
      <c r="J23" s="152" t="s">
        <v>581</v>
      </c>
      <c r="K23" s="156" t="s">
        <v>579</v>
      </c>
      <c r="L23" s="152">
        <v>2.6</v>
      </c>
      <c r="M23" s="78"/>
      <c r="N23" s="152"/>
      <c r="O23" s="152"/>
      <c r="P23" s="152"/>
      <c r="Q23" s="78"/>
      <c r="R23" s="152"/>
      <c r="S23" s="152"/>
      <c r="T23" s="152"/>
      <c r="U23" s="78"/>
      <c r="V23" s="152"/>
      <c r="W23" s="152"/>
      <c r="X23" s="152"/>
      <c r="Y23" s="78"/>
      <c r="Z23" s="152"/>
      <c r="AA23" s="152"/>
      <c r="AB23" s="152"/>
      <c r="AC23" s="78"/>
      <c r="AD23" s="152"/>
      <c r="AE23" s="152"/>
      <c r="AF23" s="152"/>
      <c r="AG23" s="78">
        <f t="shared" si="0"/>
        <v>286.72000000000003</v>
      </c>
      <c r="AH23" s="152" t="s">
        <v>581</v>
      </c>
      <c r="AI23" s="156" t="s">
        <v>579</v>
      </c>
      <c r="AJ23" s="152" t="s">
        <v>575</v>
      </c>
      <c r="AK23" s="152"/>
      <c r="AL23" s="152"/>
      <c r="AM23" s="152"/>
      <c r="AN23" s="152"/>
      <c r="AO23" s="152"/>
      <c r="AP23" s="152"/>
      <c r="AQ23" s="152"/>
      <c r="AR23" s="152"/>
      <c r="AS23" s="152">
        <v>102.4</v>
      </c>
      <c r="AT23" s="152" t="s">
        <v>581</v>
      </c>
      <c r="AU23" s="156" t="s">
        <v>579</v>
      </c>
      <c r="AV23" s="152">
        <f>50/1000</f>
        <v>0.05</v>
      </c>
      <c r="AW23" s="152">
        <v>3</v>
      </c>
      <c r="AX23" s="152" t="s">
        <v>329</v>
      </c>
      <c r="AY23" s="152"/>
      <c r="AZ23" s="152"/>
      <c r="BA23" s="152">
        <v>2</v>
      </c>
      <c r="BB23" s="152"/>
      <c r="BC23" s="152"/>
      <c r="BD23" s="152" t="s">
        <v>329</v>
      </c>
      <c r="BE23" s="152"/>
      <c r="BF23" s="152"/>
      <c r="BG23" s="152"/>
      <c r="BH23" s="152"/>
    </row>
    <row r="24" spans="1:60">
      <c r="A24" s="156" t="s">
        <v>360</v>
      </c>
      <c r="B24" s="156"/>
      <c r="C24" s="156" t="s">
        <v>326</v>
      </c>
      <c r="D24" s="11" t="s">
        <v>67</v>
      </c>
      <c r="E24" s="152" t="s">
        <v>593</v>
      </c>
      <c r="F24" s="152">
        <v>6</v>
      </c>
      <c r="G24" s="152">
        <v>18</v>
      </c>
      <c r="H24" s="78">
        <v>143.36000000000001</v>
      </c>
      <c r="I24" s="31">
        <v>16384</v>
      </c>
      <c r="J24" s="152" t="s">
        <v>581</v>
      </c>
      <c r="K24" s="156" t="s">
        <v>579</v>
      </c>
      <c r="L24" s="152">
        <v>2.6</v>
      </c>
      <c r="M24" s="78"/>
      <c r="N24" s="152"/>
      <c r="O24" s="152"/>
      <c r="P24" s="152"/>
      <c r="Q24" s="78"/>
      <c r="R24" s="152"/>
      <c r="S24" s="152"/>
      <c r="T24" s="152"/>
      <c r="U24" s="78"/>
      <c r="V24" s="152"/>
      <c r="W24" s="152"/>
      <c r="X24" s="152"/>
      <c r="Y24" s="78"/>
      <c r="Z24" s="152"/>
      <c r="AA24" s="152"/>
      <c r="AB24" s="152"/>
      <c r="AC24" s="78"/>
      <c r="AD24" s="152"/>
      <c r="AE24" s="152"/>
      <c r="AF24" s="152"/>
      <c r="AG24" s="78">
        <f t="shared" si="0"/>
        <v>286.72000000000003</v>
      </c>
      <c r="AH24" s="152" t="s">
        <v>581</v>
      </c>
      <c r="AI24" s="156" t="s">
        <v>579</v>
      </c>
      <c r="AJ24" s="152" t="s">
        <v>575</v>
      </c>
      <c r="AK24" s="152"/>
      <c r="AL24" s="152"/>
      <c r="AM24" s="152"/>
      <c r="AN24" s="152"/>
      <c r="AO24" s="152"/>
      <c r="AP24" s="152"/>
      <c r="AQ24" s="152"/>
      <c r="AR24" s="152"/>
      <c r="AS24" s="152">
        <v>102.4</v>
      </c>
      <c r="AT24" s="152" t="s">
        <v>581</v>
      </c>
      <c r="AU24" s="156" t="s">
        <v>579</v>
      </c>
      <c r="AV24" s="152">
        <f>50/1000</f>
        <v>0.05</v>
      </c>
      <c r="AW24" s="152">
        <v>3</v>
      </c>
      <c r="AX24" s="152" t="s">
        <v>329</v>
      </c>
      <c r="AY24" s="152"/>
      <c r="AZ24" s="152"/>
      <c r="BA24" s="152">
        <v>2</v>
      </c>
      <c r="BB24" s="152"/>
      <c r="BC24" s="152"/>
      <c r="BD24" s="152" t="s">
        <v>329</v>
      </c>
      <c r="BE24" s="152"/>
      <c r="BF24" s="152"/>
      <c r="BG24" s="152"/>
      <c r="BH24" s="152"/>
    </row>
    <row r="25" spans="1:60">
      <c r="A25" s="156" t="s">
        <v>361</v>
      </c>
      <c r="B25" s="156"/>
      <c r="C25" s="156" t="s">
        <v>326</v>
      </c>
      <c r="D25" s="11" t="s">
        <v>71</v>
      </c>
      <c r="E25" s="152" t="s">
        <v>594</v>
      </c>
      <c r="F25" s="152">
        <v>5</v>
      </c>
      <c r="G25" s="152">
        <v>7</v>
      </c>
      <c r="H25" s="78">
        <v>40.96</v>
      </c>
      <c r="I25" s="31">
        <v>4096</v>
      </c>
      <c r="J25" s="152" t="s">
        <v>581</v>
      </c>
      <c r="K25" s="156" t="s">
        <v>579</v>
      </c>
      <c r="L25" s="152">
        <v>2.6</v>
      </c>
      <c r="M25" s="78"/>
      <c r="N25" s="152"/>
      <c r="O25" s="152"/>
      <c r="P25" s="152"/>
      <c r="Q25" s="78"/>
      <c r="R25" s="152"/>
      <c r="S25" s="152"/>
      <c r="T25" s="152"/>
      <c r="U25" s="78"/>
      <c r="V25" s="152"/>
      <c r="W25" s="152"/>
      <c r="X25" s="152"/>
      <c r="Y25" s="78"/>
      <c r="Z25" s="152"/>
      <c r="AA25" s="152"/>
      <c r="AB25" s="152"/>
      <c r="AC25" s="78"/>
      <c r="AD25" s="152"/>
      <c r="AE25" s="152"/>
      <c r="AF25" s="152"/>
      <c r="AG25" s="78">
        <f t="shared" si="0"/>
        <v>81.92</v>
      </c>
      <c r="AH25" s="152" t="s">
        <v>581</v>
      </c>
      <c r="AI25" s="156" t="s">
        <v>579</v>
      </c>
      <c r="AJ25" s="152" t="s">
        <v>575</v>
      </c>
      <c r="AK25" s="152"/>
      <c r="AL25" s="152"/>
      <c r="AM25" s="152"/>
      <c r="AN25" s="152"/>
      <c r="AO25" s="152"/>
      <c r="AP25" s="152"/>
      <c r="AQ25" s="152"/>
      <c r="AR25" s="152"/>
      <c r="AS25" s="152"/>
      <c r="AT25" s="152"/>
      <c r="AU25" s="152"/>
      <c r="AV25" s="152"/>
      <c r="AW25" s="152">
        <v>2</v>
      </c>
      <c r="AX25" s="152" t="s">
        <v>329</v>
      </c>
      <c r="AY25" s="152"/>
      <c r="AZ25" s="152"/>
      <c r="BA25" s="152">
        <v>2</v>
      </c>
      <c r="BB25" s="152"/>
      <c r="BC25" s="152"/>
      <c r="BD25" s="152" t="s">
        <v>329</v>
      </c>
      <c r="BE25" s="152"/>
      <c r="BF25" s="152"/>
      <c r="BG25" s="152"/>
      <c r="BH25" s="152"/>
    </row>
    <row r="26" spans="1:60">
      <c r="A26" s="156" t="s">
        <v>363</v>
      </c>
      <c r="B26" s="156"/>
      <c r="C26" s="156" t="s">
        <v>326</v>
      </c>
      <c r="D26" s="11" t="s">
        <v>71</v>
      </c>
      <c r="E26" s="152" t="s">
        <v>594</v>
      </c>
      <c r="F26" s="152">
        <v>5</v>
      </c>
      <c r="G26" s="152">
        <v>7</v>
      </c>
      <c r="H26" s="78">
        <v>40.96</v>
      </c>
      <c r="I26" s="31">
        <v>4096</v>
      </c>
      <c r="J26" s="152" t="s">
        <v>581</v>
      </c>
      <c r="K26" s="156" t="s">
        <v>579</v>
      </c>
      <c r="L26" s="152">
        <v>2.6</v>
      </c>
      <c r="M26" s="78"/>
      <c r="N26" s="152"/>
      <c r="O26" s="152"/>
      <c r="P26" s="152"/>
      <c r="Q26" s="78"/>
      <c r="R26" s="152"/>
      <c r="S26" s="152"/>
      <c r="T26" s="152"/>
      <c r="U26" s="78"/>
      <c r="V26" s="152"/>
      <c r="W26" s="152"/>
      <c r="X26" s="152"/>
      <c r="Y26" s="78"/>
      <c r="Z26" s="152"/>
      <c r="AA26" s="152"/>
      <c r="AB26" s="152"/>
      <c r="AC26" s="78"/>
      <c r="AD26" s="152"/>
      <c r="AE26" s="152"/>
      <c r="AF26" s="152"/>
      <c r="AG26" s="78">
        <f t="shared" si="0"/>
        <v>81.92</v>
      </c>
      <c r="AH26" s="152" t="s">
        <v>581</v>
      </c>
      <c r="AI26" s="156" t="s">
        <v>579</v>
      </c>
      <c r="AJ26" s="152" t="s">
        <v>575</v>
      </c>
      <c r="AK26" s="152"/>
      <c r="AL26" s="152"/>
      <c r="AM26" s="152"/>
      <c r="AN26" s="152"/>
      <c r="AO26" s="152"/>
      <c r="AP26" s="152"/>
      <c r="AQ26" s="152"/>
      <c r="AR26" s="152"/>
      <c r="AS26" s="152"/>
      <c r="AT26" s="152"/>
      <c r="AU26" s="152"/>
      <c r="AV26" s="152"/>
      <c r="AW26" s="152">
        <v>2</v>
      </c>
      <c r="AX26" s="152" t="s">
        <v>329</v>
      </c>
      <c r="AY26" s="152"/>
      <c r="AZ26" s="152"/>
      <c r="BA26" s="152">
        <v>2</v>
      </c>
      <c r="BB26" s="152"/>
      <c r="BC26" s="152"/>
      <c r="BD26" s="152" t="s">
        <v>329</v>
      </c>
      <c r="BE26" s="152"/>
      <c r="BF26" s="152"/>
      <c r="BG26" s="152"/>
      <c r="BH26" s="152"/>
    </row>
    <row r="27" spans="1:60">
      <c r="A27" s="156" t="s">
        <v>484</v>
      </c>
      <c r="B27" s="156"/>
      <c r="C27" s="156" t="s">
        <v>326</v>
      </c>
      <c r="D27" s="11" t="s">
        <v>73</v>
      </c>
      <c r="E27" s="152" t="s">
        <v>595</v>
      </c>
      <c r="F27" s="152">
        <v>8</v>
      </c>
      <c r="G27" s="152">
        <v>34</v>
      </c>
      <c r="H27" s="78">
        <v>138.24</v>
      </c>
      <c r="I27" s="31">
        <v>16384</v>
      </c>
      <c r="J27" s="152" t="s">
        <v>581</v>
      </c>
      <c r="K27" s="156" t="s">
        <v>579</v>
      </c>
      <c r="L27" s="152">
        <v>2.6</v>
      </c>
      <c r="M27" s="78"/>
      <c r="N27" s="152"/>
      <c r="O27" s="152"/>
      <c r="P27" s="152"/>
      <c r="Q27" s="78"/>
      <c r="R27" s="152"/>
      <c r="S27" s="152"/>
      <c r="T27" s="152"/>
      <c r="U27" s="78"/>
      <c r="V27" s="152"/>
      <c r="W27" s="152"/>
      <c r="X27" s="152"/>
      <c r="Y27" s="78"/>
      <c r="Z27" s="152"/>
      <c r="AA27" s="152"/>
      <c r="AB27" s="152"/>
      <c r="AC27" s="78"/>
      <c r="AD27" s="152"/>
      <c r="AE27" s="152"/>
      <c r="AF27" s="152"/>
      <c r="AG27" s="78">
        <f t="shared" si="0"/>
        <v>276.48</v>
      </c>
      <c r="AH27" s="152" t="s">
        <v>581</v>
      </c>
      <c r="AI27" s="156" t="s">
        <v>579</v>
      </c>
      <c r="AJ27" s="152" t="s">
        <v>575</v>
      </c>
      <c r="AK27" s="152"/>
      <c r="AL27" s="152"/>
      <c r="AM27" s="152"/>
      <c r="AN27" s="152"/>
      <c r="AO27" s="152"/>
      <c r="AP27" s="152"/>
      <c r="AQ27" s="152"/>
      <c r="AR27" s="152"/>
      <c r="AS27" s="152"/>
      <c r="AT27" s="152"/>
      <c r="AU27" s="152"/>
      <c r="AV27" s="152"/>
      <c r="AW27" s="152">
        <v>2</v>
      </c>
      <c r="AX27" s="152" t="s">
        <v>329</v>
      </c>
      <c r="AY27" s="152"/>
      <c r="AZ27" s="152"/>
      <c r="BA27" s="152">
        <v>2</v>
      </c>
      <c r="BB27" s="152"/>
      <c r="BC27" s="152"/>
      <c r="BD27" s="152" t="s">
        <v>329</v>
      </c>
      <c r="BE27" s="152"/>
      <c r="BF27" s="152"/>
      <c r="BG27" s="152"/>
      <c r="BH27" s="152"/>
    </row>
    <row r="28" spans="1:60">
      <c r="A28" s="156" t="s">
        <v>485</v>
      </c>
      <c r="B28" s="156"/>
      <c r="C28" s="156" t="s">
        <v>326</v>
      </c>
      <c r="D28" s="11" t="s">
        <v>73</v>
      </c>
      <c r="E28" s="152" t="s">
        <v>595</v>
      </c>
      <c r="F28" s="152">
        <v>8</v>
      </c>
      <c r="G28" s="152">
        <v>34</v>
      </c>
      <c r="H28" s="78">
        <v>138.24</v>
      </c>
      <c r="I28" s="31">
        <v>16384</v>
      </c>
      <c r="J28" s="152" t="s">
        <v>581</v>
      </c>
      <c r="K28" s="156" t="s">
        <v>579</v>
      </c>
      <c r="L28" s="152">
        <v>2.6</v>
      </c>
      <c r="M28" s="78"/>
      <c r="N28" s="152"/>
      <c r="O28" s="152"/>
      <c r="P28" s="152"/>
      <c r="Q28" s="78"/>
      <c r="R28" s="152"/>
      <c r="S28" s="152"/>
      <c r="T28" s="152"/>
      <c r="U28" s="78"/>
      <c r="V28" s="152"/>
      <c r="W28" s="152"/>
      <c r="X28" s="152"/>
      <c r="Y28" s="78"/>
      <c r="Z28" s="152"/>
      <c r="AA28" s="152"/>
      <c r="AB28" s="152"/>
      <c r="AC28" s="78"/>
      <c r="AD28" s="152"/>
      <c r="AE28" s="152"/>
      <c r="AF28" s="152"/>
      <c r="AG28" s="78">
        <f t="shared" si="0"/>
        <v>276.48</v>
      </c>
      <c r="AH28" s="152" t="s">
        <v>581</v>
      </c>
      <c r="AI28" s="156" t="s">
        <v>579</v>
      </c>
      <c r="AJ28" s="152" t="s">
        <v>575</v>
      </c>
      <c r="AK28" s="152"/>
      <c r="AL28" s="152"/>
      <c r="AM28" s="152"/>
      <c r="AN28" s="152"/>
      <c r="AO28" s="152"/>
      <c r="AP28" s="152"/>
      <c r="AQ28" s="152"/>
      <c r="AR28" s="152"/>
      <c r="AS28" s="152"/>
      <c r="AT28" s="152"/>
      <c r="AU28" s="152"/>
      <c r="AV28" s="152"/>
      <c r="AW28" s="152">
        <v>2</v>
      </c>
      <c r="AX28" s="152" t="s">
        <v>329</v>
      </c>
      <c r="AY28" s="152"/>
      <c r="AZ28" s="152"/>
      <c r="BA28" s="152">
        <v>2</v>
      </c>
      <c r="BB28" s="152"/>
      <c r="BC28" s="152"/>
      <c r="BD28" s="152" t="s">
        <v>329</v>
      </c>
      <c r="BE28" s="152"/>
      <c r="BF28" s="152"/>
      <c r="BG28" s="152"/>
      <c r="BH28" s="152"/>
    </row>
    <row r="29" spans="1:60">
      <c r="A29" s="156" t="s">
        <v>486</v>
      </c>
      <c r="B29" s="156"/>
      <c r="C29" s="156" t="s">
        <v>326</v>
      </c>
      <c r="D29" s="11" t="s">
        <v>73</v>
      </c>
      <c r="E29" s="152" t="s">
        <v>595</v>
      </c>
      <c r="F29" s="152">
        <v>8</v>
      </c>
      <c r="G29" s="152">
        <v>34</v>
      </c>
      <c r="H29" s="78">
        <v>138.24</v>
      </c>
      <c r="I29" s="31">
        <v>16384</v>
      </c>
      <c r="J29" s="152" t="s">
        <v>581</v>
      </c>
      <c r="K29" s="156" t="s">
        <v>579</v>
      </c>
      <c r="L29" s="152">
        <v>2.6</v>
      </c>
      <c r="M29" s="78"/>
      <c r="N29" s="152"/>
      <c r="O29" s="152"/>
      <c r="P29" s="152"/>
      <c r="Q29" s="78"/>
      <c r="R29" s="152"/>
      <c r="S29" s="152"/>
      <c r="T29" s="152"/>
      <c r="U29" s="78"/>
      <c r="V29" s="152"/>
      <c r="W29" s="152"/>
      <c r="X29" s="152"/>
      <c r="Y29" s="78"/>
      <c r="Z29" s="152"/>
      <c r="AA29" s="152"/>
      <c r="AB29" s="152"/>
      <c r="AC29" s="78"/>
      <c r="AD29" s="152"/>
      <c r="AE29" s="152"/>
      <c r="AF29" s="152"/>
      <c r="AG29" s="78">
        <f t="shared" si="0"/>
        <v>276.48</v>
      </c>
      <c r="AH29" s="152" t="s">
        <v>581</v>
      </c>
      <c r="AI29" s="156" t="s">
        <v>579</v>
      </c>
      <c r="AJ29" s="152" t="s">
        <v>575</v>
      </c>
      <c r="AK29" s="152"/>
      <c r="AL29" s="152"/>
      <c r="AM29" s="152"/>
      <c r="AN29" s="152"/>
      <c r="AO29" s="152"/>
      <c r="AP29" s="152"/>
      <c r="AQ29" s="152"/>
      <c r="AR29" s="152"/>
      <c r="AS29" s="152"/>
      <c r="AT29" s="152"/>
      <c r="AU29" s="152"/>
      <c r="AV29" s="152"/>
      <c r="AW29" s="152">
        <v>2</v>
      </c>
      <c r="AX29" s="152" t="s">
        <v>329</v>
      </c>
      <c r="AY29" s="152"/>
      <c r="AZ29" s="152"/>
      <c r="BA29" s="152">
        <v>2</v>
      </c>
      <c r="BB29" s="152"/>
      <c r="BC29" s="152"/>
      <c r="BD29" s="152" t="s">
        <v>329</v>
      </c>
      <c r="BE29" s="152"/>
      <c r="BF29" s="152"/>
      <c r="BG29" s="152"/>
      <c r="BH29" s="152"/>
    </row>
    <row r="30" spans="1:60">
      <c r="A30" s="156" t="s">
        <v>487</v>
      </c>
      <c r="B30" s="156"/>
      <c r="C30" s="156" t="s">
        <v>326</v>
      </c>
      <c r="D30" s="11" t="s">
        <v>73</v>
      </c>
      <c r="E30" s="152" t="s">
        <v>595</v>
      </c>
      <c r="F30" s="152">
        <v>8</v>
      </c>
      <c r="G30" s="152">
        <v>34</v>
      </c>
      <c r="H30" s="78">
        <v>138.24</v>
      </c>
      <c r="I30" s="31">
        <v>16384</v>
      </c>
      <c r="J30" s="152" t="s">
        <v>581</v>
      </c>
      <c r="K30" s="156" t="s">
        <v>579</v>
      </c>
      <c r="L30" s="152">
        <v>2.6</v>
      </c>
      <c r="M30" s="78"/>
      <c r="N30" s="152"/>
      <c r="O30" s="152"/>
      <c r="P30" s="152"/>
      <c r="Q30" s="78"/>
      <c r="R30" s="152"/>
      <c r="S30" s="152"/>
      <c r="T30" s="152"/>
      <c r="U30" s="78"/>
      <c r="V30" s="152"/>
      <c r="W30" s="152"/>
      <c r="X30" s="152"/>
      <c r="Y30" s="78"/>
      <c r="Z30" s="152"/>
      <c r="AA30" s="152"/>
      <c r="AB30" s="152"/>
      <c r="AC30" s="78"/>
      <c r="AD30" s="152"/>
      <c r="AE30" s="152"/>
      <c r="AF30" s="152"/>
      <c r="AG30" s="78">
        <f t="shared" si="0"/>
        <v>276.48</v>
      </c>
      <c r="AH30" s="152" t="s">
        <v>581</v>
      </c>
      <c r="AI30" s="156" t="s">
        <v>579</v>
      </c>
      <c r="AJ30" s="152" t="s">
        <v>575</v>
      </c>
      <c r="AK30" s="152"/>
      <c r="AL30" s="152"/>
      <c r="AM30" s="152"/>
      <c r="AN30" s="152"/>
      <c r="AO30" s="152"/>
      <c r="AP30" s="152"/>
      <c r="AQ30" s="152"/>
      <c r="AR30" s="152"/>
      <c r="AS30" s="152"/>
      <c r="AT30" s="152"/>
      <c r="AU30" s="152"/>
      <c r="AV30" s="152"/>
      <c r="AW30" s="152">
        <v>2</v>
      </c>
      <c r="AX30" s="152" t="s">
        <v>329</v>
      </c>
      <c r="AY30" s="152"/>
      <c r="AZ30" s="152"/>
      <c r="BA30" s="152">
        <v>2</v>
      </c>
      <c r="BB30" s="152"/>
      <c r="BC30" s="152"/>
      <c r="BD30" s="152" t="s">
        <v>329</v>
      </c>
      <c r="BE30" s="152"/>
      <c r="BF30" s="152"/>
      <c r="BG30" s="152"/>
      <c r="BH30" s="152"/>
    </row>
    <row r="31" spans="1:60">
      <c r="A31" s="156" t="s">
        <v>488</v>
      </c>
      <c r="B31" s="156"/>
      <c r="C31" s="156" t="s">
        <v>326</v>
      </c>
      <c r="D31" s="11" t="s">
        <v>73</v>
      </c>
      <c r="E31" s="152" t="s">
        <v>595</v>
      </c>
      <c r="F31" s="152">
        <v>8</v>
      </c>
      <c r="G31" s="152">
        <v>34</v>
      </c>
      <c r="H31" s="78">
        <v>138.24</v>
      </c>
      <c r="I31" s="31">
        <v>16384</v>
      </c>
      <c r="J31" s="152" t="s">
        <v>581</v>
      </c>
      <c r="K31" s="156" t="s">
        <v>579</v>
      </c>
      <c r="L31" s="152">
        <v>2.6</v>
      </c>
      <c r="M31" s="78"/>
      <c r="N31" s="152"/>
      <c r="O31" s="152"/>
      <c r="P31" s="152"/>
      <c r="Q31" s="78"/>
      <c r="R31" s="152"/>
      <c r="S31" s="152"/>
      <c r="T31" s="152"/>
      <c r="U31" s="78"/>
      <c r="V31" s="152"/>
      <c r="W31" s="152"/>
      <c r="X31" s="152"/>
      <c r="Y31" s="78"/>
      <c r="Z31" s="152"/>
      <c r="AA31" s="152"/>
      <c r="AB31" s="152"/>
      <c r="AC31" s="78"/>
      <c r="AD31" s="152"/>
      <c r="AE31" s="152"/>
      <c r="AF31" s="152"/>
      <c r="AG31" s="78">
        <f t="shared" si="0"/>
        <v>276.48</v>
      </c>
      <c r="AH31" s="152" t="s">
        <v>581</v>
      </c>
      <c r="AI31" s="156" t="s">
        <v>579</v>
      </c>
      <c r="AJ31" s="152" t="s">
        <v>575</v>
      </c>
      <c r="AK31" s="152"/>
      <c r="AL31" s="152"/>
      <c r="AM31" s="152"/>
      <c r="AN31" s="152"/>
      <c r="AO31" s="152"/>
      <c r="AP31" s="152"/>
      <c r="AQ31" s="152"/>
      <c r="AR31" s="152"/>
      <c r="AS31" s="152"/>
      <c r="AT31" s="152"/>
      <c r="AU31" s="152"/>
      <c r="AV31" s="152"/>
      <c r="AW31" s="152">
        <v>2</v>
      </c>
      <c r="AX31" s="152" t="s">
        <v>329</v>
      </c>
      <c r="AY31" s="152"/>
      <c r="AZ31" s="152"/>
      <c r="BA31" s="152">
        <v>2</v>
      </c>
      <c r="BB31" s="152"/>
      <c r="BC31" s="152"/>
      <c r="BD31" s="152" t="s">
        <v>329</v>
      </c>
      <c r="BE31" s="152"/>
      <c r="BF31" s="152"/>
      <c r="BG31" s="152"/>
      <c r="BH31" s="152"/>
    </row>
    <row r="32" spans="1:60">
      <c r="A32" s="156" t="s">
        <v>489</v>
      </c>
      <c r="B32" s="156"/>
      <c r="C32" s="156" t="s">
        <v>326</v>
      </c>
      <c r="D32" s="11" t="s">
        <v>73</v>
      </c>
      <c r="E32" s="152" t="s">
        <v>595</v>
      </c>
      <c r="F32" s="152">
        <v>8</v>
      </c>
      <c r="G32" s="152">
        <v>34</v>
      </c>
      <c r="H32" s="78">
        <v>138.24</v>
      </c>
      <c r="I32" s="31">
        <v>16384</v>
      </c>
      <c r="J32" s="152" t="s">
        <v>581</v>
      </c>
      <c r="K32" s="156" t="s">
        <v>579</v>
      </c>
      <c r="L32" s="152">
        <v>2.6</v>
      </c>
      <c r="M32" s="78"/>
      <c r="N32" s="152"/>
      <c r="O32" s="152"/>
      <c r="P32" s="152"/>
      <c r="Q32" s="78"/>
      <c r="R32" s="152"/>
      <c r="S32" s="152"/>
      <c r="T32" s="152"/>
      <c r="U32" s="78"/>
      <c r="V32" s="152"/>
      <c r="W32" s="152"/>
      <c r="X32" s="152"/>
      <c r="Y32" s="78"/>
      <c r="Z32" s="152"/>
      <c r="AA32" s="152"/>
      <c r="AB32" s="152"/>
      <c r="AC32" s="78"/>
      <c r="AD32" s="152"/>
      <c r="AE32" s="152"/>
      <c r="AF32" s="152"/>
      <c r="AG32" s="78">
        <f t="shared" si="0"/>
        <v>276.48</v>
      </c>
      <c r="AH32" s="152" t="s">
        <v>581</v>
      </c>
      <c r="AI32" s="156" t="s">
        <v>579</v>
      </c>
      <c r="AJ32" s="152" t="s">
        <v>575</v>
      </c>
      <c r="AK32" s="152"/>
      <c r="AL32" s="152"/>
      <c r="AM32" s="152"/>
      <c r="AN32" s="152"/>
      <c r="AO32" s="152"/>
      <c r="AP32" s="152"/>
      <c r="AQ32" s="152"/>
      <c r="AR32" s="152"/>
      <c r="AS32" s="152"/>
      <c r="AT32" s="152"/>
      <c r="AU32" s="152"/>
      <c r="AV32" s="152"/>
      <c r="AW32" s="152">
        <v>2</v>
      </c>
      <c r="AX32" s="152" t="s">
        <v>329</v>
      </c>
      <c r="AY32" s="152"/>
      <c r="AZ32" s="152"/>
      <c r="BA32" s="152">
        <v>2</v>
      </c>
      <c r="BB32" s="152"/>
      <c r="BC32" s="152"/>
      <c r="BD32" s="152" t="s">
        <v>329</v>
      </c>
      <c r="BE32" s="152"/>
      <c r="BF32" s="152"/>
      <c r="BG32" s="152"/>
      <c r="BH32" s="152"/>
    </row>
    <row r="33" spans="1:60">
      <c r="A33" s="156" t="s">
        <v>502</v>
      </c>
      <c r="B33" s="156"/>
      <c r="C33" s="156" t="s">
        <v>326</v>
      </c>
      <c r="D33" s="11" t="s">
        <v>73</v>
      </c>
      <c r="E33" s="152" t="s">
        <v>595</v>
      </c>
      <c r="F33" s="152">
        <v>8</v>
      </c>
      <c r="G33" s="152">
        <v>34</v>
      </c>
      <c r="H33" s="78">
        <v>138.24</v>
      </c>
      <c r="I33" s="31">
        <v>16384</v>
      </c>
      <c r="J33" s="152" t="s">
        <v>581</v>
      </c>
      <c r="K33" s="156" t="s">
        <v>579</v>
      </c>
      <c r="L33" s="152">
        <v>2.6</v>
      </c>
      <c r="M33" s="78"/>
      <c r="N33" s="152"/>
      <c r="O33" s="152"/>
      <c r="P33" s="152"/>
      <c r="Q33" s="78"/>
      <c r="R33" s="152"/>
      <c r="S33" s="152"/>
      <c r="T33" s="152"/>
      <c r="U33" s="78"/>
      <c r="V33" s="152"/>
      <c r="W33" s="152"/>
      <c r="X33" s="152"/>
      <c r="Y33" s="78"/>
      <c r="Z33" s="152"/>
      <c r="AA33" s="152"/>
      <c r="AB33" s="152"/>
      <c r="AC33" s="78"/>
      <c r="AD33" s="152"/>
      <c r="AE33" s="152"/>
      <c r="AF33" s="152"/>
      <c r="AG33" s="78">
        <f t="shared" si="0"/>
        <v>276.48</v>
      </c>
      <c r="AH33" s="152" t="s">
        <v>581</v>
      </c>
      <c r="AI33" s="156" t="s">
        <v>579</v>
      </c>
      <c r="AJ33" s="152" t="s">
        <v>575</v>
      </c>
      <c r="AK33" s="152"/>
      <c r="AL33" s="152"/>
      <c r="AM33" s="152"/>
      <c r="AN33" s="152"/>
      <c r="AO33" s="152"/>
      <c r="AP33" s="152"/>
      <c r="AQ33" s="152"/>
      <c r="AR33" s="152"/>
      <c r="AS33" s="152"/>
      <c r="AT33" s="152"/>
      <c r="AU33" s="152"/>
      <c r="AV33" s="152"/>
      <c r="AW33" s="152">
        <v>2</v>
      </c>
      <c r="AX33" s="152" t="s">
        <v>329</v>
      </c>
      <c r="AY33" s="152"/>
      <c r="AZ33" s="152"/>
      <c r="BA33" s="152">
        <v>2</v>
      </c>
      <c r="BB33" s="152"/>
      <c r="BC33" s="152"/>
      <c r="BD33" s="152" t="s">
        <v>329</v>
      </c>
      <c r="BE33" s="152"/>
      <c r="BF33" s="152"/>
      <c r="BG33" s="152"/>
      <c r="BH33" s="152"/>
    </row>
    <row r="34" spans="1:60">
      <c r="A34" s="156" t="s">
        <v>503</v>
      </c>
      <c r="B34" s="156"/>
      <c r="C34" s="156" t="s">
        <v>326</v>
      </c>
      <c r="D34" s="11" t="s">
        <v>73</v>
      </c>
      <c r="E34" s="152" t="s">
        <v>595</v>
      </c>
      <c r="F34" s="152">
        <v>8</v>
      </c>
      <c r="G34" s="152">
        <v>34</v>
      </c>
      <c r="H34" s="78">
        <v>138.24</v>
      </c>
      <c r="I34" s="31">
        <v>16384</v>
      </c>
      <c r="J34" s="152" t="s">
        <v>581</v>
      </c>
      <c r="K34" s="156" t="s">
        <v>579</v>
      </c>
      <c r="L34" s="152">
        <v>2.6</v>
      </c>
      <c r="M34" s="78"/>
      <c r="N34" s="152"/>
      <c r="O34" s="152"/>
      <c r="P34" s="152"/>
      <c r="Q34" s="78"/>
      <c r="R34" s="152"/>
      <c r="S34" s="152"/>
      <c r="T34" s="152"/>
      <c r="U34" s="78"/>
      <c r="V34" s="152"/>
      <c r="W34" s="152"/>
      <c r="X34" s="152"/>
      <c r="Y34" s="78"/>
      <c r="Z34" s="152"/>
      <c r="AA34" s="152"/>
      <c r="AB34" s="152"/>
      <c r="AC34" s="78"/>
      <c r="AD34" s="152"/>
      <c r="AE34" s="152"/>
      <c r="AF34" s="152"/>
      <c r="AG34" s="78">
        <f t="shared" si="0"/>
        <v>276.48</v>
      </c>
      <c r="AH34" s="152" t="s">
        <v>581</v>
      </c>
      <c r="AI34" s="156" t="s">
        <v>579</v>
      </c>
      <c r="AJ34" s="152" t="s">
        <v>575</v>
      </c>
      <c r="AK34" s="152"/>
      <c r="AL34" s="152"/>
      <c r="AM34" s="152"/>
      <c r="AN34" s="152"/>
      <c r="AO34" s="152"/>
      <c r="AP34" s="152"/>
      <c r="AQ34" s="152"/>
      <c r="AR34" s="152"/>
      <c r="AS34" s="152"/>
      <c r="AT34" s="152"/>
      <c r="AU34" s="152"/>
      <c r="AV34" s="152"/>
      <c r="AW34" s="152">
        <v>2</v>
      </c>
      <c r="AX34" s="152" t="s">
        <v>329</v>
      </c>
      <c r="AY34" s="152"/>
      <c r="AZ34" s="152"/>
      <c r="BA34" s="152">
        <v>2</v>
      </c>
      <c r="BB34" s="152"/>
      <c r="BC34" s="152"/>
      <c r="BD34" s="152" t="s">
        <v>329</v>
      </c>
      <c r="BE34" s="152"/>
      <c r="BF34" s="152"/>
      <c r="BG34" s="152"/>
      <c r="BH34" s="152"/>
    </row>
    <row r="35" spans="1:60">
      <c r="A35" s="156" t="s">
        <v>504</v>
      </c>
      <c r="B35" s="156"/>
      <c r="C35" s="11" t="s">
        <v>362</v>
      </c>
      <c r="D35" s="156" t="s">
        <v>75</v>
      </c>
      <c r="E35" s="152" t="s">
        <v>596</v>
      </c>
      <c r="F35" s="152">
        <v>4</v>
      </c>
      <c r="G35" s="152">
        <v>4</v>
      </c>
      <c r="H35" s="78">
        <v>102.4</v>
      </c>
      <c r="I35" s="31">
        <v>0</v>
      </c>
      <c r="J35" s="152" t="s">
        <v>578</v>
      </c>
      <c r="K35" s="156" t="s">
        <v>579</v>
      </c>
      <c r="L35" s="152">
        <v>100</v>
      </c>
      <c r="M35" s="78"/>
      <c r="N35" s="152"/>
      <c r="O35" s="152"/>
      <c r="P35" s="152"/>
      <c r="Q35" s="78"/>
      <c r="R35" s="152"/>
      <c r="S35" s="152"/>
      <c r="T35" s="152"/>
      <c r="U35" s="78"/>
      <c r="V35" s="152"/>
      <c r="W35" s="152"/>
      <c r="X35" s="152"/>
      <c r="Y35" s="78"/>
      <c r="Z35" s="152"/>
      <c r="AA35" s="152"/>
      <c r="AB35" s="152"/>
      <c r="AC35" s="78"/>
      <c r="AD35" s="152"/>
      <c r="AE35" s="152"/>
      <c r="AF35" s="152"/>
      <c r="AG35" s="78">
        <f t="shared" si="0"/>
        <v>204.8</v>
      </c>
      <c r="AH35" s="152" t="s">
        <v>581</v>
      </c>
      <c r="AI35" s="156" t="s">
        <v>579</v>
      </c>
      <c r="AJ35" s="152" t="s">
        <v>575</v>
      </c>
      <c r="AK35" s="152"/>
      <c r="AL35" s="152"/>
      <c r="AM35" s="152"/>
      <c r="AN35" s="152"/>
      <c r="AO35" s="152"/>
      <c r="AP35" s="152"/>
      <c r="AQ35" s="152"/>
      <c r="AR35" s="152"/>
      <c r="AS35" s="152"/>
      <c r="AT35" s="152"/>
      <c r="AU35" s="152"/>
      <c r="AV35" s="152"/>
      <c r="AW35" s="152">
        <v>4</v>
      </c>
      <c r="AX35" s="152" t="s">
        <v>329</v>
      </c>
      <c r="AY35" s="152"/>
      <c r="AZ35" s="152"/>
      <c r="BA35" s="152">
        <v>2</v>
      </c>
      <c r="BB35" s="152"/>
      <c r="BC35" s="152"/>
      <c r="BD35" s="152" t="s">
        <v>329</v>
      </c>
      <c r="BE35" s="152"/>
      <c r="BF35" s="152"/>
      <c r="BG35" s="152"/>
      <c r="BH35" s="152"/>
    </row>
    <row r="36" spans="1:60">
      <c r="A36" s="156" t="s">
        <v>505</v>
      </c>
      <c r="B36" s="156"/>
      <c r="C36" s="11" t="s">
        <v>362</v>
      </c>
      <c r="D36" s="156" t="s">
        <v>79</v>
      </c>
      <c r="E36" s="152" t="s">
        <v>597</v>
      </c>
      <c r="F36" s="152">
        <v>4</v>
      </c>
      <c r="G36" s="152">
        <v>16</v>
      </c>
      <c r="H36" s="78">
        <v>102.4</v>
      </c>
      <c r="I36" s="31">
        <v>0</v>
      </c>
      <c r="J36" s="152" t="s">
        <v>578</v>
      </c>
      <c r="K36" s="156" t="s">
        <v>579</v>
      </c>
      <c r="L36" s="152">
        <v>110</v>
      </c>
      <c r="M36" s="78"/>
      <c r="N36" s="152"/>
      <c r="O36" s="152"/>
      <c r="P36" s="152"/>
      <c r="Q36" s="78"/>
      <c r="R36" s="152"/>
      <c r="S36" s="152"/>
      <c r="T36" s="152"/>
      <c r="U36" s="78"/>
      <c r="V36" s="152"/>
      <c r="W36" s="152"/>
      <c r="X36" s="152"/>
      <c r="Y36" s="78"/>
      <c r="Z36" s="152"/>
      <c r="AA36" s="152"/>
      <c r="AB36" s="152"/>
      <c r="AC36" s="78"/>
      <c r="AD36" s="152"/>
      <c r="AE36" s="152"/>
      <c r="AF36" s="152"/>
      <c r="AG36" s="78">
        <f t="shared" si="0"/>
        <v>204.8</v>
      </c>
      <c r="AH36" s="152" t="s">
        <v>581</v>
      </c>
      <c r="AI36" s="156" t="s">
        <v>579</v>
      </c>
      <c r="AJ36" s="152" t="s">
        <v>575</v>
      </c>
      <c r="AK36" s="152"/>
      <c r="AL36" s="152"/>
      <c r="AM36" s="152"/>
      <c r="AN36" s="152"/>
      <c r="AO36" s="152"/>
      <c r="AP36" s="152"/>
      <c r="AQ36" s="152"/>
      <c r="AR36" s="152"/>
      <c r="AS36" s="152"/>
      <c r="AT36" s="152"/>
      <c r="AU36" s="152"/>
      <c r="AV36" s="152"/>
      <c r="AW36" s="152">
        <v>4</v>
      </c>
      <c r="AX36" s="152" t="s">
        <v>329</v>
      </c>
      <c r="AY36" s="152"/>
      <c r="AZ36" s="152"/>
      <c r="BA36" s="152">
        <v>2</v>
      </c>
      <c r="BB36" s="152"/>
      <c r="BC36" s="152"/>
      <c r="BD36" s="152" t="s">
        <v>329</v>
      </c>
      <c r="BE36" s="152"/>
      <c r="BF36" s="152"/>
      <c r="BG36" s="152"/>
      <c r="BH36" s="152"/>
    </row>
    <row r="37" spans="1:60">
      <c r="A37" s="156" t="s">
        <v>364</v>
      </c>
      <c r="B37" s="156"/>
      <c r="C37" s="11" t="s">
        <v>362</v>
      </c>
      <c r="D37" s="156" t="s">
        <v>77</v>
      </c>
      <c r="E37" s="152" t="s">
        <v>598</v>
      </c>
      <c r="F37" s="152">
        <v>4</v>
      </c>
      <c r="G37" s="152">
        <v>14</v>
      </c>
      <c r="H37" s="78">
        <v>102.4</v>
      </c>
      <c r="I37" s="31">
        <v>0</v>
      </c>
      <c r="J37" s="152" t="s">
        <v>578</v>
      </c>
      <c r="K37" s="156" t="s">
        <v>579</v>
      </c>
      <c r="L37" s="152">
        <v>100</v>
      </c>
      <c r="M37" s="78"/>
      <c r="N37" s="152"/>
      <c r="O37" s="152"/>
      <c r="P37" s="152"/>
      <c r="Q37" s="78"/>
      <c r="R37" s="152"/>
      <c r="S37" s="152"/>
      <c r="T37" s="152"/>
      <c r="U37" s="78"/>
      <c r="V37" s="152"/>
      <c r="W37" s="152"/>
      <c r="X37" s="152"/>
      <c r="Y37" s="78"/>
      <c r="Z37" s="152"/>
      <c r="AA37" s="152"/>
      <c r="AB37" s="152"/>
      <c r="AC37" s="78"/>
      <c r="AD37" s="152"/>
      <c r="AE37" s="152"/>
      <c r="AF37" s="152"/>
      <c r="AG37" s="78">
        <f t="shared" si="0"/>
        <v>204.8</v>
      </c>
      <c r="AH37" s="152" t="s">
        <v>581</v>
      </c>
      <c r="AI37" s="156" t="s">
        <v>579</v>
      </c>
      <c r="AJ37" s="152" t="s">
        <v>575</v>
      </c>
      <c r="AK37" s="152"/>
      <c r="AL37" s="152"/>
      <c r="AM37" s="152"/>
      <c r="AN37" s="152"/>
      <c r="AO37" s="152"/>
      <c r="AP37" s="152"/>
      <c r="AQ37" s="152"/>
      <c r="AR37" s="152"/>
      <c r="AS37" s="152"/>
      <c r="AT37" s="152"/>
      <c r="AU37" s="152"/>
      <c r="AV37" s="152"/>
      <c r="AW37" s="152">
        <v>4</v>
      </c>
      <c r="AX37" s="152" t="s">
        <v>329</v>
      </c>
      <c r="AY37" s="152"/>
      <c r="AZ37" s="152"/>
      <c r="BA37" s="152">
        <v>2</v>
      </c>
      <c r="BB37" s="152"/>
      <c r="BC37" s="152"/>
      <c r="BD37" s="152" t="s">
        <v>329</v>
      </c>
      <c r="BE37" s="152"/>
      <c r="BF37" s="152"/>
      <c r="BG37" s="152"/>
      <c r="BH37" s="152"/>
    </row>
    <row r="38" spans="1:60">
      <c r="A38" s="156" t="s">
        <v>365</v>
      </c>
      <c r="B38" s="152"/>
      <c r="C38" s="156" t="s">
        <v>326</v>
      </c>
      <c r="D38" s="11" t="s">
        <v>81</v>
      </c>
      <c r="E38" s="152" t="s">
        <v>599</v>
      </c>
      <c r="F38" s="152">
        <v>9</v>
      </c>
      <c r="G38" s="152">
        <v>12</v>
      </c>
      <c r="H38" s="78">
        <v>46.08</v>
      </c>
      <c r="I38" s="31">
        <v>16384</v>
      </c>
      <c r="J38" s="152" t="s">
        <v>581</v>
      </c>
      <c r="K38" s="156" t="s">
        <v>579</v>
      </c>
      <c r="L38" s="152">
        <v>2.6</v>
      </c>
      <c r="M38" s="78"/>
      <c r="N38" s="152"/>
      <c r="O38" s="152"/>
      <c r="P38" s="152"/>
      <c r="Q38" s="78"/>
      <c r="R38" s="152"/>
      <c r="S38" s="152"/>
      <c r="T38" s="152"/>
      <c r="U38" s="78"/>
      <c r="V38" s="152"/>
      <c r="W38" s="152"/>
      <c r="X38" s="152"/>
      <c r="Y38" s="78"/>
      <c r="Z38" s="152"/>
      <c r="AA38" s="152"/>
      <c r="AB38" s="152"/>
      <c r="AC38" s="78"/>
      <c r="AD38" s="152"/>
      <c r="AE38" s="152"/>
      <c r="AF38" s="152"/>
      <c r="AG38" s="78">
        <f>2*(H38+AK38)</f>
        <v>184.32</v>
      </c>
      <c r="AH38" s="152" t="s">
        <v>581</v>
      </c>
      <c r="AI38" s="156" t="s">
        <v>579</v>
      </c>
      <c r="AJ38" s="152" t="s">
        <v>575</v>
      </c>
      <c r="AK38" s="78">
        <v>46.08</v>
      </c>
      <c r="AL38" s="154" t="s">
        <v>581</v>
      </c>
      <c r="AM38" s="156" t="s">
        <v>579</v>
      </c>
      <c r="AN38" s="152">
        <f>50/1000</f>
        <v>0.05</v>
      </c>
      <c r="AO38" s="152"/>
      <c r="AP38" s="152"/>
      <c r="AQ38" s="152"/>
      <c r="AR38" s="152"/>
      <c r="AS38" s="152"/>
      <c r="AT38" s="152"/>
      <c r="AU38" s="152"/>
      <c r="AV38" s="152"/>
      <c r="AW38" s="154">
        <v>3</v>
      </c>
      <c r="AX38" s="152" t="s">
        <v>329</v>
      </c>
      <c r="AY38" s="152"/>
      <c r="AZ38" s="152"/>
      <c r="BA38" s="152">
        <v>2</v>
      </c>
      <c r="BB38" s="152"/>
      <c r="BC38" s="152"/>
      <c r="BD38" s="152" t="s">
        <v>329</v>
      </c>
      <c r="BE38" s="152"/>
      <c r="BF38" s="152"/>
      <c r="BG38" s="152"/>
      <c r="BH38" s="152"/>
    </row>
    <row r="39" spans="1:60">
      <c r="A39" s="156" t="s">
        <v>367</v>
      </c>
      <c r="B39" s="156"/>
      <c r="C39" s="156" t="s">
        <v>326</v>
      </c>
      <c r="D39" s="11" t="s">
        <v>81</v>
      </c>
      <c r="E39" s="152" t="s">
        <v>599</v>
      </c>
      <c r="F39" s="152">
        <v>9</v>
      </c>
      <c r="G39" s="152">
        <v>12</v>
      </c>
      <c r="H39" s="78">
        <v>46.08</v>
      </c>
      <c r="I39" s="31">
        <v>16384</v>
      </c>
      <c r="J39" s="152" t="s">
        <v>581</v>
      </c>
      <c r="K39" s="156" t="s">
        <v>579</v>
      </c>
      <c r="L39" s="152">
        <v>2.6</v>
      </c>
      <c r="M39" s="78"/>
      <c r="N39" s="152"/>
      <c r="O39" s="152"/>
      <c r="P39" s="152"/>
      <c r="Q39" s="78"/>
      <c r="R39" s="152"/>
      <c r="S39" s="152"/>
      <c r="T39" s="152"/>
      <c r="U39" s="78"/>
      <c r="V39" s="152"/>
      <c r="W39" s="152"/>
      <c r="X39" s="152"/>
      <c r="Y39" s="78"/>
      <c r="Z39" s="152"/>
      <c r="AA39" s="152"/>
      <c r="AB39" s="152"/>
      <c r="AC39" s="78"/>
      <c r="AD39" s="152"/>
      <c r="AE39" s="152"/>
      <c r="AF39" s="152"/>
      <c r="AG39" s="78">
        <f>2*(H39+AK39)</f>
        <v>184.32</v>
      </c>
      <c r="AH39" s="152" t="s">
        <v>581</v>
      </c>
      <c r="AI39" s="156" t="s">
        <v>579</v>
      </c>
      <c r="AJ39" s="152" t="s">
        <v>575</v>
      </c>
      <c r="AK39" s="78">
        <v>46.08</v>
      </c>
      <c r="AL39" s="154" t="s">
        <v>581</v>
      </c>
      <c r="AM39" s="156" t="s">
        <v>579</v>
      </c>
      <c r="AN39" s="152">
        <f>50/1000</f>
        <v>0.05</v>
      </c>
      <c r="AO39" s="152"/>
      <c r="AP39" s="152"/>
      <c r="AQ39" s="152"/>
      <c r="AR39" s="152"/>
      <c r="AS39" s="152"/>
      <c r="AT39" s="152"/>
      <c r="AU39" s="152"/>
      <c r="AV39" s="152"/>
      <c r="AW39" s="154">
        <v>3</v>
      </c>
      <c r="AX39" s="152" t="s">
        <v>329</v>
      </c>
      <c r="AY39" s="152"/>
      <c r="AZ39" s="152"/>
      <c r="BA39" s="152">
        <v>2</v>
      </c>
      <c r="BB39" s="152"/>
      <c r="BC39" s="152"/>
      <c r="BD39" s="152" t="s">
        <v>329</v>
      </c>
      <c r="BE39" s="152"/>
      <c r="BF39" s="152"/>
      <c r="BG39" s="152"/>
      <c r="BH39" s="152"/>
    </row>
    <row r="40" spans="1:60">
      <c r="A40" s="156" t="s">
        <v>506</v>
      </c>
      <c r="B40" s="156"/>
      <c r="C40" s="156" t="s">
        <v>326</v>
      </c>
      <c r="D40" s="11" t="s">
        <v>81</v>
      </c>
      <c r="E40" s="152" t="s">
        <v>599</v>
      </c>
      <c r="F40" s="152">
        <v>9</v>
      </c>
      <c r="G40" s="152">
        <v>12</v>
      </c>
      <c r="H40" s="78">
        <v>46.08</v>
      </c>
      <c r="I40" s="31">
        <v>16384</v>
      </c>
      <c r="J40" s="152" t="s">
        <v>581</v>
      </c>
      <c r="K40" s="156" t="s">
        <v>579</v>
      </c>
      <c r="L40" s="152">
        <v>2.6</v>
      </c>
      <c r="M40" s="78"/>
      <c r="N40" s="152"/>
      <c r="O40" s="152"/>
      <c r="P40" s="152"/>
      <c r="Q40" s="78"/>
      <c r="R40" s="152"/>
      <c r="S40" s="152"/>
      <c r="T40" s="152"/>
      <c r="U40" s="78"/>
      <c r="V40" s="152"/>
      <c r="W40" s="152"/>
      <c r="X40" s="152"/>
      <c r="Y40" s="78"/>
      <c r="Z40" s="152"/>
      <c r="AA40" s="152"/>
      <c r="AB40" s="152"/>
      <c r="AC40" s="78"/>
      <c r="AD40" s="152"/>
      <c r="AE40" s="152"/>
      <c r="AF40" s="152"/>
      <c r="AG40" s="78">
        <f>2*(H40+AK40)</f>
        <v>184.32</v>
      </c>
      <c r="AH40" s="152" t="s">
        <v>581</v>
      </c>
      <c r="AI40" s="156" t="s">
        <v>579</v>
      </c>
      <c r="AJ40" s="152" t="s">
        <v>575</v>
      </c>
      <c r="AK40" s="78">
        <v>46.08</v>
      </c>
      <c r="AL40" s="154" t="s">
        <v>581</v>
      </c>
      <c r="AM40" s="156" t="s">
        <v>579</v>
      </c>
      <c r="AN40" s="152">
        <f>50/1000</f>
        <v>0.05</v>
      </c>
      <c r="AO40" s="152"/>
      <c r="AP40" s="152"/>
      <c r="AQ40" s="152"/>
      <c r="AR40" s="152"/>
      <c r="AS40" s="152"/>
      <c r="AT40" s="152"/>
      <c r="AU40" s="152"/>
      <c r="AV40" s="152"/>
      <c r="AW40" s="154">
        <v>3</v>
      </c>
      <c r="AX40" s="152" t="s">
        <v>329</v>
      </c>
      <c r="AY40" s="152"/>
      <c r="AZ40" s="152"/>
      <c r="BA40" s="152">
        <v>2</v>
      </c>
      <c r="BB40" s="152"/>
      <c r="BC40" s="152"/>
      <c r="BD40" s="152" t="s">
        <v>329</v>
      </c>
      <c r="BE40" s="152"/>
      <c r="BF40" s="152"/>
      <c r="BG40" s="152"/>
      <c r="BH40" s="152"/>
    </row>
    <row r="41" spans="1:60">
      <c r="A41" s="156" t="s">
        <v>507</v>
      </c>
      <c r="B41" s="156"/>
      <c r="C41" s="156" t="s">
        <v>326</v>
      </c>
      <c r="D41" s="11" t="s">
        <v>81</v>
      </c>
      <c r="E41" s="152" t="s">
        <v>599</v>
      </c>
      <c r="F41" s="152">
        <v>9</v>
      </c>
      <c r="G41" s="152">
        <v>12</v>
      </c>
      <c r="H41" s="78">
        <v>46.08</v>
      </c>
      <c r="I41" s="31">
        <v>16384</v>
      </c>
      <c r="J41" s="152" t="s">
        <v>581</v>
      </c>
      <c r="K41" s="156" t="s">
        <v>579</v>
      </c>
      <c r="L41" s="152">
        <v>2.6</v>
      </c>
      <c r="M41" s="78"/>
      <c r="N41" s="152"/>
      <c r="O41" s="152"/>
      <c r="P41" s="152"/>
      <c r="Q41" s="78"/>
      <c r="R41" s="152"/>
      <c r="S41" s="152"/>
      <c r="T41" s="152"/>
      <c r="U41" s="78"/>
      <c r="V41" s="152"/>
      <c r="W41" s="152"/>
      <c r="X41" s="152"/>
      <c r="Y41" s="78"/>
      <c r="Z41" s="152"/>
      <c r="AA41" s="152"/>
      <c r="AB41" s="152"/>
      <c r="AC41" s="78"/>
      <c r="AD41" s="152"/>
      <c r="AE41" s="152"/>
      <c r="AF41" s="152"/>
      <c r="AG41" s="78">
        <f>2*(H41+AK41)</f>
        <v>184.32</v>
      </c>
      <c r="AH41" s="152" t="s">
        <v>581</v>
      </c>
      <c r="AI41" s="156" t="s">
        <v>579</v>
      </c>
      <c r="AJ41" s="152" t="s">
        <v>575</v>
      </c>
      <c r="AK41" s="78">
        <v>46.08</v>
      </c>
      <c r="AL41" s="154" t="s">
        <v>581</v>
      </c>
      <c r="AM41" s="156" t="s">
        <v>579</v>
      </c>
      <c r="AN41" s="152">
        <f>50/1000</f>
        <v>0.05</v>
      </c>
      <c r="AO41" s="152"/>
      <c r="AP41" s="152"/>
      <c r="AQ41" s="152"/>
      <c r="AR41" s="152"/>
      <c r="AS41" s="152"/>
      <c r="AT41" s="152"/>
      <c r="AU41" s="152"/>
      <c r="AV41" s="152"/>
      <c r="AW41" s="154">
        <v>3</v>
      </c>
      <c r="AX41" s="152" t="s">
        <v>329</v>
      </c>
      <c r="AY41" s="152"/>
      <c r="AZ41" s="152"/>
      <c r="BA41" s="152">
        <v>2</v>
      </c>
      <c r="BB41" s="152"/>
      <c r="BC41" s="152"/>
      <c r="BD41" s="152" t="s">
        <v>329</v>
      </c>
      <c r="BE41" s="152"/>
      <c r="BF41" s="152"/>
      <c r="BG41" s="152"/>
      <c r="BH41" s="152"/>
    </row>
    <row r="42" spans="1:60">
      <c r="A42" s="156" t="s">
        <v>368</v>
      </c>
      <c r="B42" s="156"/>
      <c r="C42" s="156" t="s">
        <v>326</v>
      </c>
      <c r="D42" s="11" t="s">
        <v>369</v>
      </c>
      <c r="E42" s="152" t="s">
        <v>600</v>
      </c>
      <c r="F42" s="152">
        <v>4</v>
      </c>
      <c r="G42" s="152">
        <v>4</v>
      </c>
      <c r="H42" s="78">
        <v>40.96</v>
      </c>
      <c r="I42" s="31">
        <v>4096</v>
      </c>
      <c r="J42" s="152" t="s">
        <v>581</v>
      </c>
      <c r="K42" s="156" t="s">
        <v>579</v>
      </c>
      <c r="L42" s="152">
        <v>2.6</v>
      </c>
      <c r="M42" s="78"/>
      <c r="N42" s="152"/>
      <c r="O42" s="152"/>
      <c r="P42" s="152"/>
      <c r="Q42" s="78"/>
      <c r="R42" s="152"/>
      <c r="S42" s="152"/>
      <c r="T42" s="152"/>
      <c r="U42" s="78"/>
      <c r="V42" s="152"/>
      <c r="W42" s="152"/>
      <c r="X42" s="152"/>
      <c r="Y42" s="78"/>
      <c r="Z42" s="152"/>
      <c r="AA42" s="152"/>
      <c r="AB42" s="152"/>
      <c r="AC42" s="78"/>
      <c r="AD42" s="152"/>
      <c r="AE42" s="152"/>
      <c r="AF42" s="152"/>
      <c r="AG42" s="78">
        <f t="shared" si="0"/>
        <v>81.92</v>
      </c>
      <c r="AH42" s="152" t="s">
        <v>581</v>
      </c>
      <c r="AI42" s="156" t="s">
        <v>579</v>
      </c>
      <c r="AJ42" s="152" t="s">
        <v>575</v>
      </c>
      <c r="AK42" s="82"/>
      <c r="AL42" s="154"/>
      <c r="AM42" s="154"/>
      <c r="AN42" s="154"/>
      <c r="AO42" s="154"/>
      <c r="AP42" s="154"/>
      <c r="AQ42" s="154"/>
      <c r="AR42" s="154"/>
      <c r="AS42" s="154"/>
      <c r="AT42" s="154"/>
      <c r="AU42" s="154"/>
      <c r="AV42" s="154"/>
      <c r="AW42" s="154">
        <v>2</v>
      </c>
      <c r="AX42" s="152" t="s">
        <v>329</v>
      </c>
      <c r="AY42" s="152"/>
      <c r="AZ42" s="152"/>
      <c r="BA42" s="152">
        <v>2</v>
      </c>
      <c r="BB42" s="152"/>
      <c r="BC42" s="152"/>
      <c r="BD42" s="152" t="s">
        <v>329</v>
      </c>
      <c r="BE42" s="152"/>
      <c r="BF42" s="152"/>
      <c r="BG42" s="152"/>
      <c r="BH42" s="152"/>
    </row>
    <row r="43" spans="1:60">
      <c r="A43" s="156" t="s">
        <v>370</v>
      </c>
      <c r="B43" s="156"/>
      <c r="C43" s="156" t="s">
        <v>326</v>
      </c>
      <c r="D43" s="11" t="s">
        <v>371</v>
      </c>
      <c r="E43" s="152" t="s">
        <v>600</v>
      </c>
      <c r="F43" s="152">
        <v>4</v>
      </c>
      <c r="G43" s="152">
        <v>4</v>
      </c>
      <c r="H43" s="78">
        <v>40.96</v>
      </c>
      <c r="I43" s="31">
        <v>4096</v>
      </c>
      <c r="J43" s="152" t="s">
        <v>581</v>
      </c>
      <c r="K43" s="156" t="s">
        <v>579</v>
      </c>
      <c r="L43" s="152">
        <v>2.6</v>
      </c>
      <c r="M43" s="78"/>
      <c r="N43" s="152"/>
      <c r="O43" s="152"/>
      <c r="P43" s="152"/>
      <c r="Q43" s="78"/>
      <c r="R43" s="152"/>
      <c r="S43" s="152"/>
      <c r="T43" s="152"/>
      <c r="U43" s="78"/>
      <c r="V43" s="152"/>
      <c r="W43" s="152"/>
      <c r="X43" s="152"/>
      <c r="Y43" s="78"/>
      <c r="Z43" s="152"/>
      <c r="AA43" s="152"/>
      <c r="AB43" s="152"/>
      <c r="AC43" s="78"/>
      <c r="AD43" s="152"/>
      <c r="AE43" s="152"/>
      <c r="AF43" s="152"/>
      <c r="AG43" s="78">
        <f t="shared" si="0"/>
        <v>81.92</v>
      </c>
      <c r="AH43" s="152" t="s">
        <v>581</v>
      </c>
      <c r="AI43" s="13" t="s">
        <v>579</v>
      </c>
      <c r="AJ43" s="8" t="s">
        <v>575</v>
      </c>
      <c r="AK43" s="83"/>
      <c r="AL43" s="36"/>
      <c r="AM43" s="36"/>
      <c r="AN43" s="36"/>
      <c r="AO43" s="36"/>
      <c r="AP43" s="36"/>
      <c r="AQ43" s="36"/>
      <c r="AR43" s="36"/>
      <c r="AS43" s="36"/>
      <c r="AT43" s="36"/>
      <c r="AU43" s="36"/>
      <c r="AV43" s="36"/>
      <c r="AW43" s="36">
        <v>2</v>
      </c>
      <c r="AX43" s="8" t="s">
        <v>329</v>
      </c>
      <c r="AY43" s="8"/>
      <c r="AZ43" s="8"/>
      <c r="BA43" s="8">
        <v>2</v>
      </c>
      <c r="BB43" s="8"/>
      <c r="BC43" s="8"/>
      <c r="BD43" s="8" t="s">
        <v>329</v>
      </c>
      <c r="BE43" s="8"/>
      <c r="BF43" s="8"/>
      <c r="BG43" s="8"/>
      <c r="BH43" s="8"/>
    </row>
    <row r="44" spans="1:60">
      <c r="A44" s="10"/>
      <c r="B44" s="10"/>
      <c r="C44" s="10"/>
      <c r="D44" s="10"/>
      <c r="E44" s="9"/>
      <c r="F44" s="9">
        <f>SUM(F8:F43)</f>
        <v>228</v>
      </c>
      <c r="G44" s="9">
        <f>SUM(G8:G43)</f>
        <v>659</v>
      </c>
      <c r="H44" s="80">
        <f>SUM(H8:H43)</f>
        <v>3170.64</v>
      </c>
      <c r="I44" s="80"/>
      <c r="J44" s="9"/>
      <c r="K44" s="9"/>
      <c r="L44" s="9">
        <f>SUM(L8:L43)</f>
        <v>401.20000000000016</v>
      </c>
      <c r="M44" s="80">
        <f>SUM(M8:M43)</f>
        <v>471.04</v>
      </c>
      <c r="N44" s="9"/>
      <c r="O44" s="9"/>
      <c r="P44" s="9">
        <f>SUM(P8:P43)</f>
        <v>0.05</v>
      </c>
      <c r="Q44" s="80">
        <f>SUM(Q8:Q43)</f>
        <v>8294.4</v>
      </c>
      <c r="R44" s="9"/>
      <c r="S44" s="9"/>
      <c r="T44" s="9">
        <f>SUM(T8:T43)</f>
        <v>0.05</v>
      </c>
      <c r="U44" s="80">
        <f>SUM(U8:U43)</f>
        <v>12441.6</v>
      </c>
      <c r="V44" s="9"/>
      <c r="W44" s="9"/>
      <c r="X44" s="9">
        <f>SUM(X8:X43)</f>
        <v>0.05</v>
      </c>
      <c r="Y44" s="80">
        <f>SUM(Y8:Y43)</f>
        <v>783.35</v>
      </c>
      <c r="Z44" s="9"/>
      <c r="AA44" s="9"/>
      <c r="AB44" s="9">
        <f>SUM(AB8:AB43)</f>
        <v>0.1</v>
      </c>
      <c r="AC44" s="80">
        <f>SUM(AC8:AC43)</f>
        <v>276.48</v>
      </c>
      <c r="AD44" s="9"/>
      <c r="AE44" s="9"/>
      <c r="AF44" s="9">
        <f>SUM(AF8:AF43)</f>
        <v>0</v>
      </c>
      <c r="AG44" s="80">
        <f>SUM(AG8:AG43)</f>
        <v>36636.260000000024</v>
      </c>
      <c r="AH44" s="9"/>
      <c r="AI44" s="152"/>
      <c r="AJ44" s="152"/>
      <c r="AK44" s="78">
        <f>SUM(AK8:AK43)</f>
        <v>184.32</v>
      </c>
      <c r="AL44" s="152"/>
      <c r="AM44" s="152"/>
      <c r="AN44" s="152">
        <f>SUM(AN8:AN43)</f>
        <v>0.2</v>
      </c>
      <c r="AO44" s="152"/>
      <c r="AP44" s="152"/>
      <c r="AQ44" s="152"/>
      <c r="AR44" s="152">
        <f>50/1000</f>
        <v>0.05</v>
      </c>
      <c r="AS44" s="152"/>
      <c r="AT44" s="152"/>
      <c r="AU44" s="152"/>
      <c r="AV44" s="152"/>
      <c r="AW44" s="152">
        <f>SUM(AW8:AW43)</f>
        <v>89</v>
      </c>
      <c r="AX44" s="152">
        <f>COUNTIF(AX8:AX43,"x")</f>
        <v>35</v>
      </c>
      <c r="AY44" s="152">
        <v>2</v>
      </c>
      <c r="AZ44" s="152">
        <v>1</v>
      </c>
      <c r="BA44" s="152">
        <f>SUM(BA9:BA43)</f>
        <v>70</v>
      </c>
      <c r="BB44" s="152">
        <v>1</v>
      </c>
      <c r="BC44" s="152">
        <f>COUNTIF(BC8:BC43,"x")</f>
        <v>0</v>
      </c>
      <c r="BD44" s="152">
        <f>COUNTIF(BD8:BD43,"x")</f>
        <v>35</v>
      </c>
      <c r="BE44" s="152" t="s">
        <v>601</v>
      </c>
      <c r="BF44" s="152">
        <v>2</v>
      </c>
      <c r="BG44" s="152">
        <v>4</v>
      </c>
      <c r="BH44" s="152">
        <v>2</v>
      </c>
    </row>
    <row r="45" spans="1:60">
      <c r="A45" s="156"/>
      <c r="B45" s="156"/>
      <c r="C45" s="156"/>
      <c r="D45" s="156"/>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2"/>
      <c r="AH45" s="152"/>
      <c r="AI45" s="152"/>
      <c r="AJ45" s="152"/>
      <c r="AK45" s="156"/>
      <c r="AL45" s="156"/>
      <c r="AM45" s="156"/>
      <c r="AN45" s="156"/>
      <c r="AO45" s="156"/>
      <c r="AP45" s="156"/>
      <c r="AQ45" s="156"/>
      <c r="AR45" s="156"/>
      <c r="AS45" s="156"/>
      <c r="AT45" s="156"/>
      <c r="AU45" s="156"/>
      <c r="AV45" s="156"/>
      <c r="AW45" s="152"/>
      <c r="AX45" s="156"/>
      <c r="AY45" s="156"/>
      <c r="AZ45" s="156"/>
      <c r="BA45" s="156"/>
      <c r="BB45" s="156"/>
      <c r="BC45" s="156"/>
      <c r="BD45" s="156"/>
      <c r="BE45" s="156"/>
      <c r="BF45" s="156"/>
      <c r="BG45" s="156"/>
      <c r="BH45" s="156"/>
    </row>
    <row r="46" spans="1:60">
      <c r="A46" s="156"/>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2"/>
      <c r="AX46" s="156"/>
      <c r="AY46" s="156"/>
      <c r="AZ46" s="156"/>
      <c r="BA46" s="156"/>
      <c r="BB46" s="156"/>
      <c r="BC46" s="156"/>
      <c r="BD46" s="156"/>
      <c r="BE46" s="156"/>
      <c r="BF46" s="156"/>
      <c r="BG46" s="156"/>
      <c r="BH46" s="156"/>
    </row>
    <row r="47" spans="1:60">
      <c r="A47" s="7" t="s">
        <v>602</v>
      </c>
      <c r="B47" s="35"/>
      <c r="C47" s="35"/>
      <c r="D47" s="35"/>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56"/>
      <c r="AR47" s="156"/>
      <c r="AS47" s="156"/>
      <c r="AT47" s="156"/>
      <c r="AU47" s="156"/>
      <c r="AV47" s="156"/>
      <c r="AW47" s="152"/>
      <c r="AX47" s="156"/>
      <c r="AY47" s="156"/>
      <c r="AZ47" s="156"/>
      <c r="BA47" s="156"/>
      <c r="BB47" s="156"/>
      <c r="BC47" s="156"/>
      <c r="BD47" s="156"/>
      <c r="BE47" s="156"/>
      <c r="BF47" s="156"/>
      <c r="BG47" s="156"/>
      <c r="BH47" s="156"/>
    </row>
    <row r="48" spans="1:60">
      <c r="A48" s="35"/>
      <c r="B48" s="35"/>
      <c r="C48" s="35"/>
      <c r="D48" s="35"/>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2"/>
      <c r="AX48" s="156"/>
      <c r="AY48" s="156"/>
      <c r="AZ48" s="156"/>
      <c r="BA48" s="156"/>
      <c r="BB48" s="156"/>
      <c r="BC48" s="156"/>
      <c r="BD48" s="156"/>
      <c r="BE48" s="156"/>
      <c r="BF48" s="156"/>
      <c r="BG48" s="156"/>
      <c r="BH48" s="156"/>
    </row>
    <row r="49" spans="1:62">
      <c r="A49" s="35" t="s">
        <v>381</v>
      </c>
      <c r="B49" s="35"/>
      <c r="C49" s="156" t="s">
        <v>326</v>
      </c>
      <c r="D49" s="35" t="s">
        <v>10</v>
      </c>
      <c r="E49" s="152" t="s">
        <v>603</v>
      </c>
      <c r="F49" s="154">
        <v>16</v>
      </c>
      <c r="G49" s="154">
        <v>64</v>
      </c>
      <c r="H49" s="154">
        <v>71.680000000000007</v>
      </c>
      <c r="I49" s="31">
        <v>16384</v>
      </c>
      <c r="J49" s="154" t="s">
        <v>581</v>
      </c>
      <c r="K49" s="156" t="s">
        <v>579</v>
      </c>
      <c r="L49" s="152">
        <v>2.6</v>
      </c>
      <c r="M49" s="35"/>
      <c r="N49" s="35"/>
      <c r="O49" s="35"/>
      <c r="P49" s="35"/>
      <c r="Q49" s="35"/>
      <c r="R49" s="35"/>
      <c r="S49" s="35"/>
      <c r="T49" s="35"/>
      <c r="U49" s="35"/>
      <c r="V49" s="35"/>
      <c r="W49" s="35"/>
      <c r="X49" s="35"/>
      <c r="Y49" s="35"/>
      <c r="Z49" s="35"/>
      <c r="AA49" s="35"/>
      <c r="AB49" s="35"/>
      <c r="AC49" s="35"/>
      <c r="AD49" s="35"/>
      <c r="AE49" s="35"/>
      <c r="AF49" s="35"/>
      <c r="AG49" s="154">
        <f t="shared" ref="AG49:AG72" si="1">2*H49</f>
        <v>143.36000000000001</v>
      </c>
      <c r="AH49" s="154" t="s">
        <v>581</v>
      </c>
      <c r="AI49" s="156" t="s">
        <v>579</v>
      </c>
      <c r="AJ49" s="152" t="s">
        <v>575</v>
      </c>
      <c r="AK49" s="35"/>
      <c r="AL49" s="35"/>
      <c r="AM49" s="35"/>
      <c r="AN49" s="35"/>
      <c r="AO49" s="35"/>
      <c r="AP49" s="35"/>
      <c r="AQ49" s="35"/>
      <c r="AR49" s="35"/>
      <c r="AS49" s="35"/>
      <c r="AT49" s="35"/>
      <c r="AU49" s="35"/>
      <c r="AV49" s="35"/>
      <c r="AW49" s="154">
        <v>2</v>
      </c>
      <c r="AX49" s="154" t="s">
        <v>329</v>
      </c>
      <c r="AY49" s="154"/>
      <c r="AZ49" s="154"/>
      <c r="BA49" s="154">
        <v>2</v>
      </c>
      <c r="BB49" s="154"/>
      <c r="BC49" s="154" t="s">
        <v>329</v>
      </c>
      <c r="BD49" s="154" t="s">
        <v>329</v>
      </c>
      <c r="BE49" s="154"/>
      <c r="BF49" s="154"/>
      <c r="BG49" s="154"/>
      <c r="BH49" s="154"/>
      <c r="BI49" s="35"/>
      <c r="BJ49" s="35"/>
    </row>
    <row r="50" spans="1:62">
      <c r="A50" s="35" t="s">
        <v>382</v>
      </c>
      <c r="B50" s="35"/>
      <c r="C50" s="39" t="s">
        <v>362</v>
      </c>
      <c r="D50" s="156" t="s">
        <v>75</v>
      </c>
      <c r="E50" s="152" t="s">
        <v>596</v>
      </c>
      <c r="F50" s="154">
        <v>4</v>
      </c>
      <c r="G50" s="154">
        <v>4</v>
      </c>
      <c r="H50" s="78">
        <v>102.4</v>
      </c>
      <c r="I50" s="31">
        <v>0</v>
      </c>
      <c r="J50" s="154" t="s">
        <v>578</v>
      </c>
      <c r="K50" s="156" t="s">
        <v>579</v>
      </c>
      <c r="L50" s="152">
        <v>100</v>
      </c>
      <c r="M50" s="35"/>
      <c r="N50" s="35"/>
      <c r="O50" s="35"/>
      <c r="P50" s="35"/>
      <c r="Q50" s="35"/>
      <c r="R50" s="35"/>
      <c r="S50" s="35"/>
      <c r="T50" s="35"/>
      <c r="U50" s="35"/>
      <c r="V50" s="35"/>
      <c r="W50" s="35"/>
      <c r="X50" s="35"/>
      <c r="Y50" s="35"/>
      <c r="Z50" s="35"/>
      <c r="AA50" s="35"/>
      <c r="AB50" s="35"/>
      <c r="AC50" s="35"/>
      <c r="AD50" s="35"/>
      <c r="AE50" s="35"/>
      <c r="AF50" s="35"/>
      <c r="AG50" s="154">
        <f t="shared" si="1"/>
        <v>204.8</v>
      </c>
      <c r="AH50" s="154" t="s">
        <v>581</v>
      </c>
      <c r="AI50" s="156" t="s">
        <v>579</v>
      </c>
      <c r="AJ50" s="152" t="s">
        <v>575</v>
      </c>
      <c r="AK50" s="35"/>
      <c r="AL50" s="35"/>
      <c r="AM50" s="35"/>
      <c r="AN50" s="35"/>
      <c r="AO50" s="35"/>
      <c r="AP50" s="35"/>
      <c r="AQ50" s="35"/>
      <c r="AR50" s="35"/>
      <c r="AS50" s="35"/>
      <c r="AT50" s="35"/>
      <c r="AU50" s="35"/>
      <c r="AV50" s="35"/>
      <c r="AW50" s="154">
        <v>4</v>
      </c>
      <c r="AX50" s="154" t="s">
        <v>329</v>
      </c>
      <c r="AY50" s="154"/>
      <c r="AZ50" s="154"/>
      <c r="BA50" s="154">
        <v>2</v>
      </c>
      <c r="BB50" s="154"/>
      <c r="BC50" s="154" t="s">
        <v>329</v>
      </c>
      <c r="BD50" s="154" t="s">
        <v>329</v>
      </c>
      <c r="BE50" s="154"/>
      <c r="BF50" s="154"/>
      <c r="BG50" s="154"/>
      <c r="BH50" s="154"/>
      <c r="BI50" s="35"/>
      <c r="BJ50" s="35"/>
    </row>
    <row r="51" spans="1:62">
      <c r="A51" s="35" t="s">
        <v>383</v>
      </c>
      <c r="B51" s="35"/>
      <c r="C51" s="39" t="s">
        <v>362</v>
      </c>
      <c r="D51" s="156" t="s">
        <v>79</v>
      </c>
      <c r="E51" s="152" t="s">
        <v>597</v>
      </c>
      <c r="F51" s="154">
        <v>4</v>
      </c>
      <c r="G51" s="154">
        <v>16</v>
      </c>
      <c r="H51" s="78">
        <v>102.4</v>
      </c>
      <c r="I51" s="31">
        <v>0</v>
      </c>
      <c r="J51" s="154" t="s">
        <v>578</v>
      </c>
      <c r="K51" s="156" t="s">
        <v>579</v>
      </c>
      <c r="L51" s="152">
        <v>110</v>
      </c>
      <c r="M51" s="35"/>
      <c r="N51" s="35"/>
      <c r="O51" s="35"/>
      <c r="P51" s="35"/>
      <c r="Q51" s="35"/>
      <c r="R51" s="35"/>
      <c r="S51" s="35"/>
      <c r="T51" s="35"/>
      <c r="U51" s="35"/>
      <c r="V51" s="35"/>
      <c r="W51" s="35"/>
      <c r="X51" s="35"/>
      <c r="Y51" s="35"/>
      <c r="Z51" s="35"/>
      <c r="AA51" s="35"/>
      <c r="AB51" s="35"/>
      <c r="AC51" s="35"/>
      <c r="AD51" s="35"/>
      <c r="AE51" s="35"/>
      <c r="AF51" s="35"/>
      <c r="AG51" s="154">
        <f t="shared" si="1"/>
        <v>204.8</v>
      </c>
      <c r="AH51" s="154" t="s">
        <v>581</v>
      </c>
      <c r="AI51" s="156" t="s">
        <v>579</v>
      </c>
      <c r="AJ51" s="152" t="s">
        <v>575</v>
      </c>
      <c r="AK51" s="35"/>
      <c r="AL51" s="35"/>
      <c r="AM51" s="35"/>
      <c r="AN51" s="35"/>
      <c r="AO51" s="35"/>
      <c r="AP51" s="35"/>
      <c r="AQ51" s="35"/>
      <c r="AR51" s="35"/>
      <c r="AS51" s="35"/>
      <c r="AT51" s="35"/>
      <c r="AU51" s="35"/>
      <c r="AV51" s="35"/>
      <c r="AW51" s="154">
        <v>4</v>
      </c>
      <c r="AX51" s="154" t="s">
        <v>329</v>
      </c>
      <c r="AY51" s="154"/>
      <c r="AZ51" s="154"/>
      <c r="BA51" s="154">
        <v>2</v>
      </c>
      <c r="BB51" s="154"/>
      <c r="BC51" s="154" t="s">
        <v>329</v>
      </c>
      <c r="BD51" s="154" t="s">
        <v>329</v>
      </c>
      <c r="BE51" s="154"/>
      <c r="BF51" s="154"/>
      <c r="BG51" s="154"/>
      <c r="BH51" s="154"/>
      <c r="BI51" s="35"/>
      <c r="BJ51" s="35"/>
    </row>
    <row r="52" spans="1:62">
      <c r="A52" s="35" t="s">
        <v>384</v>
      </c>
      <c r="B52" s="35"/>
      <c r="C52" s="39" t="s">
        <v>362</v>
      </c>
      <c r="D52" s="156" t="s">
        <v>79</v>
      </c>
      <c r="E52" s="152" t="s">
        <v>597</v>
      </c>
      <c r="F52" s="154">
        <v>4</v>
      </c>
      <c r="G52" s="154">
        <v>16</v>
      </c>
      <c r="H52" s="78">
        <v>102.4</v>
      </c>
      <c r="I52" s="31">
        <v>0</v>
      </c>
      <c r="J52" s="154" t="s">
        <v>578</v>
      </c>
      <c r="K52" s="156" t="s">
        <v>579</v>
      </c>
      <c r="L52" s="152">
        <v>110</v>
      </c>
      <c r="M52" s="35"/>
      <c r="N52" s="35"/>
      <c r="O52" s="35"/>
      <c r="P52" s="35"/>
      <c r="Q52" s="35"/>
      <c r="R52" s="35"/>
      <c r="S52" s="35"/>
      <c r="T52" s="35"/>
      <c r="U52" s="35"/>
      <c r="V52" s="35"/>
      <c r="W52" s="35"/>
      <c r="X52" s="35"/>
      <c r="Y52" s="35"/>
      <c r="Z52" s="35"/>
      <c r="AA52" s="35"/>
      <c r="AB52" s="35"/>
      <c r="AC52" s="35"/>
      <c r="AD52" s="35"/>
      <c r="AE52" s="35"/>
      <c r="AF52" s="35"/>
      <c r="AG52" s="154">
        <f t="shared" si="1"/>
        <v>204.8</v>
      </c>
      <c r="AH52" s="154" t="s">
        <v>581</v>
      </c>
      <c r="AI52" s="156" t="s">
        <v>579</v>
      </c>
      <c r="AJ52" s="152" t="s">
        <v>575</v>
      </c>
      <c r="AK52" s="35"/>
      <c r="AL52" s="35"/>
      <c r="AM52" s="35"/>
      <c r="AN52" s="35"/>
      <c r="AO52" s="35"/>
      <c r="AP52" s="35"/>
      <c r="AQ52" s="35"/>
      <c r="AR52" s="35"/>
      <c r="AS52" s="35"/>
      <c r="AT52" s="35"/>
      <c r="AU52" s="35"/>
      <c r="AV52" s="35"/>
      <c r="AW52" s="154">
        <v>4</v>
      </c>
      <c r="AX52" s="154" t="s">
        <v>329</v>
      </c>
      <c r="AY52" s="154"/>
      <c r="AZ52" s="154"/>
      <c r="BA52" s="154">
        <v>2</v>
      </c>
      <c r="BB52" s="154"/>
      <c r="BC52" s="154" t="s">
        <v>329</v>
      </c>
      <c r="BD52" s="154" t="s">
        <v>329</v>
      </c>
      <c r="BE52" s="154"/>
      <c r="BF52" s="154"/>
      <c r="BG52" s="154"/>
      <c r="BH52" s="154"/>
      <c r="BI52" s="35"/>
      <c r="BJ52" s="35"/>
    </row>
    <row r="53" spans="1:62">
      <c r="A53" s="35" t="s">
        <v>494</v>
      </c>
      <c r="B53" s="35"/>
      <c r="C53" s="39" t="s">
        <v>362</v>
      </c>
      <c r="D53" s="156" t="s">
        <v>79</v>
      </c>
      <c r="E53" s="152" t="s">
        <v>597</v>
      </c>
      <c r="F53" s="154">
        <v>4</v>
      </c>
      <c r="G53" s="154">
        <v>16</v>
      </c>
      <c r="H53" s="78">
        <v>102.4</v>
      </c>
      <c r="I53" s="31">
        <v>0</v>
      </c>
      <c r="J53" s="154" t="s">
        <v>578</v>
      </c>
      <c r="K53" s="156" t="s">
        <v>579</v>
      </c>
      <c r="L53" s="152">
        <v>110</v>
      </c>
      <c r="M53" s="35"/>
      <c r="N53" s="35"/>
      <c r="O53" s="35"/>
      <c r="P53" s="35"/>
      <c r="Q53" s="35"/>
      <c r="R53" s="35"/>
      <c r="S53" s="35"/>
      <c r="T53" s="35"/>
      <c r="U53" s="35"/>
      <c r="V53" s="35"/>
      <c r="W53" s="35"/>
      <c r="X53" s="35"/>
      <c r="Y53" s="35"/>
      <c r="Z53" s="35"/>
      <c r="AA53" s="35"/>
      <c r="AB53" s="35"/>
      <c r="AC53" s="35"/>
      <c r="AD53" s="35"/>
      <c r="AE53" s="35"/>
      <c r="AF53" s="35"/>
      <c r="AG53" s="154">
        <f t="shared" si="1"/>
        <v>204.8</v>
      </c>
      <c r="AH53" s="154" t="s">
        <v>581</v>
      </c>
      <c r="AI53" s="156" t="s">
        <v>579</v>
      </c>
      <c r="AJ53" s="152" t="s">
        <v>575</v>
      </c>
      <c r="AK53" s="35"/>
      <c r="AL53" s="35"/>
      <c r="AM53" s="35"/>
      <c r="AN53" s="35"/>
      <c r="AO53" s="35"/>
      <c r="AP53" s="35"/>
      <c r="AQ53" s="35"/>
      <c r="AR53" s="35"/>
      <c r="AS53" s="35"/>
      <c r="AT53" s="35"/>
      <c r="AU53" s="35"/>
      <c r="AV53" s="35"/>
      <c r="AW53" s="154">
        <v>4</v>
      </c>
      <c r="AX53" s="154" t="s">
        <v>329</v>
      </c>
      <c r="AY53" s="154"/>
      <c r="AZ53" s="154"/>
      <c r="BA53" s="154">
        <v>2</v>
      </c>
      <c r="BB53" s="154"/>
      <c r="BC53" s="154" t="s">
        <v>329</v>
      </c>
      <c r="BD53" s="154" t="s">
        <v>329</v>
      </c>
      <c r="BE53" s="154"/>
      <c r="BF53" s="154"/>
      <c r="BG53" s="154"/>
      <c r="BH53" s="154"/>
      <c r="BI53" s="35"/>
      <c r="BJ53" s="35"/>
    </row>
    <row r="54" spans="1:62">
      <c r="A54" s="35" t="s">
        <v>495</v>
      </c>
      <c r="B54" s="35"/>
      <c r="C54" s="39" t="s">
        <v>362</v>
      </c>
      <c r="D54" s="156" t="s">
        <v>79</v>
      </c>
      <c r="E54" s="152" t="s">
        <v>597</v>
      </c>
      <c r="F54" s="154">
        <v>4</v>
      </c>
      <c r="G54" s="154">
        <v>16</v>
      </c>
      <c r="H54" s="78">
        <v>102.4</v>
      </c>
      <c r="I54" s="31">
        <v>0</v>
      </c>
      <c r="J54" s="154" t="s">
        <v>578</v>
      </c>
      <c r="K54" s="156" t="s">
        <v>579</v>
      </c>
      <c r="L54" s="152">
        <v>110</v>
      </c>
      <c r="M54" s="35"/>
      <c r="N54" s="35"/>
      <c r="O54" s="35"/>
      <c r="P54" s="35"/>
      <c r="Q54" s="35"/>
      <c r="R54" s="35"/>
      <c r="S54" s="35"/>
      <c r="T54" s="35"/>
      <c r="U54" s="35"/>
      <c r="V54" s="35"/>
      <c r="W54" s="35"/>
      <c r="X54" s="35"/>
      <c r="Y54" s="35"/>
      <c r="Z54" s="35"/>
      <c r="AA54" s="35"/>
      <c r="AB54" s="35"/>
      <c r="AC54" s="35"/>
      <c r="AD54" s="35"/>
      <c r="AE54" s="35"/>
      <c r="AF54" s="35"/>
      <c r="AG54" s="154">
        <f t="shared" si="1"/>
        <v>204.8</v>
      </c>
      <c r="AH54" s="154" t="s">
        <v>581</v>
      </c>
      <c r="AI54" s="156" t="s">
        <v>579</v>
      </c>
      <c r="AJ54" s="152" t="s">
        <v>575</v>
      </c>
      <c r="AK54" s="35"/>
      <c r="AL54" s="35"/>
      <c r="AM54" s="35"/>
      <c r="AN54" s="35"/>
      <c r="AO54" s="35"/>
      <c r="AP54" s="35"/>
      <c r="AQ54" s="35"/>
      <c r="AR54" s="35"/>
      <c r="AS54" s="35"/>
      <c r="AT54" s="35"/>
      <c r="AU54" s="35"/>
      <c r="AV54" s="35"/>
      <c r="AW54" s="154">
        <v>4</v>
      </c>
      <c r="AX54" s="154" t="s">
        <v>329</v>
      </c>
      <c r="AY54" s="154"/>
      <c r="AZ54" s="154"/>
      <c r="BA54" s="154">
        <v>2</v>
      </c>
      <c r="BB54" s="154"/>
      <c r="BC54" s="154" t="s">
        <v>329</v>
      </c>
      <c r="BD54" s="154" t="s">
        <v>329</v>
      </c>
      <c r="BE54" s="154"/>
      <c r="BF54" s="154"/>
      <c r="BG54" s="154"/>
      <c r="BH54" s="154"/>
      <c r="BI54" s="35"/>
      <c r="BJ54" s="35"/>
    </row>
    <row r="55" spans="1:62">
      <c r="A55" s="35" t="s">
        <v>513</v>
      </c>
      <c r="B55" s="35"/>
      <c r="C55" s="39" t="s">
        <v>362</v>
      </c>
      <c r="D55" s="156" t="s">
        <v>79</v>
      </c>
      <c r="E55" s="152" t="s">
        <v>597</v>
      </c>
      <c r="F55" s="154">
        <v>4</v>
      </c>
      <c r="G55" s="154">
        <v>16</v>
      </c>
      <c r="H55" s="78">
        <v>102.4</v>
      </c>
      <c r="I55" s="31">
        <v>0</v>
      </c>
      <c r="J55" s="154" t="s">
        <v>578</v>
      </c>
      <c r="K55" s="156" t="s">
        <v>579</v>
      </c>
      <c r="L55" s="152">
        <v>110</v>
      </c>
      <c r="M55" s="35"/>
      <c r="N55" s="35"/>
      <c r="O55" s="35"/>
      <c r="P55" s="35"/>
      <c r="Q55" s="35"/>
      <c r="R55" s="35"/>
      <c r="S55" s="35"/>
      <c r="T55" s="35"/>
      <c r="U55" s="35"/>
      <c r="V55" s="35"/>
      <c r="W55" s="35"/>
      <c r="X55" s="35"/>
      <c r="Y55" s="35"/>
      <c r="Z55" s="35"/>
      <c r="AA55" s="35"/>
      <c r="AB55" s="35"/>
      <c r="AC55" s="35"/>
      <c r="AD55" s="35"/>
      <c r="AE55" s="35"/>
      <c r="AF55" s="35"/>
      <c r="AG55" s="154">
        <f t="shared" si="1"/>
        <v>204.8</v>
      </c>
      <c r="AH55" s="154" t="s">
        <v>581</v>
      </c>
      <c r="AI55" s="156" t="s">
        <v>579</v>
      </c>
      <c r="AJ55" s="152" t="s">
        <v>575</v>
      </c>
      <c r="AK55" s="35"/>
      <c r="AL55" s="35"/>
      <c r="AM55" s="35"/>
      <c r="AN55" s="35"/>
      <c r="AO55" s="35"/>
      <c r="AP55" s="35"/>
      <c r="AQ55" s="35"/>
      <c r="AR55" s="35"/>
      <c r="AS55" s="35"/>
      <c r="AT55" s="35"/>
      <c r="AU55" s="35"/>
      <c r="AV55" s="35"/>
      <c r="AW55" s="154">
        <v>4</v>
      </c>
      <c r="AX55" s="154" t="s">
        <v>329</v>
      </c>
      <c r="AY55" s="154"/>
      <c r="AZ55" s="154"/>
      <c r="BA55" s="154">
        <v>2</v>
      </c>
      <c r="BB55" s="154"/>
      <c r="BC55" s="154" t="s">
        <v>329</v>
      </c>
      <c r="BD55" s="154" t="s">
        <v>329</v>
      </c>
      <c r="BE55" s="154"/>
      <c r="BF55" s="154"/>
      <c r="BG55" s="154"/>
      <c r="BH55" s="154"/>
      <c r="BI55" s="35"/>
      <c r="BJ55" s="35"/>
    </row>
    <row r="56" spans="1:62">
      <c r="A56" s="35" t="s">
        <v>514</v>
      </c>
      <c r="B56" s="35"/>
      <c r="C56" s="39" t="s">
        <v>362</v>
      </c>
      <c r="D56" s="156" t="s">
        <v>79</v>
      </c>
      <c r="E56" s="152" t="s">
        <v>597</v>
      </c>
      <c r="F56" s="154">
        <v>4</v>
      </c>
      <c r="G56" s="154">
        <v>16</v>
      </c>
      <c r="H56" s="78">
        <v>102.4</v>
      </c>
      <c r="I56" s="31">
        <v>0</v>
      </c>
      <c r="J56" s="154" t="s">
        <v>578</v>
      </c>
      <c r="K56" s="156" t="s">
        <v>579</v>
      </c>
      <c r="L56" s="152">
        <v>110</v>
      </c>
      <c r="M56" s="35"/>
      <c r="N56" s="35"/>
      <c r="O56" s="35"/>
      <c r="P56" s="35"/>
      <c r="Q56" s="35"/>
      <c r="R56" s="35"/>
      <c r="S56" s="35"/>
      <c r="T56" s="35"/>
      <c r="U56" s="35"/>
      <c r="V56" s="35"/>
      <c r="W56" s="35"/>
      <c r="X56" s="35"/>
      <c r="Y56" s="35"/>
      <c r="Z56" s="35"/>
      <c r="AA56" s="35"/>
      <c r="AB56" s="35"/>
      <c r="AC56" s="35"/>
      <c r="AD56" s="35"/>
      <c r="AE56" s="35"/>
      <c r="AF56" s="35"/>
      <c r="AG56" s="154">
        <f t="shared" si="1"/>
        <v>204.8</v>
      </c>
      <c r="AH56" s="154" t="s">
        <v>581</v>
      </c>
      <c r="AI56" s="156" t="s">
        <v>579</v>
      </c>
      <c r="AJ56" s="152" t="s">
        <v>575</v>
      </c>
      <c r="AK56" s="35"/>
      <c r="AL56" s="35"/>
      <c r="AM56" s="35"/>
      <c r="AN56" s="35"/>
      <c r="AO56" s="35"/>
      <c r="AP56" s="35"/>
      <c r="AQ56" s="35"/>
      <c r="AR56" s="35"/>
      <c r="AS56" s="35"/>
      <c r="AT56" s="35"/>
      <c r="AU56" s="35"/>
      <c r="AV56" s="35"/>
      <c r="AW56" s="154">
        <v>4</v>
      </c>
      <c r="AX56" s="154" t="s">
        <v>329</v>
      </c>
      <c r="AY56" s="154"/>
      <c r="AZ56" s="154"/>
      <c r="BA56" s="154">
        <v>2</v>
      </c>
      <c r="BB56" s="154"/>
      <c r="BC56" s="154" t="s">
        <v>329</v>
      </c>
      <c r="BD56" s="154" t="s">
        <v>329</v>
      </c>
      <c r="BE56" s="154"/>
      <c r="BF56" s="154"/>
      <c r="BG56" s="154"/>
      <c r="BH56" s="154"/>
      <c r="BI56" s="35"/>
      <c r="BJ56" s="35"/>
    </row>
    <row r="57" spans="1:62">
      <c r="A57" s="35" t="s">
        <v>515</v>
      </c>
      <c r="B57" s="35"/>
      <c r="C57" s="39" t="s">
        <v>362</v>
      </c>
      <c r="D57" s="156" t="s">
        <v>79</v>
      </c>
      <c r="E57" s="152" t="s">
        <v>597</v>
      </c>
      <c r="F57" s="154">
        <v>4</v>
      </c>
      <c r="G57" s="154">
        <v>16</v>
      </c>
      <c r="H57" s="78">
        <v>102.4</v>
      </c>
      <c r="I57" s="31">
        <v>0</v>
      </c>
      <c r="J57" s="154" t="s">
        <v>578</v>
      </c>
      <c r="K57" s="156" t="s">
        <v>579</v>
      </c>
      <c r="L57" s="152">
        <v>110</v>
      </c>
      <c r="M57" s="35"/>
      <c r="N57" s="35"/>
      <c r="O57" s="35"/>
      <c r="P57" s="35"/>
      <c r="Q57" s="35"/>
      <c r="R57" s="35"/>
      <c r="S57" s="35"/>
      <c r="T57" s="35"/>
      <c r="U57" s="35"/>
      <c r="V57" s="35"/>
      <c r="W57" s="35"/>
      <c r="X57" s="35"/>
      <c r="Y57" s="35"/>
      <c r="Z57" s="35"/>
      <c r="AA57" s="35"/>
      <c r="AB57" s="35"/>
      <c r="AC57" s="35"/>
      <c r="AD57" s="35"/>
      <c r="AE57" s="35"/>
      <c r="AF57" s="35"/>
      <c r="AG57" s="154">
        <f t="shared" si="1"/>
        <v>204.8</v>
      </c>
      <c r="AH57" s="154" t="s">
        <v>581</v>
      </c>
      <c r="AI57" s="156" t="s">
        <v>579</v>
      </c>
      <c r="AJ57" s="152" t="s">
        <v>575</v>
      </c>
      <c r="AK57" s="35"/>
      <c r="AL57" s="35"/>
      <c r="AM57" s="35"/>
      <c r="AN57" s="35"/>
      <c r="AO57" s="35"/>
      <c r="AP57" s="35"/>
      <c r="AQ57" s="35"/>
      <c r="AR57" s="35"/>
      <c r="AS57" s="35"/>
      <c r="AT57" s="35"/>
      <c r="AU57" s="35"/>
      <c r="AV57" s="35"/>
      <c r="AW57" s="154">
        <v>4</v>
      </c>
      <c r="AX57" s="154" t="s">
        <v>329</v>
      </c>
      <c r="AY57" s="154"/>
      <c r="AZ57" s="154"/>
      <c r="BA57" s="154">
        <v>2</v>
      </c>
      <c r="BB57" s="154"/>
      <c r="BC57" s="154" t="s">
        <v>329</v>
      </c>
      <c r="BD57" s="154" t="s">
        <v>329</v>
      </c>
      <c r="BE57" s="154"/>
      <c r="BF57" s="154"/>
      <c r="BG57" s="154"/>
      <c r="BH57" s="154"/>
      <c r="BI57" s="35"/>
      <c r="BJ57" s="35"/>
    </row>
    <row r="58" spans="1:62">
      <c r="A58" s="35" t="s">
        <v>385</v>
      </c>
      <c r="B58" s="35"/>
      <c r="C58" s="39" t="s">
        <v>362</v>
      </c>
      <c r="D58" s="156" t="s">
        <v>77</v>
      </c>
      <c r="E58" s="152" t="s">
        <v>598</v>
      </c>
      <c r="F58" s="154">
        <v>4</v>
      </c>
      <c r="G58" s="154">
        <v>8</v>
      </c>
      <c r="H58" s="78">
        <v>102.4</v>
      </c>
      <c r="I58" s="31">
        <v>0</v>
      </c>
      <c r="J58" s="154" t="s">
        <v>578</v>
      </c>
      <c r="K58" s="156" t="s">
        <v>579</v>
      </c>
      <c r="L58" s="152">
        <v>100</v>
      </c>
      <c r="M58" s="35"/>
      <c r="N58" s="35"/>
      <c r="O58" s="35"/>
      <c r="P58" s="35"/>
      <c r="Q58" s="35"/>
      <c r="R58" s="35"/>
      <c r="S58" s="35"/>
      <c r="T58" s="35"/>
      <c r="U58" s="35"/>
      <c r="V58" s="35"/>
      <c r="W58" s="35"/>
      <c r="X58" s="35"/>
      <c r="Y58" s="35"/>
      <c r="Z58" s="35"/>
      <c r="AA58" s="35"/>
      <c r="AB58" s="35"/>
      <c r="AC58" s="35"/>
      <c r="AD58" s="35"/>
      <c r="AE58" s="35"/>
      <c r="AF58" s="35"/>
      <c r="AG58" s="154">
        <f t="shared" si="1"/>
        <v>204.8</v>
      </c>
      <c r="AH58" s="154" t="s">
        <v>581</v>
      </c>
      <c r="AI58" s="156" t="s">
        <v>579</v>
      </c>
      <c r="AJ58" s="152" t="s">
        <v>575</v>
      </c>
      <c r="AK58" s="35"/>
      <c r="AL58" s="35"/>
      <c r="AM58" s="35"/>
      <c r="AN58" s="35"/>
      <c r="AO58" s="35"/>
      <c r="AP58" s="35"/>
      <c r="AQ58" s="35"/>
      <c r="AR58" s="35"/>
      <c r="AS58" s="35"/>
      <c r="AT58" s="35"/>
      <c r="AU58" s="35"/>
      <c r="AV58" s="35"/>
      <c r="AW58" s="154">
        <v>4</v>
      </c>
      <c r="AX58" s="154" t="s">
        <v>329</v>
      </c>
      <c r="AY58" s="154"/>
      <c r="AZ58" s="154"/>
      <c r="BA58" s="154">
        <v>2</v>
      </c>
      <c r="BB58" s="154"/>
      <c r="BC58" s="154" t="s">
        <v>329</v>
      </c>
      <c r="BD58" s="154" t="s">
        <v>329</v>
      </c>
      <c r="BE58" s="154"/>
      <c r="BF58" s="154"/>
      <c r="BG58" s="154"/>
      <c r="BH58" s="154"/>
      <c r="BI58" s="35"/>
      <c r="BJ58" s="35"/>
    </row>
    <row r="59" spans="1:62">
      <c r="A59" s="35" t="s">
        <v>516</v>
      </c>
      <c r="B59" s="35"/>
      <c r="C59" s="39" t="s">
        <v>362</v>
      </c>
      <c r="D59" s="156" t="s">
        <v>79</v>
      </c>
      <c r="E59" s="152" t="s">
        <v>597</v>
      </c>
      <c r="F59" s="154">
        <v>4</v>
      </c>
      <c r="G59" s="154">
        <v>16</v>
      </c>
      <c r="H59" s="78">
        <v>102.4</v>
      </c>
      <c r="I59" s="31">
        <v>0</v>
      </c>
      <c r="J59" s="154" t="s">
        <v>578</v>
      </c>
      <c r="K59" s="156" t="s">
        <v>579</v>
      </c>
      <c r="L59" s="152">
        <v>110</v>
      </c>
      <c r="M59" s="35"/>
      <c r="N59" s="35"/>
      <c r="O59" s="35"/>
      <c r="P59" s="35"/>
      <c r="Q59" s="35"/>
      <c r="R59" s="35"/>
      <c r="S59" s="35"/>
      <c r="T59" s="35"/>
      <c r="U59" s="35"/>
      <c r="V59" s="35"/>
      <c r="W59" s="35"/>
      <c r="X59" s="35"/>
      <c r="Y59" s="35"/>
      <c r="Z59" s="35"/>
      <c r="AA59" s="35"/>
      <c r="AB59" s="35"/>
      <c r="AC59" s="35"/>
      <c r="AD59" s="35"/>
      <c r="AE59" s="35"/>
      <c r="AF59" s="35"/>
      <c r="AG59" s="154">
        <f t="shared" si="1"/>
        <v>204.8</v>
      </c>
      <c r="AH59" s="154" t="s">
        <v>581</v>
      </c>
      <c r="AI59" s="156" t="s">
        <v>579</v>
      </c>
      <c r="AJ59" s="152" t="s">
        <v>575</v>
      </c>
      <c r="AK59" s="35"/>
      <c r="AL59" s="35"/>
      <c r="AM59" s="35"/>
      <c r="AN59" s="35"/>
      <c r="AO59" s="35"/>
      <c r="AP59" s="35"/>
      <c r="AQ59" s="35"/>
      <c r="AR59" s="35"/>
      <c r="AS59" s="35"/>
      <c r="AT59" s="35"/>
      <c r="AU59" s="35"/>
      <c r="AV59" s="35"/>
      <c r="AW59" s="154">
        <v>4</v>
      </c>
      <c r="AX59" s="154" t="s">
        <v>329</v>
      </c>
      <c r="AY59" s="154"/>
      <c r="AZ59" s="154"/>
      <c r="BA59" s="154">
        <v>2</v>
      </c>
      <c r="BB59" s="154"/>
      <c r="BC59" s="154" t="s">
        <v>329</v>
      </c>
      <c r="BD59" s="154" t="s">
        <v>329</v>
      </c>
      <c r="BE59" s="154"/>
      <c r="BF59" s="154"/>
      <c r="BG59" s="154"/>
      <c r="BH59" s="154"/>
      <c r="BI59" s="35"/>
      <c r="BJ59" s="35"/>
    </row>
    <row r="60" spans="1:62">
      <c r="A60" s="35" t="s">
        <v>386</v>
      </c>
      <c r="B60" s="35"/>
      <c r="C60" s="156" t="s">
        <v>326</v>
      </c>
      <c r="D60" s="35" t="s">
        <v>110</v>
      </c>
      <c r="E60" s="152" t="s">
        <v>604</v>
      </c>
      <c r="F60" s="154">
        <v>6</v>
      </c>
      <c r="G60" s="154">
        <v>20</v>
      </c>
      <c r="H60" s="154">
        <v>204.8</v>
      </c>
      <c r="I60" s="31">
        <v>16384</v>
      </c>
      <c r="J60" s="154" t="s">
        <v>581</v>
      </c>
      <c r="K60" s="156" t="s">
        <v>579</v>
      </c>
      <c r="L60" s="152">
        <v>2.6</v>
      </c>
      <c r="M60" s="35"/>
      <c r="N60" s="35"/>
      <c r="O60" s="35"/>
      <c r="P60" s="35"/>
      <c r="Q60" s="35"/>
      <c r="R60" s="35"/>
      <c r="S60" s="35"/>
      <c r="T60" s="35"/>
      <c r="U60" s="35"/>
      <c r="V60" s="35"/>
      <c r="W60" s="35"/>
      <c r="X60" s="35"/>
      <c r="Y60" s="35"/>
      <c r="Z60" s="35"/>
      <c r="AA60" s="35"/>
      <c r="AB60" s="35"/>
      <c r="AC60" s="35"/>
      <c r="AD60" s="35"/>
      <c r="AE60" s="35"/>
      <c r="AF60" s="35"/>
      <c r="AG60" s="154">
        <f t="shared" si="1"/>
        <v>409.6</v>
      </c>
      <c r="AH60" s="154" t="s">
        <v>581</v>
      </c>
      <c r="AI60" s="156" t="s">
        <v>579</v>
      </c>
      <c r="AJ60" s="152" t="s">
        <v>575</v>
      </c>
      <c r="AK60" s="35"/>
      <c r="AL60" s="35"/>
      <c r="AM60" s="35"/>
      <c r="AN60" s="35"/>
      <c r="AO60" s="35"/>
      <c r="AP60" s="35"/>
      <c r="AQ60" s="35"/>
      <c r="AR60" s="35"/>
      <c r="AS60" s="35"/>
      <c r="AT60" s="35"/>
      <c r="AU60" s="35"/>
      <c r="AV60" s="35"/>
      <c r="AW60" s="154">
        <v>2</v>
      </c>
      <c r="AX60" s="154" t="s">
        <v>329</v>
      </c>
      <c r="AY60" s="154"/>
      <c r="AZ60" s="154"/>
      <c r="BA60" s="154">
        <v>2</v>
      </c>
      <c r="BB60" s="154"/>
      <c r="BC60" s="154" t="s">
        <v>329</v>
      </c>
      <c r="BD60" s="154" t="s">
        <v>329</v>
      </c>
      <c r="BE60" s="154"/>
      <c r="BF60" s="154"/>
      <c r="BG60" s="154"/>
      <c r="BH60" s="154"/>
      <c r="BI60" s="35"/>
      <c r="BJ60" s="35"/>
    </row>
    <row r="61" spans="1:62">
      <c r="A61" s="35" t="s">
        <v>387</v>
      </c>
      <c r="B61" s="35"/>
      <c r="C61" s="156" t="s">
        <v>326</v>
      </c>
      <c r="D61" s="35" t="s">
        <v>110</v>
      </c>
      <c r="E61" s="152" t="s">
        <v>604</v>
      </c>
      <c r="F61" s="154">
        <v>6</v>
      </c>
      <c r="G61" s="154">
        <v>20</v>
      </c>
      <c r="H61" s="154">
        <v>204.8</v>
      </c>
      <c r="I61" s="31">
        <v>16384</v>
      </c>
      <c r="J61" s="154" t="s">
        <v>581</v>
      </c>
      <c r="K61" s="156" t="s">
        <v>579</v>
      </c>
      <c r="L61" s="152">
        <v>2.6</v>
      </c>
      <c r="M61" s="35"/>
      <c r="N61" s="35"/>
      <c r="O61" s="35"/>
      <c r="P61" s="35"/>
      <c r="Q61" s="35"/>
      <c r="R61" s="35"/>
      <c r="S61" s="35"/>
      <c r="T61" s="35"/>
      <c r="U61" s="35"/>
      <c r="V61" s="35"/>
      <c r="W61" s="35"/>
      <c r="X61" s="35"/>
      <c r="Y61" s="35"/>
      <c r="Z61" s="35"/>
      <c r="AA61" s="35"/>
      <c r="AB61" s="35"/>
      <c r="AC61" s="35"/>
      <c r="AD61" s="35"/>
      <c r="AE61" s="35"/>
      <c r="AF61" s="35"/>
      <c r="AG61" s="154">
        <f t="shared" si="1"/>
        <v>409.6</v>
      </c>
      <c r="AH61" s="154" t="s">
        <v>581</v>
      </c>
      <c r="AI61" s="156" t="s">
        <v>579</v>
      </c>
      <c r="AJ61" s="152" t="s">
        <v>575</v>
      </c>
      <c r="AK61" s="35"/>
      <c r="AL61" s="35"/>
      <c r="AM61" s="35"/>
      <c r="AN61" s="35"/>
      <c r="AO61" s="35"/>
      <c r="AP61" s="35"/>
      <c r="AQ61" s="35"/>
      <c r="AR61" s="35"/>
      <c r="AS61" s="35"/>
      <c r="AT61" s="35"/>
      <c r="AU61" s="35"/>
      <c r="AV61" s="35"/>
      <c r="AW61" s="154">
        <v>2</v>
      </c>
      <c r="AX61" s="154" t="s">
        <v>329</v>
      </c>
      <c r="AY61" s="154"/>
      <c r="AZ61" s="154"/>
      <c r="BA61" s="154">
        <v>2</v>
      </c>
      <c r="BB61" s="154"/>
      <c r="BC61" s="154" t="s">
        <v>329</v>
      </c>
      <c r="BD61" s="154" t="s">
        <v>329</v>
      </c>
      <c r="BE61" s="154"/>
      <c r="BF61" s="154"/>
      <c r="BG61" s="154"/>
      <c r="BH61" s="154"/>
      <c r="BI61" s="35"/>
      <c r="BJ61" s="35"/>
    </row>
    <row r="62" spans="1:62">
      <c r="A62" s="35" t="s">
        <v>496</v>
      </c>
      <c r="B62" s="35"/>
      <c r="C62" s="156" t="s">
        <v>326</v>
      </c>
      <c r="D62" s="35" t="s">
        <v>110</v>
      </c>
      <c r="E62" s="152" t="s">
        <v>604</v>
      </c>
      <c r="F62" s="154">
        <v>6</v>
      </c>
      <c r="G62" s="154">
        <v>20</v>
      </c>
      <c r="H62" s="154">
        <v>204.8</v>
      </c>
      <c r="I62" s="31">
        <v>16384</v>
      </c>
      <c r="J62" s="154" t="s">
        <v>581</v>
      </c>
      <c r="K62" s="156" t="s">
        <v>579</v>
      </c>
      <c r="L62" s="152">
        <v>2.6</v>
      </c>
      <c r="M62" s="35"/>
      <c r="N62" s="35"/>
      <c r="O62" s="35"/>
      <c r="P62" s="35"/>
      <c r="Q62" s="35"/>
      <c r="R62" s="35"/>
      <c r="S62" s="35"/>
      <c r="T62" s="35"/>
      <c r="U62" s="35"/>
      <c r="V62" s="35"/>
      <c r="W62" s="35"/>
      <c r="X62" s="35"/>
      <c r="Y62" s="35"/>
      <c r="Z62" s="35"/>
      <c r="AA62" s="35"/>
      <c r="AB62" s="35"/>
      <c r="AC62" s="35"/>
      <c r="AD62" s="35"/>
      <c r="AE62" s="35"/>
      <c r="AF62" s="35"/>
      <c r="AG62" s="154">
        <f t="shared" si="1"/>
        <v>409.6</v>
      </c>
      <c r="AH62" s="154" t="s">
        <v>581</v>
      </c>
      <c r="AI62" s="156" t="s">
        <v>579</v>
      </c>
      <c r="AJ62" s="152" t="s">
        <v>575</v>
      </c>
      <c r="AK62" s="35"/>
      <c r="AL62" s="35"/>
      <c r="AM62" s="35"/>
      <c r="AN62" s="35"/>
      <c r="AO62" s="35"/>
      <c r="AP62" s="35"/>
      <c r="AQ62" s="35"/>
      <c r="AR62" s="35"/>
      <c r="AS62" s="35"/>
      <c r="AT62" s="35"/>
      <c r="AU62" s="35"/>
      <c r="AV62" s="35"/>
      <c r="AW62" s="154">
        <v>2</v>
      </c>
      <c r="AX62" s="154" t="s">
        <v>329</v>
      </c>
      <c r="AY62" s="154"/>
      <c r="AZ62" s="154"/>
      <c r="BA62" s="154">
        <v>2</v>
      </c>
      <c r="BB62" s="154"/>
      <c r="BC62" s="154" t="s">
        <v>329</v>
      </c>
      <c r="BD62" s="154" t="s">
        <v>329</v>
      </c>
      <c r="BE62" s="154"/>
      <c r="BF62" s="154"/>
      <c r="BG62" s="154"/>
      <c r="BH62" s="154"/>
      <c r="BI62" s="35"/>
      <c r="BJ62" s="35"/>
    </row>
    <row r="63" spans="1:62">
      <c r="A63" s="35" t="s">
        <v>497</v>
      </c>
      <c r="B63" s="35"/>
      <c r="C63" s="156" t="s">
        <v>326</v>
      </c>
      <c r="D63" s="35" t="s">
        <v>110</v>
      </c>
      <c r="E63" s="152" t="s">
        <v>604</v>
      </c>
      <c r="F63" s="154">
        <v>6</v>
      </c>
      <c r="G63" s="154">
        <v>20</v>
      </c>
      <c r="H63" s="154">
        <v>204.8</v>
      </c>
      <c r="I63" s="31">
        <v>16384</v>
      </c>
      <c r="J63" s="154" t="s">
        <v>581</v>
      </c>
      <c r="K63" s="156" t="s">
        <v>579</v>
      </c>
      <c r="L63" s="152">
        <v>2.6</v>
      </c>
      <c r="M63" s="35"/>
      <c r="N63" s="35"/>
      <c r="O63" s="35"/>
      <c r="P63" s="35"/>
      <c r="Q63" s="35"/>
      <c r="R63" s="35"/>
      <c r="S63" s="35"/>
      <c r="T63" s="35"/>
      <c r="U63" s="35"/>
      <c r="V63" s="35"/>
      <c r="W63" s="35"/>
      <c r="X63" s="35"/>
      <c r="Y63" s="35"/>
      <c r="Z63" s="35"/>
      <c r="AA63" s="35"/>
      <c r="AB63" s="35"/>
      <c r="AC63" s="35"/>
      <c r="AD63" s="35"/>
      <c r="AE63" s="35"/>
      <c r="AF63" s="35"/>
      <c r="AG63" s="154">
        <f t="shared" si="1"/>
        <v>409.6</v>
      </c>
      <c r="AH63" s="154" t="s">
        <v>581</v>
      </c>
      <c r="AI63" s="156" t="s">
        <v>579</v>
      </c>
      <c r="AJ63" s="152" t="s">
        <v>575</v>
      </c>
      <c r="AK63" s="35"/>
      <c r="AL63" s="35"/>
      <c r="AM63" s="35"/>
      <c r="AN63" s="35"/>
      <c r="AO63" s="35"/>
      <c r="AP63" s="35"/>
      <c r="AQ63" s="35"/>
      <c r="AR63" s="35"/>
      <c r="AS63" s="35"/>
      <c r="AT63" s="35"/>
      <c r="AU63" s="35"/>
      <c r="AV63" s="35"/>
      <c r="AW63" s="154">
        <v>2</v>
      </c>
      <c r="AX63" s="154" t="s">
        <v>329</v>
      </c>
      <c r="AY63" s="154"/>
      <c r="AZ63" s="154"/>
      <c r="BA63" s="154">
        <v>2</v>
      </c>
      <c r="BB63" s="154"/>
      <c r="BC63" s="154" t="s">
        <v>329</v>
      </c>
      <c r="BD63" s="154" t="s">
        <v>329</v>
      </c>
      <c r="BE63" s="154"/>
      <c r="BF63" s="154"/>
      <c r="BG63" s="154"/>
      <c r="BH63" s="154"/>
      <c r="BI63" s="35"/>
      <c r="BJ63" s="35"/>
    </row>
    <row r="64" spans="1:62">
      <c r="A64" s="35" t="s">
        <v>388</v>
      </c>
      <c r="B64" s="35"/>
      <c r="C64" s="156" t="s">
        <v>326</v>
      </c>
      <c r="D64" s="35" t="s">
        <v>30</v>
      </c>
      <c r="E64" s="154" t="s">
        <v>605</v>
      </c>
      <c r="F64" s="154">
        <v>4</v>
      </c>
      <c r="G64" s="154">
        <v>4</v>
      </c>
      <c r="H64" s="78">
        <v>40.96</v>
      </c>
      <c r="I64" s="31">
        <v>4096</v>
      </c>
      <c r="J64" s="154" t="s">
        <v>581</v>
      </c>
      <c r="K64" s="156" t="s">
        <v>579</v>
      </c>
      <c r="L64" s="152">
        <v>2.6</v>
      </c>
      <c r="M64" s="35"/>
      <c r="N64" s="35"/>
      <c r="O64" s="35"/>
      <c r="P64" s="35"/>
      <c r="Q64" s="35"/>
      <c r="R64" s="35"/>
      <c r="S64" s="35"/>
      <c r="T64" s="35"/>
      <c r="U64" s="35"/>
      <c r="V64" s="35"/>
      <c r="W64" s="35"/>
      <c r="X64" s="35"/>
      <c r="Y64" s="35"/>
      <c r="Z64" s="35"/>
      <c r="AA64" s="35"/>
      <c r="AB64" s="35"/>
      <c r="AC64" s="35"/>
      <c r="AD64" s="35"/>
      <c r="AE64" s="35"/>
      <c r="AF64" s="35"/>
      <c r="AG64" s="154">
        <f t="shared" si="1"/>
        <v>81.92</v>
      </c>
      <c r="AH64" s="154" t="s">
        <v>581</v>
      </c>
      <c r="AI64" s="156" t="s">
        <v>579</v>
      </c>
      <c r="AJ64" s="152" t="s">
        <v>575</v>
      </c>
      <c r="AK64" s="35"/>
      <c r="AL64" s="35"/>
      <c r="AM64" s="35"/>
      <c r="AN64" s="35"/>
      <c r="AO64" s="35"/>
      <c r="AP64" s="35"/>
      <c r="AQ64" s="35"/>
      <c r="AR64" s="35"/>
      <c r="AS64" s="35"/>
      <c r="AT64" s="35"/>
      <c r="AU64" s="35"/>
      <c r="AV64" s="35"/>
      <c r="AW64" s="154">
        <v>2</v>
      </c>
      <c r="AX64" s="154" t="s">
        <v>329</v>
      </c>
      <c r="AY64" s="154"/>
      <c r="AZ64" s="154"/>
      <c r="BA64" s="154">
        <v>2</v>
      </c>
      <c r="BB64" s="154"/>
      <c r="BC64" s="154" t="s">
        <v>329</v>
      </c>
      <c r="BD64" s="154" t="s">
        <v>329</v>
      </c>
      <c r="BE64" s="154"/>
      <c r="BF64" s="154"/>
      <c r="BG64" s="154"/>
      <c r="BH64" s="154"/>
      <c r="BI64" s="35"/>
      <c r="BJ64" s="35"/>
    </row>
    <row r="65" spans="1:62">
      <c r="A65" s="35" t="s">
        <v>389</v>
      </c>
      <c r="B65" s="35"/>
      <c r="C65" s="156" t="s">
        <v>326</v>
      </c>
      <c r="D65" s="35" t="s">
        <v>22</v>
      </c>
      <c r="E65" s="154" t="s">
        <v>605</v>
      </c>
      <c r="F65" s="154">
        <v>4</v>
      </c>
      <c r="G65" s="154">
        <v>4</v>
      </c>
      <c r="H65" s="78">
        <v>30.72</v>
      </c>
      <c r="I65" s="31">
        <v>4096</v>
      </c>
      <c r="J65" s="154" t="s">
        <v>581</v>
      </c>
      <c r="K65" s="156" t="s">
        <v>579</v>
      </c>
      <c r="L65" s="152">
        <v>2.6</v>
      </c>
      <c r="M65" s="35"/>
      <c r="N65" s="35"/>
      <c r="O65" s="35"/>
      <c r="P65" s="35"/>
      <c r="Q65" s="35"/>
      <c r="R65" s="35"/>
      <c r="S65" s="35"/>
      <c r="T65" s="35"/>
      <c r="U65" s="35"/>
      <c r="V65" s="35"/>
      <c r="W65" s="35"/>
      <c r="X65" s="35"/>
      <c r="Y65" s="35"/>
      <c r="Z65" s="35"/>
      <c r="AA65" s="35"/>
      <c r="AB65" s="35"/>
      <c r="AC65" s="35"/>
      <c r="AD65" s="35"/>
      <c r="AE65" s="35"/>
      <c r="AF65" s="35"/>
      <c r="AG65" s="154">
        <f t="shared" si="1"/>
        <v>61.44</v>
      </c>
      <c r="AH65" s="154" t="s">
        <v>581</v>
      </c>
      <c r="AI65" s="156" t="s">
        <v>579</v>
      </c>
      <c r="AJ65" s="152" t="s">
        <v>575</v>
      </c>
      <c r="AK65" s="35"/>
      <c r="AL65" s="35"/>
      <c r="AM65" s="35"/>
      <c r="AN65" s="35"/>
      <c r="AO65" s="35"/>
      <c r="AP65" s="35"/>
      <c r="AQ65" s="35"/>
      <c r="AR65" s="35"/>
      <c r="AS65" s="35"/>
      <c r="AT65" s="35"/>
      <c r="AU65" s="35"/>
      <c r="AV65" s="35"/>
      <c r="AW65" s="154">
        <v>2</v>
      </c>
      <c r="AX65" s="154" t="s">
        <v>329</v>
      </c>
      <c r="AY65" s="154"/>
      <c r="AZ65" s="154"/>
      <c r="BA65" s="154">
        <v>2</v>
      </c>
      <c r="BB65" s="154"/>
      <c r="BC65" s="154" t="s">
        <v>329</v>
      </c>
      <c r="BD65" s="154" t="s">
        <v>329</v>
      </c>
      <c r="BE65" s="154"/>
      <c r="BF65" s="154"/>
      <c r="BG65" s="154"/>
      <c r="BH65" s="154"/>
      <c r="BI65" s="35"/>
      <c r="BJ65" s="35"/>
    </row>
    <row r="66" spans="1:62">
      <c r="A66" s="35" t="s">
        <v>390</v>
      </c>
      <c r="B66" s="35"/>
      <c r="C66" s="156" t="s">
        <v>326</v>
      </c>
      <c r="D66" s="35" t="s">
        <v>26</v>
      </c>
      <c r="E66" s="154" t="s">
        <v>605</v>
      </c>
      <c r="F66" s="154">
        <v>4</v>
      </c>
      <c r="G66" s="154">
        <v>4</v>
      </c>
      <c r="H66" s="78">
        <v>30.72</v>
      </c>
      <c r="I66" s="31">
        <v>4096</v>
      </c>
      <c r="J66" s="154" t="s">
        <v>581</v>
      </c>
      <c r="K66" s="156" t="s">
        <v>579</v>
      </c>
      <c r="L66" s="152">
        <v>2.6</v>
      </c>
      <c r="M66" s="35"/>
      <c r="N66" s="35"/>
      <c r="O66" s="35"/>
      <c r="P66" s="35"/>
      <c r="Q66" s="35"/>
      <c r="R66" s="35"/>
      <c r="S66" s="35"/>
      <c r="T66" s="35"/>
      <c r="U66" s="35"/>
      <c r="V66" s="35"/>
      <c r="W66" s="35"/>
      <c r="X66" s="35"/>
      <c r="Y66" s="35"/>
      <c r="Z66" s="35"/>
      <c r="AA66" s="35"/>
      <c r="AB66" s="35"/>
      <c r="AC66" s="35"/>
      <c r="AD66" s="35"/>
      <c r="AE66" s="35"/>
      <c r="AF66" s="35"/>
      <c r="AG66" s="154">
        <f t="shared" si="1"/>
        <v>61.44</v>
      </c>
      <c r="AH66" s="154" t="s">
        <v>581</v>
      </c>
      <c r="AI66" s="156" t="s">
        <v>579</v>
      </c>
      <c r="AJ66" s="152" t="s">
        <v>575</v>
      </c>
      <c r="AK66" s="35"/>
      <c r="AL66" s="35"/>
      <c r="AM66" s="35"/>
      <c r="AN66" s="35"/>
      <c r="AO66" s="35"/>
      <c r="AP66" s="35"/>
      <c r="AQ66" s="35"/>
      <c r="AR66" s="35"/>
      <c r="AS66" s="35"/>
      <c r="AT66" s="35"/>
      <c r="AU66" s="35"/>
      <c r="AV66" s="35"/>
      <c r="AW66" s="154">
        <v>2</v>
      </c>
      <c r="AX66" s="154" t="s">
        <v>329</v>
      </c>
      <c r="AY66" s="154"/>
      <c r="AZ66" s="154"/>
      <c r="BA66" s="154">
        <v>2</v>
      </c>
      <c r="BB66" s="154"/>
      <c r="BC66" s="154" t="s">
        <v>329</v>
      </c>
      <c r="BD66" s="154" t="s">
        <v>329</v>
      </c>
      <c r="BE66" s="154"/>
      <c r="BF66" s="154"/>
      <c r="BG66" s="154"/>
      <c r="BH66" s="154"/>
      <c r="BI66" s="35"/>
      <c r="BJ66" s="35"/>
    </row>
    <row r="67" spans="1:62" ht="15">
      <c r="A67" s="35" t="s">
        <v>391</v>
      </c>
      <c r="B67" s="35"/>
      <c r="C67" s="156" t="s">
        <v>326</v>
      </c>
      <c r="D67" s="35" t="s">
        <v>38</v>
      </c>
      <c r="E67" s="154" t="s">
        <v>606</v>
      </c>
      <c r="F67" s="154">
        <v>6</v>
      </c>
      <c r="G67" s="154">
        <v>7</v>
      </c>
      <c r="H67" s="154">
        <v>112.64</v>
      </c>
      <c r="I67" s="31">
        <v>4096</v>
      </c>
      <c r="J67" s="154" t="s">
        <v>581</v>
      </c>
      <c r="K67" s="156" t="s">
        <v>579</v>
      </c>
      <c r="L67" s="152">
        <v>2.6</v>
      </c>
      <c r="M67" s="154"/>
      <c r="N67" s="154"/>
      <c r="O67" s="154"/>
      <c r="P67" s="154"/>
      <c r="Q67" s="40"/>
      <c r="R67" s="40"/>
      <c r="S67" s="40"/>
      <c r="T67" s="40"/>
      <c r="U67" s="154"/>
      <c r="V67" s="154"/>
      <c r="W67" s="154"/>
      <c r="X67" s="154"/>
      <c r="Y67" s="154"/>
      <c r="Z67" s="154"/>
      <c r="AA67" s="154"/>
      <c r="AB67" s="154"/>
      <c r="AC67" s="154"/>
      <c r="AD67" s="154"/>
      <c r="AE67" s="154"/>
      <c r="AF67" s="154"/>
      <c r="AG67" s="154">
        <f t="shared" si="1"/>
        <v>225.28</v>
      </c>
      <c r="AH67" s="154" t="s">
        <v>581</v>
      </c>
      <c r="AI67" s="156" t="s">
        <v>579</v>
      </c>
      <c r="AJ67" s="152" t="s">
        <v>575</v>
      </c>
      <c r="AK67" s="154"/>
      <c r="AL67" s="154"/>
      <c r="AM67" s="154"/>
      <c r="AN67" s="154"/>
      <c r="AO67" s="154"/>
      <c r="AP67" s="154"/>
      <c r="AQ67" s="154"/>
      <c r="AR67" s="154"/>
      <c r="AS67" s="154"/>
      <c r="AT67" s="154"/>
      <c r="AU67" s="154"/>
      <c r="AV67" s="154"/>
      <c r="AW67" s="154">
        <v>2</v>
      </c>
      <c r="AX67" s="154" t="s">
        <v>329</v>
      </c>
      <c r="AY67" s="154" t="s">
        <v>329</v>
      </c>
      <c r="AZ67" s="154"/>
      <c r="BA67" s="154">
        <v>2</v>
      </c>
      <c r="BB67" s="154"/>
      <c r="BC67" s="154" t="s">
        <v>329</v>
      </c>
      <c r="BD67" s="154" t="s">
        <v>329</v>
      </c>
      <c r="BE67" s="154"/>
      <c r="BF67" s="154"/>
      <c r="BG67" s="154"/>
      <c r="BH67" s="154"/>
      <c r="BI67" s="35"/>
      <c r="BJ67" s="35"/>
    </row>
    <row r="68" spans="1:62" ht="15">
      <c r="A68" s="35" t="s">
        <v>517</v>
      </c>
      <c r="B68" s="35"/>
      <c r="C68" s="156" t="s">
        <v>326</v>
      </c>
      <c r="D68" s="35" t="s">
        <v>38</v>
      </c>
      <c r="E68" s="154" t="s">
        <v>606</v>
      </c>
      <c r="F68" s="154">
        <v>6</v>
      </c>
      <c r="G68" s="154">
        <v>7</v>
      </c>
      <c r="H68" s="154">
        <v>112.64</v>
      </c>
      <c r="I68" s="31">
        <v>4096</v>
      </c>
      <c r="J68" s="154" t="s">
        <v>581</v>
      </c>
      <c r="K68" s="156" t="s">
        <v>579</v>
      </c>
      <c r="L68" s="152">
        <v>2.6</v>
      </c>
      <c r="M68" s="154"/>
      <c r="N68" s="154"/>
      <c r="O68" s="154"/>
      <c r="P68" s="154"/>
      <c r="Q68" s="40"/>
      <c r="R68" s="40"/>
      <c r="S68" s="40"/>
      <c r="T68" s="40"/>
      <c r="U68" s="154"/>
      <c r="V68" s="154"/>
      <c r="W68" s="154"/>
      <c r="X68" s="154"/>
      <c r="Y68" s="154"/>
      <c r="Z68" s="154"/>
      <c r="AA68" s="154"/>
      <c r="AB68" s="154"/>
      <c r="AC68" s="154"/>
      <c r="AD68" s="154"/>
      <c r="AE68" s="154"/>
      <c r="AF68" s="154"/>
      <c r="AG68" s="154">
        <f t="shared" si="1"/>
        <v>225.28</v>
      </c>
      <c r="AH68" s="154" t="s">
        <v>581</v>
      </c>
      <c r="AI68" s="156" t="s">
        <v>579</v>
      </c>
      <c r="AJ68" s="152" t="s">
        <v>575</v>
      </c>
      <c r="AK68" s="154"/>
      <c r="AL68" s="154"/>
      <c r="AM68" s="154"/>
      <c r="AN68" s="154"/>
      <c r="AO68" s="154"/>
      <c r="AP68" s="154"/>
      <c r="AQ68" s="154"/>
      <c r="AR68" s="154"/>
      <c r="AS68" s="154"/>
      <c r="AT68" s="154"/>
      <c r="AU68" s="154"/>
      <c r="AV68" s="154"/>
      <c r="AW68" s="154">
        <v>2</v>
      </c>
      <c r="AX68" s="154" t="s">
        <v>329</v>
      </c>
      <c r="AY68" s="154"/>
      <c r="AZ68" s="154"/>
      <c r="BA68" s="154">
        <v>2</v>
      </c>
      <c r="BB68" s="154"/>
      <c r="BC68" s="154" t="s">
        <v>329</v>
      </c>
      <c r="BD68" s="154" t="s">
        <v>329</v>
      </c>
      <c r="BE68" s="154"/>
      <c r="BF68" s="154"/>
      <c r="BG68" s="154"/>
      <c r="BH68" s="154"/>
      <c r="BI68" s="35"/>
      <c r="BJ68" s="35"/>
    </row>
    <row r="69" spans="1:62" ht="15">
      <c r="A69" s="156" t="s">
        <v>392</v>
      </c>
      <c r="B69" s="156"/>
      <c r="C69" s="156" t="s">
        <v>326</v>
      </c>
      <c r="D69" s="156" t="s">
        <v>49</v>
      </c>
      <c r="E69" s="152" t="s">
        <v>607</v>
      </c>
      <c r="F69" s="152">
        <v>2</v>
      </c>
      <c r="G69" s="152">
        <v>2</v>
      </c>
      <c r="H69" s="154">
        <v>15.36</v>
      </c>
      <c r="I69" s="31">
        <v>4096</v>
      </c>
      <c r="J69" s="152" t="s">
        <v>581</v>
      </c>
      <c r="K69" s="156" t="s">
        <v>579</v>
      </c>
      <c r="L69" s="152">
        <v>2.6</v>
      </c>
      <c r="M69" s="152"/>
      <c r="N69" s="152"/>
      <c r="O69" s="152"/>
      <c r="P69" s="152"/>
      <c r="Q69" s="1"/>
      <c r="R69" s="1"/>
      <c r="S69" s="1"/>
      <c r="T69" s="1"/>
      <c r="U69" s="152"/>
      <c r="V69" s="152"/>
      <c r="W69" s="152"/>
      <c r="X69" s="152"/>
      <c r="Y69" s="152"/>
      <c r="Z69" s="152"/>
      <c r="AA69" s="152"/>
      <c r="AB69" s="152"/>
      <c r="AC69" s="152"/>
      <c r="AD69" s="152"/>
      <c r="AE69" s="152"/>
      <c r="AF69" s="152"/>
      <c r="AG69" s="78">
        <f t="shared" si="1"/>
        <v>30.72</v>
      </c>
      <c r="AH69" s="152" t="s">
        <v>581</v>
      </c>
      <c r="AI69" s="156" t="s">
        <v>579</v>
      </c>
      <c r="AJ69" s="152" t="s">
        <v>575</v>
      </c>
      <c r="AK69" s="156"/>
      <c r="AL69" s="156"/>
      <c r="AM69" s="156"/>
      <c r="AN69" s="156"/>
      <c r="AO69" s="156"/>
      <c r="AP69" s="156"/>
      <c r="AQ69" s="156"/>
      <c r="AR69" s="156"/>
      <c r="AS69" s="156"/>
      <c r="AT69" s="156"/>
      <c r="AU69" s="156"/>
      <c r="AV69" s="156"/>
      <c r="AW69" s="152">
        <v>2</v>
      </c>
      <c r="AX69" s="152" t="s">
        <v>329</v>
      </c>
      <c r="AY69" s="152"/>
      <c r="AZ69" s="152"/>
      <c r="BA69" s="152">
        <v>2</v>
      </c>
      <c r="BB69" s="152"/>
      <c r="BC69" s="152" t="s">
        <v>329</v>
      </c>
      <c r="BD69" s="152" t="s">
        <v>329</v>
      </c>
      <c r="BE69" s="152"/>
      <c r="BF69" s="152"/>
      <c r="BG69" s="152"/>
      <c r="BH69" s="156"/>
      <c r="BI69" s="35"/>
      <c r="BJ69" s="35"/>
    </row>
    <row r="70" spans="1:62" ht="15">
      <c r="A70" s="156" t="s">
        <v>393</v>
      </c>
      <c r="B70" s="156"/>
      <c r="C70" s="156" t="s">
        <v>326</v>
      </c>
      <c r="D70" s="156" t="s">
        <v>49</v>
      </c>
      <c r="E70" s="152" t="s">
        <v>607</v>
      </c>
      <c r="F70" s="152">
        <v>2</v>
      </c>
      <c r="G70" s="152">
        <v>2</v>
      </c>
      <c r="H70" s="154">
        <v>15.36</v>
      </c>
      <c r="I70" s="31">
        <v>4096</v>
      </c>
      <c r="J70" s="152" t="s">
        <v>581</v>
      </c>
      <c r="K70" s="156" t="s">
        <v>579</v>
      </c>
      <c r="L70" s="152">
        <v>2.6</v>
      </c>
      <c r="M70" s="152"/>
      <c r="N70" s="152"/>
      <c r="O70" s="152"/>
      <c r="P70" s="152"/>
      <c r="Q70" s="1"/>
      <c r="R70" s="1"/>
      <c r="S70" s="1"/>
      <c r="T70" s="1"/>
      <c r="U70" s="152"/>
      <c r="V70" s="152"/>
      <c r="W70" s="152"/>
      <c r="X70" s="152"/>
      <c r="Y70" s="152"/>
      <c r="Z70" s="152"/>
      <c r="AA70" s="152"/>
      <c r="AB70" s="152"/>
      <c r="AC70" s="152"/>
      <c r="AD70" s="152"/>
      <c r="AE70" s="152"/>
      <c r="AF70" s="152"/>
      <c r="AG70" s="78">
        <f t="shared" si="1"/>
        <v>30.72</v>
      </c>
      <c r="AH70" s="152" t="s">
        <v>581</v>
      </c>
      <c r="AI70" s="156" t="s">
        <v>579</v>
      </c>
      <c r="AJ70" s="152" t="s">
        <v>575</v>
      </c>
      <c r="AK70" s="156"/>
      <c r="AL70" s="156"/>
      <c r="AM70" s="156"/>
      <c r="AN70" s="156"/>
      <c r="AO70" s="156"/>
      <c r="AP70" s="156"/>
      <c r="AQ70" s="156"/>
      <c r="AR70" s="156"/>
      <c r="AS70" s="156"/>
      <c r="AT70" s="156"/>
      <c r="AU70" s="156"/>
      <c r="AV70" s="156"/>
      <c r="AW70" s="152">
        <v>2</v>
      </c>
      <c r="AX70" s="152" t="s">
        <v>329</v>
      </c>
      <c r="AY70" s="152"/>
      <c r="AZ70" s="152"/>
      <c r="BA70" s="152">
        <v>2</v>
      </c>
      <c r="BB70" s="152"/>
      <c r="BC70" s="152" t="s">
        <v>329</v>
      </c>
      <c r="BD70" s="152" t="s">
        <v>329</v>
      </c>
      <c r="BE70" s="152"/>
      <c r="BF70" s="152"/>
      <c r="BG70" s="152"/>
      <c r="BH70" s="156"/>
      <c r="BI70" s="35"/>
      <c r="BJ70" s="35"/>
    </row>
    <row r="71" spans="1:62" ht="15">
      <c r="A71" s="156" t="s">
        <v>394</v>
      </c>
      <c r="B71" s="156"/>
      <c r="C71" s="156" t="s">
        <v>326</v>
      </c>
      <c r="D71" s="156" t="s">
        <v>53</v>
      </c>
      <c r="E71" s="152" t="s">
        <v>619</v>
      </c>
      <c r="F71" s="152">
        <v>6</v>
      </c>
      <c r="G71" s="152">
        <v>5</v>
      </c>
      <c r="H71" s="154">
        <v>40.96</v>
      </c>
      <c r="I71" s="31">
        <v>4096</v>
      </c>
      <c r="J71" s="152" t="s">
        <v>581</v>
      </c>
      <c r="K71" s="156" t="s">
        <v>579</v>
      </c>
      <c r="L71" s="152">
        <v>2.6</v>
      </c>
      <c r="M71" s="152"/>
      <c r="N71" s="152"/>
      <c r="O71" s="152"/>
      <c r="P71" s="152"/>
      <c r="Q71" s="1"/>
      <c r="R71" s="1"/>
      <c r="S71" s="1"/>
      <c r="T71" s="1"/>
      <c r="U71" s="152"/>
      <c r="V71" s="152"/>
      <c r="W71" s="152"/>
      <c r="X71" s="152"/>
      <c r="Y71" s="152"/>
      <c r="Z71" s="152"/>
      <c r="AA71" s="152"/>
      <c r="AB71" s="152"/>
      <c r="AC71" s="152"/>
      <c r="AD71" s="152"/>
      <c r="AE71" s="152"/>
      <c r="AF71" s="152"/>
      <c r="AG71" s="78">
        <f t="shared" si="1"/>
        <v>81.92</v>
      </c>
      <c r="AH71" s="152" t="s">
        <v>581</v>
      </c>
      <c r="AI71" s="156" t="s">
        <v>579</v>
      </c>
      <c r="AJ71" s="152" t="s">
        <v>575</v>
      </c>
      <c r="AK71" s="156"/>
      <c r="AL71" s="156"/>
      <c r="AM71" s="156"/>
      <c r="AN71" s="156"/>
      <c r="AO71" s="156"/>
      <c r="AP71" s="156"/>
      <c r="AQ71" s="156"/>
      <c r="AR71" s="156"/>
      <c r="AS71" s="156"/>
      <c r="AT71" s="156"/>
      <c r="AU71" s="156"/>
      <c r="AV71" s="156"/>
      <c r="AW71" s="152">
        <v>2</v>
      </c>
      <c r="AX71" s="152" t="s">
        <v>329</v>
      </c>
      <c r="AY71" s="152"/>
      <c r="AZ71" s="152"/>
      <c r="BA71" s="152">
        <v>2</v>
      </c>
      <c r="BB71" s="152"/>
      <c r="BC71" s="152" t="s">
        <v>329</v>
      </c>
      <c r="BD71" s="152" t="s">
        <v>329</v>
      </c>
      <c r="BE71" s="152"/>
      <c r="BF71" s="152"/>
      <c r="BG71" s="152"/>
      <c r="BH71" s="156"/>
      <c r="BI71" s="35"/>
      <c r="BJ71" s="35"/>
    </row>
    <row r="72" spans="1:62" ht="15">
      <c r="A72" s="156" t="s">
        <v>395</v>
      </c>
      <c r="B72" s="156"/>
      <c r="C72" s="156" t="s">
        <v>326</v>
      </c>
      <c r="D72" s="156" t="s">
        <v>57</v>
      </c>
      <c r="E72" s="13" t="s">
        <v>609</v>
      </c>
      <c r="F72" s="152">
        <v>2</v>
      </c>
      <c r="G72" s="152">
        <v>2</v>
      </c>
      <c r="H72" s="78">
        <v>30.72</v>
      </c>
      <c r="I72" s="31">
        <v>4096</v>
      </c>
      <c r="J72" s="152" t="s">
        <v>581</v>
      </c>
      <c r="K72" s="156" t="s">
        <v>579</v>
      </c>
      <c r="L72" s="152">
        <v>2.6</v>
      </c>
      <c r="M72" s="152"/>
      <c r="N72" s="152"/>
      <c r="O72" s="152"/>
      <c r="P72" s="152"/>
      <c r="Q72" s="1"/>
      <c r="R72" s="1"/>
      <c r="S72" s="1"/>
      <c r="T72" s="1"/>
      <c r="U72" s="152"/>
      <c r="V72" s="152"/>
      <c r="W72" s="152"/>
      <c r="X72" s="152"/>
      <c r="Y72" s="152"/>
      <c r="Z72" s="152"/>
      <c r="AA72" s="152"/>
      <c r="AB72" s="152"/>
      <c r="AC72" s="152"/>
      <c r="AD72" s="152"/>
      <c r="AE72" s="152"/>
      <c r="AF72" s="152"/>
      <c r="AG72" s="78">
        <f t="shared" si="1"/>
        <v>61.44</v>
      </c>
      <c r="AH72" s="152" t="s">
        <v>581</v>
      </c>
      <c r="AI72" s="13" t="s">
        <v>579</v>
      </c>
      <c r="AJ72" s="8" t="s">
        <v>575</v>
      </c>
      <c r="AK72" s="13"/>
      <c r="AL72" s="13"/>
      <c r="AM72" s="13"/>
      <c r="AN72" s="13"/>
      <c r="AO72" s="13"/>
      <c r="AP72" s="13"/>
      <c r="AQ72" s="13"/>
      <c r="AR72" s="13"/>
      <c r="AS72" s="13"/>
      <c r="AT72" s="13"/>
      <c r="AU72" s="13"/>
      <c r="AV72" s="13"/>
      <c r="AW72" s="8">
        <v>2</v>
      </c>
      <c r="AX72" s="8" t="s">
        <v>329</v>
      </c>
      <c r="AY72" s="8"/>
      <c r="AZ72" s="8"/>
      <c r="BA72" s="8">
        <v>2</v>
      </c>
      <c r="BB72" s="8"/>
      <c r="BC72" s="8" t="s">
        <v>329</v>
      </c>
      <c r="BD72" s="8" t="s">
        <v>329</v>
      </c>
      <c r="BE72" s="8"/>
      <c r="BF72" s="8"/>
      <c r="BG72" s="8"/>
      <c r="BH72" s="13"/>
      <c r="BI72" s="35"/>
      <c r="BJ72" s="35"/>
    </row>
    <row r="73" spans="1:62">
      <c r="A73" s="43"/>
      <c r="B73" s="43"/>
      <c r="C73" s="43"/>
      <c r="D73" s="43"/>
      <c r="E73" s="152"/>
      <c r="F73" s="44">
        <f>SUM(F49:F72)+F44</f>
        <v>344</v>
      </c>
      <c r="G73" s="44">
        <f>SUM(G49:G72)+G44</f>
        <v>980</v>
      </c>
      <c r="H73" s="88">
        <f>SUM(H49:H72)+H44</f>
        <v>5515.5999999999995</v>
      </c>
      <c r="I73" s="91"/>
      <c r="J73" s="44"/>
      <c r="K73" s="44"/>
      <c r="L73" s="44">
        <f>L44+SUM(L49:L72)</f>
        <v>1517.599999999999</v>
      </c>
      <c r="M73" s="88">
        <f>SUM(M49:M72)+M44</f>
        <v>471.04</v>
      </c>
      <c r="N73" s="44"/>
      <c r="O73" s="44"/>
      <c r="P73" s="44">
        <f>P44+SUM(P49:P72)</f>
        <v>0.05</v>
      </c>
      <c r="Q73" s="88">
        <f>SUM(Q49:Q72)+Q44</f>
        <v>8294.4</v>
      </c>
      <c r="R73" s="44"/>
      <c r="S73" s="44"/>
      <c r="T73" s="44">
        <f>T44+SUM(T49:T72)</f>
        <v>0.05</v>
      </c>
      <c r="U73" s="88">
        <f>SUM(U49:U72)+U44</f>
        <v>12441.6</v>
      </c>
      <c r="V73" s="44"/>
      <c r="W73" s="44"/>
      <c r="X73" s="44">
        <f>X44+SUM(X49:X72)</f>
        <v>0.05</v>
      </c>
      <c r="Y73" s="88">
        <f>SUM(Y49:Y72)+Y44</f>
        <v>783.35</v>
      </c>
      <c r="Z73" s="44"/>
      <c r="AA73" s="44"/>
      <c r="AB73" s="44">
        <f>AB44+SUM(AB49:AB72)</f>
        <v>0.1</v>
      </c>
      <c r="AC73" s="88">
        <f>AC44+SUM(AC49:AC72)</f>
        <v>276.48</v>
      </c>
      <c r="AD73" s="44"/>
      <c r="AE73" s="44"/>
      <c r="AF73" s="44">
        <f>AF44+SUM(AF49:AF72)</f>
        <v>0</v>
      </c>
      <c r="AG73" s="88">
        <f>SUM(AG49:AG72)+AG44</f>
        <v>41326.180000000022</v>
      </c>
      <c r="AH73" s="44"/>
      <c r="AI73" s="154"/>
      <c r="AJ73" s="154"/>
      <c r="AK73" s="82">
        <f>SUM(AK49:AK72)+AK44</f>
        <v>184.32</v>
      </c>
      <c r="AL73" s="154"/>
      <c r="AM73" s="154"/>
      <c r="AN73" s="154">
        <f>AN44+SUM(AN49:AN72)</f>
        <v>0.2</v>
      </c>
      <c r="AO73" s="154"/>
      <c r="AP73" s="154"/>
      <c r="AQ73" s="154"/>
      <c r="AR73" s="154"/>
      <c r="AS73" s="154"/>
      <c r="AT73" s="154"/>
      <c r="AU73" s="154"/>
      <c r="AV73" s="154"/>
      <c r="AW73" s="154">
        <f>AW44+SUM(AW49:AW72)</f>
        <v>157</v>
      </c>
      <c r="AX73" s="154">
        <f>AX44+COUNTIF(AX49:AX72,"x")</f>
        <v>59</v>
      </c>
      <c r="AY73" s="154">
        <f>3</f>
        <v>3</v>
      </c>
      <c r="AZ73" s="154">
        <v>1</v>
      </c>
      <c r="BA73" s="154">
        <f>BA44+SUM(BA49:BA72)</f>
        <v>118</v>
      </c>
      <c r="BB73" s="154">
        <v>1</v>
      </c>
      <c r="BC73" s="154">
        <f>BC44+COUNTIF(BC49:BC72,"x")</f>
        <v>24</v>
      </c>
      <c r="BD73" s="154">
        <f>BD44+COUNTIF(BD49:BD72,"x")</f>
        <v>59</v>
      </c>
      <c r="BE73" s="152" t="s">
        <v>601</v>
      </c>
      <c r="BF73" s="152">
        <v>2</v>
      </c>
      <c r="BG73" s="152">
        <v>4</v>
      </c>
      <c r="BH73" s="152">
        <v>2</v>
      </c>
      <c r="BI73" s="35"/>
      <c r="BJ73" s="35"/>
    </row>
    <row r="74" spans="1:62" ht="15">
      <c r="A74" s="35"/>
      <c r="B74" s="35"/>
      <c r="C74" s="35"/>
      <c r="D74" s="35"/>
      <c r="E74" s="1"/>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154"/>
      <c r="AX74" s="35"/>
      <c r="AY74" s="35"/>
      <c r="AZ74" s="35"/>
      <c r="BA74" s="35"/>
      <c r="BB74" s="35"/>
      <c r="BC74" s="35"/>
      <c r="BD74" s="35"/>
      <c r="BE74" s="35"/>
      <c r="BF74" s="35"/>
      <c r="BG74" s="35"/>
      <c r="BH74" s="35"/>
      <c r="BI74" s="35"/>
      <c r="BJ74" s="35"/>
    </row>
    <row r="75" spans="1:62" ht="15">
      <c r="A75" s="7" t="s">
        <v>610</v>
      </c>
      <c r="B75" s="35"/>
      <c r="C75" s="35"/>
      <c r="D75" s="35"/>
      <c r="E75" s="1"/>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154"/>
      <c r="AX75" s="35"/>
      <c r="AY75" s="35"/>
      <c r="AZ75" s="35"/>
      <c r="BA75" s="35"/>
      <c r="BB75" s="35"/>
      <c r="BC75" s="35"/>
      <c r="BD75" s="35"/>
      <c r="BE75" s="35"/>
      <c r="BF75" s="35"/>
      <c r="BG75" s="35"/>
      <c r="BH75" s="35"/>
      <c r="BI75" s="35"/>
      <c r="BJ75" s="35"/>
    </row>
    <row r="76" spans="1:62" ht="15">
      <c r="A76" s="35"/>
      <c r="B76" s="35"/>
      <c r="C76" s="35"/>
      <c r="D76" s="35"/>
      <c r="E76" s="1"/>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154"/>
      <c r="AX76" s="35"/>
      <c r="AY76" s="35"/>
      <c r="AZ76" s="35"/>
      <c r="BA76" s="35"/>
      <c r="BB76" s="35"/>
      <c r="BC76" s="154" t="s">
        <v>329</v>
      </c>
      <c r="BD76" s="154" t="s">
        <v>329</v>
      </c>
      <c r="BE76" s="35"/>
      <c r="BF76" s="35"/>
      <c r="BG76" s="35"/>
      <c r="BH76" s="35"/>
      <c r="BI76" s="35"/>
      <c r="BJ76" s="35"/>
    </row>
    <row r="77" spans="1:62">
      <c r="A77" s="156" t="s">
        <v>425</v>
      </c>
      <c r="B77" s="156"/>
      <c r="C77" s="156" t="s">
        <v>326</v>
      </c>
      <c r="D77" s="156" t="s">
        <v>8</v>
      </c>
      <c r="E77" s="152" t="s">
        <v>611</v>
      </c>
      <c r="F77" s="152">
        <v>2</v>
      </c>
      <c r="G77" s="152">
        <v>4</v>
      </c>
      <c r="H77" s="154">
        <v>71.900000000000006</v>
      </c>
      <c r="I77" s="31">
        <v>4096</v>
      </c>
      <c r="J77" s="152" t="s">
        <v>581</v>
      </c>
      <c r="K77" s="156" t="s">
        <v>579</v>
      </c>
      <c r="L77" s="152">
        <v>2.6</v>
      </c>
      <c r="M77" s="152"/>
      <c r="N77" s="152"/>
      <c r="O77" s="152"/>
      <c r="P77" s="152"/>
      <c r="Q77" s="152"/>
      <c r="R77" s="152"/>
      <c r="S77" s="152"/>
      <c r="T77" s="152"/>
      <c r="U77" s="152"/>
      <c r="V77" s="152"/>
      <c r="W77" s="152"/>
      <c r="X77" s="152"/>
      <c r="Y77" s="152"/>
      <c r="Z77" s="152"/>
      <c r="AA77" s="152"/>
      <c r="AB77" s="154"/>
      <c r="AC77" s="154"/>
      <c r="AD77" s="154"/>
      <c r="AE77" s="154"/>
      <c r="AF77" s="154"/>
      <c r="AG77" s="154">
        <f>2*H77</f>
        <v>143.80000000000001</v>
      </c>
      <c r="AH77" s="154" t="s">
        <v>581</v>
      </c>
      <c r="AI77" s="156" t="s">
        <v>579</v>
      </c>
      <c r="AJ77" s="152" t="s">
        <v>575</v>
      </c>
      <c r="AK77" s="154"/>
      <c r="AL77" s="154"/>
      <c r="AM77" s="154"/>
      <c r="AN77" s="154"/>
      <c r="AO77" s="154"/>
      <c r="AP77" s="154"/>
      <c r="AQ77" s="154"/>
      <c r="AR77" s="154"/>
      <c r="AS77" s="154"/>
      <c r="AT77" s="154"/>
      <c r="AU77" s="154"/>
      <c r="AV77" s="154"/>
      <c r="AW77" s="154">
        <v>2</v>
      </c>
      <c r="AX77" s="154" t="s">
        <v>329</v>
      </c>
      <c r="AY77" s="154"/>
      <c r="AZ77" s="154"/>
      <c r="BA77" s="154">
        <v>2</v>
      </c>
      <c r="BB77" s="154"/>
      <c r="BC77" s="154" t="s">
        <v>329</v>
      </c>
      <c r="BD77" s="154" t="s">
        <v>329</v>
      </c>
      <c r="BE77" s="154"/>
      <c r="BF77" s="154"/>
      <c r="BG77" s="154"/>
      <c r="BH77" s="154"/>
      <c r="BI77" s="35"/>
      <c r="BJ77" s="35"/>
    </row>
    <row r="78" spans="1:62">
      <c r="A78" s="156" t="s">
        <v>429</v>
      </c>
      <c r="B78" s="156"/>
      <c r="C78" s="156" t="s">
        <v>326</v>
      </c>
      <c r="D78" s="156" t="s">
        <v>430</v>
      </c>
      <c r="E78" s="152" t="s">
        <v>612</v>
      </c>
      <c r="F78" s="152">
        <v>6</v>
      </c>
      <c r="G78" s="152">
        <v>10</v>
      </c>
      <c r="H78" s="78">
        <v>102.4</v>
      </c>
      <c r="I78" s="31">
        <v>16384</v>
      </c>
      <c r="J78" s="152" t="s">
        <v>581</v>
      </c>
      <c r="K78" s="156" t="s">
        <v>579</v>
      </c>
      <c r="L78" s="152">
        <v>2.6</v>
      </c>
      <c r="M78" s="152"/>
      <c r="N78" s="152"/>
      <c r="O78" s="152"/>
      <c r="P78" s="152"/>
      <c r="Q78" s="154">
        <v>204.8</v>
      </c>
      <c r="R78" s="154" t="s">
        <v>581</v>
      </c>
      <c r="S78" s="156" t="s">
        <v>579</v>
      </c>
      <c r="T78" s="154" t="s">
        <v>575</v>
      </c>
      <c r="U78" s="154"/>
      <c r="V78" s="154"/>
      <c r="W78" s="154"/>
      <c r="X78" s="154"/>
      <c r="Y78" s="156"/>
      <c r="Z78" s="156"/>
      <c r="AA78" s="156"/>
      <c r="AB78" s="154" t="s">
        <v>575</v>
      </c>
      <c r="AC78" s="154"/>
      <c r="AD78" s="154"/>
      <c r="AE78" s="154"/>
      <c r="AF78" s="154"/>
      <c r="AG78" s="154">
        <f>2*H78+Q78*2</f>
        <v>614.40000000000009</v>
      </c>
      <c r="AH78" s="154" t="s">
        <v>581</v>
      </c>
      <c r="AI78" s="156" t="s">
        <v>579</v>
      </c>
      <c r="AJ78" s="152" t="s">
        <v>575</v>
      </c>
      <c r="AK78" s="154"/>
      <c r="AL78" s="154"/>
      <c r="AM78" s="154"/>
      <c r="AN78" s="154"/>
      <c r="AO78" s="154"/>
      <c r="AP78" s="154"/>
      <c r="AQ78" s="154"/>
      <c r="AR78" s="154"/>
      <c r="AS78" s="154"/>
      <c r="AT78" s="154"/>
      <c r="AU78" s="154"/>
      <c r="AV78" s="154"/>
      <c r="AW78" s="154">
        <v>3</v>
      </c>
      <c r="AX78" s="154" t="s">
        <v>329</v>
      </c>
      <c r="AY78" s="154"/>
      <c r="AZ78" s="154"/>
      <c r="BA78" s="154">
        <v>2</v>
      </c>
      <c r="BB78" s="154"/>
      <c r="BC78" s="154" t="s">
        <v>329</v>
      </c>
      <c r="BD78" s="154" t="s">
        <v>329</v>
      </c>
      <c r="BE78" s="154"/>
      <c r="BF78" s="154"/>
      <c r="BG78" s="154"/>
      <c r="BH78" s="154"/>
      <c r="BI78" s="35"/>
      <c r="BJ78" s="35"/>
    </row>
    <row r="79" spans="1:62">
      <c r="A79" s="156" t="s">
        <v>432</v>
      </c>
      <c r="B79" s="156"/>
      <c r="C79" s="156" t="s">
        <v>326</v>
      </c>
      <c r="D79" s="156" t="s">
        <v>433</v>
      </c>
      <c r="E79" s="152" t="s">
        <v>613</v>
      </c>
      <c r="F79" s="152">
        <v>8</v>
      </c>
      <c r="G79" s="152">
        <v>16</v>
      </c>
      <c r="H79" s="154">
        <v>61.44</v>
      </c>
      <c r="I79" s="31">
        <v>4096</v>
      </c>
      <c r="J79" s="152" t="s">
        <v>581</v>
      </c>
      <c r="K79" s="156" t="s">
        <v>579</v>
      </c>
      <c r="L79" s="152">
        <v>2.6</v>
      </c>
      <c r="M79" s="152"/>
      <c r="N79" s="152"/>
      <c r="O79" s="152"/>
      <c r="P79" s="152"/>
      <c r="Q79" s="154"/>
      <c r="R79" s="154"/>
      <c r="S79" s="154"/>
      <c r="T79" s="154"/>
      <c r="U79" s="154"/>
      <c r="V79" s="154"/>
      <c r="W79" s="154"/>
      <c r="X79" s="154"/>
      <c r="Y79" s="154"/>
      <c r="Z79" s="154"/>
      <c r="AA79" s="154"/>
      <c r="AB79" s="154"/>
      <c r="AC79" s="154"/>
      <c r="AD79" s="154"/>
      <c r="AE79" s="154"/>
      <c r="AF79" s="154"/>
      <c r="AG79" s="154">
        <f>2*H79</f>
        <v>122.88</v>
      </c>
      <c r="AH79" s="154" t="s">
        <v>581</v>
      </c>
      <c r="AI79" s="156" t="s">
        <v>579</v>
      </c>
      <c r="AJ79" s="152" t="s">
        <v>575</v>
      </c>
      <c r="AK79" s="154"/>
      <c r="AL79" s="154"/>
      <c r="AM79" s="154"/>
      <c r="AN79" s="154"/>
      <c r="AO79" s="154"/>
      <c r="AP79" s="154"/>
      <c r="AQ79" s="154"/>
      <c r="AR79" s="154"/>
      <c r="AS79" s="154"/>
      <c r="AT79" s="154"/>
      <c r="AU79" s="154"/>
      <c r="AV79" s="154"/>
      <c r="AW79" s="154">
        <v>2</v>
      </c>
      <c r="AX79" s="154" t="s">
        <v>329</v>
      </c>
      <c r="AY79" s="154"/>
      <c r="AZ79" s="154"/>
      <c r="BA79" s="154">
        <v>2</v>
      </c>
      <c r="BB79" s="154"/>
      <c r="BC79" s="154" t="s">
        <v>329</v>
      </c>
      <c r="BD79" s="154" t="s">
        <v>329</v>
      </c>
      <c r="BE79" s="154"/>
      <c r="BF79" s="154"/>
      <c r="BG79" s="154"/>
      <c r="BH79" s="154"/>
      <c r="BI79" s="35"/>
      <c r="BJ79" s="35"/>
    </row>
    <row r="80" spans="1:62">
      <c r="A80" s="156" t="s">
        <v>435</v>
      </c>
      <c r="B80" s="156"/>
      <c r="C80" s="156" t="s">
        <v>326</v>
      </c>
      <c r="D80" s="156" t="s">
        <v>436</v>
      </c>
      <c r="E80" s="152" t="s">
        <v>614</v>
      </c>
      <c r="F80" s="152">
        <v>10</v>
      </c>
      <c r="G80" s="152">
        <v>10</v>
      </c>
      <c r="H80" s="78">
        <v>30.72</v>
      </c>
      <c r="I80" s="31">
        <v>4096</v>
      </c>
      <c r="J80" s="152" t="s">
        <v>581</v>
      </c>
      <c r="K80" s="156" t="s">
        <v>579</v>
      </c>
      <c r="L80" s="152">
        <v>2.6</v>
      </c>
      <c r="M80" s="152"/>
      <c r="N80" s="152"/>
      <c r="O80" s="152"/>
      <c r="P80" s="152"/>
      <c r="Q80" s="154"/>
      <c r="R80" s="154"/>
      <c r="S80" s="154"/>
      <c r="T80" s="154"/>
      <c r="U80" s="154"/>
      <c r="V80" s="154"/>
      <c r="W80" s="154"/>
      <c r="X80" s="154"/>
      <c r="Y80" s="154"/>
      <c r="Z80" s="154"/>
      <c r="AA80" s="154"/>
      <c r="AB80" s="154"/>
      <c r="AC80" s="154"/>
      <c r="AD80" s="154"/>
      <c r="AE80" s="154"/>
      <c r="AF80" s="154"/>
      <c r="AG80" s="154">
        <f>2*H80</f>
        <v>61.44</v>
      </c>
      <c r="AH80" s="154" t="s">
        <v>581</v>
      </c>
      <c r="AI80" s="156" t="s">
        <v>579</v>
      </c>
      <c r="AJ80" s="152" t="s">
        <v>575</v>
      </c>
      <c r="AK80" s="154"/>
      <c r="AL80" s="154"/>
      <c r="AM80" s="154"/>
      <c r="AN80" s="154"/>
      <c r="AO80" s="154"/>
      <c r="AP80" s="154"/>
      <c r="AQ80" s="154"/>
      <c r="AR80" s="154"/>
      <c r="AS80" s="154"/>
      <c r="AT80" s="154"/>
      <c r="AU80" s="154"/>
      <c r="AV80" s="154"/>
      <c r="AW80" s="154">
        <v>2</v>
      </c>
      <c r="AX80" s="154" t="s">
        <v>329</v>
      </c>
      <c r="AY80" s="154"/>
      <c r="AZ80" s="154"/>
      <c r="BA80" s="154">
        <v>2</v>
      </c>
      <c r="BB80" s="154"/>
      <c r="BC80" s="154" t="s">
        <v>329</v>
      </c>
      <c r="BD80" s="154" t="s">
        <v>329</v>
      </c>
      <c r="BE80" s="154"/>
      <c r="BF80" s="154"/>
      <c r="BG80" s="154"/>
      <c r="BH80" s="154"/>
      <c r="BI80" s="35"/>
      <c r="BJ80" s="35"/>
    </row>
    <row r="81" spans="1:62">
      <c r="A81" s="156" t="s">
        <v>437</v>
      </c>
      <c r="B81" s="156"/>
      <c r="C81" s="156" t="s">
        <v>326</v>
      </c>
      <c r="D81" s="156" t="s">
        <v>438</v>
      </c>
      <c r="E81" s="152" t="s">
        <v>615</v>
      </c>
      <c r="F81" s="152">
        <v>4</v>
      </c>
      <c r="G81" s="152">
        <v>16</v>
      </c>
      <c r="H81" s="154">
        <v>563.20000000000005</v>
      </c>
      <c r="I81" s="31">
        <v>4096</v>
      </c>
      <c r="J81" s="152" t="s">
        <v>581</v>
      </c>
      <c r="K81" s="156" t="s">
        <v>579</v>
      </c>
      <c r="L81" s="152">
        <v>2.6</v>
      </c>
      <c r="M81" s="152"/>
      <c r="N81" s="152"/>
      <c r="O81" s="152"/>
      <c r="P81" s="152"/>
      <c r="Q81" s="156"/>
      <c r="R81" s="154"/>
      <c r="S81" s="156"/>
      <c r="T81" s="154"/>
      <c r="U81" s="154"/>
      <c r="V81" s="154"/>
      <c r="W81" s="154"/>
      <c r="X81" s="154"/>
      <c r="Y81" s="154"/>
      <c r="Z81" s="154"/>
      <c r="AA81" s="154"/>
      <c r="AB81" s="154"/>
      <c r="AC81" s="154"/>
      <c r="AD81" s="154"/>
      <c r="AE81" s="154"/>
      <c r="AF81" s="154"/>
      <c r="AG81" s="154">
        <f>2*H81+Q81</f>
        <v>1126.4000000000001</v>
      </c>
      <c r="AH81" s="154" t="s">
        <v>581</v>
      </c>
      <c r="AI81" s="156" t="s">
        <v>579</v>
      </c>
      <c r="AJ81" s="152" t="s">
        <v>575</v>
      </c>
      <c r="AK81" s="154"/>
      <c r="AL81" s="154"/>
      <c r="AM81" s="154"/>
      <c r="AN81" s="154"/>
      <c r="AO81" s="154"/>
      <c r="AP81" s="154"/>
      <c r="AQ81" s="154"/>
      <c r="AR81" s="154"/>
      <c r="AS81" s="154"/>
      <c r="AT81" s="154"/>
      <c r="AU81" s="154"/>
      <c r="AV81" s="154"/>
      <c r="AW81" s="154">
        <v>2</v>
      </c>
      <c r="AX81" s="154" t="s">
        <v>329</v>
      </c>
      <c r="AY81" s="154"/>
      <c r="AZ81" s="154"/>
      <c r="BA81" s="154">
        <v>2</v>
      </c>
      <c r="BB81" s="154"/>
      <c r="BC81" s="154" t="s">
        <v>329</v>
      </c>
      <c r="BD81" s="154" t="s">
        <v>329</v>
      </c>
      <c r="BE81" s="154"/>
      <c r="BF81" s="154"/>
      <c r="BG81" s="154"/>
      <c r="BH81" s="154"/>
      <c r="BI81" s="35"/>
      <c r="BJ81" s="35"/>
    </row>
    <row r="82" spans="1:62">
      <c r="A82" s="13" t="s">
        <v>440</v>
      </c>
      <c r="B82" s="13"/>
      <c r="C82" s="13" t="s">
        <v>326</v>
      </c>
      <c r="D82" s="13" t="s">
        <v>441</v>
      </c>
      <c r="E82" s="8" t="s">
        <v>616</v>
      </c>
      <c r="F82" s="8">
        <v>2</v>
      </c>
      <c r="G82" s="8">
        <v>4</v>
      </c>
      <c r="H82" s="79">
        <v>40.96</v>
      </c>
      <c r="I82" s="90">
        <v>4096</v>
      </c>
      <c r="J82" s="8" t="s">
        <v>581</v>
      </c>
      <c r="K82" s="156" t="s">
        <v>579</v>
      </c>
      <c r="L82" s="8">
        <v>2.6</v>
      </c>
      <c r="M82" s="8"/>
      <c r="N82" s="8"/>
      <c r="O82" s="8"/>
      <c r="P82" s="8"/>
      <c r="Q82" s="36"/>
      <c r="R82" s="36"/>
      <c r="S82" s="13"/>
      <c r="T82" s="36"/>
      <c r="U82" s="36"/>
      <c r="V82" s="36"/>
      <c r="W82" s="36"/>
      <c r="X82" s="36"/>
      <c r="Y82" s="36">
        <v>51.2</v>
      </c>
      <c r="Z82" s="36" t="s">
        <v>581</v>
      </c>
      <c r="AA82" s="13" t="s">
        <v>579</v>
      </c>
      <c r="AB82" s="36"/>
      <c r="AC82" s="36"/>
      <c r="AD82" s="36"/>
      <c r="AE82" s="36"/>
      <c r="AF82" s="36"/>
      <c r="AG82" s="36">
        <f>H82*2+Y82*2</f>
        <v>184.32</v>
      </c>
      <c r="AH82" s="36" t="s">
        <v>581</v>
      </c>
      <c r="AI82" s="13" t="s">
        <v>579</v>
      </c>
      <c r="AJ82" s="8" t="s">
        <v>575</v>
      </c>
      <c r="AK82" s="36"/>
      <c r="AL82" s="36"/>
      <c r="AM82" s="36"/>
      <c r="AN82" s="36"/>
      <c r="AO82" s="36"/>
      <c r="AP82" s="36"/>
      <c r="AQ82" s="36"/>
      <c r="AR82" s="36"/>
      <c r="AS82" s="36"/>
      <c r="AT82" s="36"/>
      <c r="AU82" s="36"/>
      <c r="AV82" s="36"/>
      <c r="AW82" s="36">
        <v>3</v>
      </c>
      <c r="AX82" s="36" t="s">
        <v>329</v>
      </c>
      <c r="AY82" s="36"/>
      <c r="AZ82" s="36"/>
      <c r="BA82" s="36">
        <v>2</v>
      </c>
      <c r="BB82" s="36"/>
      <c r="BC82" s="36" t="s">
        <v>329</v>
      </c>
      <c r="BD82" s="36" t="s">
        <v>329</v>
      </c>
      <c r="BE82" s="36"/>
      <c r="BF82" s="36"/>
      <c r="BG82" s="36"/>
      <c r="BH82" s="36"/>
      <c r="BI82" s="35"/>
      <c r="BJ82" s="35"/>
    </row>
    <row r="83" spans="1:62">
      <c r="A83" s="35"/>
      <c r="B83" s="35"/>
      <c r="C83" s="35"/>
      <c r="D83" s="35"/>
      <c r="E83" s="156"/>
      <c r="F83" s="154">
        <f>F73+SUM(F77:F82)</f>
        <v>376</v>
      </c>
      <c r="G83" s="154">
        <f>G73+SUM(G77:G82)</f>
        <v>1040</v>
      </c>
      <c r="H83" s="154">
        <f>H73+SUM(H77:H82)</f>
        <v>6386.2199999999993</v>
      </c>
      <c r="I83" s="154"/>
      <c r="J83" s="154"/>
      <c r="K83" s="154"/>
      <c r="L83" s="154">
        <f>L73+SUM(L77:L82)</f>
        <v>1533.1999999999989</v>
      </c>
      <c r="M83" s="154">
        <f>M73+SUM(M77:M82)</f>
        <v>471.04</v>
      </c>
      <c r="N83" s="154"/>
      <c r="O83" s="154"/>
      <c r="P83" s="154">
        <f>P73+SUM(P77:P82)</f>
        <v>0.05</v>
      </c>
      <c r="Q83" s="154">
        <f>Q73+SUM(Q77:Q82)</f>
        <v>8499.1999999999989</v>
      </c>
      <c r="R83" s="154"/>
      <c r="S83" s="154"/>
      <c r="T83" s="154">
        <f>T73+SUM(T77:T82)</f>
        <v>0.05</v>
      </c>
      <c r="U83" s="154">
        <f>U73+SUM(U77:U82)</f>
        <v>12441.6</v>
      </c>
      <c r="V83" s="154"/>
      <c r="W83" s="154"/>
      <c r="X83" s="154">
        <f>X73+SUM(X77:X82)</f>
        <v>0.05</v>
      </c>
      <c r="Y83" s="154">
        <f>Y73+SUM(Y77:Y82)</f>
        <v>834.55000000000007</v>
      </c>
      <c r="Z83" s="154"/>
      <c r="AA83" s="154"/>
      <c r="AB83" s="154">
        <f>AB73+SUM(AB77:AB82)</f>
        <v>0.1</v>
      </c>
      <c r="AC83" s="154">
        <f>AC73+SUM(AC77:AC82)</f>
        <v>276.48</v>
      </c>
      <c r="AD83" s="154"/>
      <c r="AE83" s="154"/>
      <c r="AF83" s="154">
        <f>AF73+SUM(AF77:AF82)</f>
        <v>0</v>
      </c>
      <c r="AG83" s="154">
        <f>AG73+SUM(AG77:AG82)</f>
        <v>43579.42000000002</v>
      </c>
      <c r="AH83" s="154"/>
      <c r="AI83" s="154"/>
      <c r="AJ83" s="154"/>
      <c r="AK83" s="154">
        <f>AK73+SUM(AK77:AK82)</f>
        <v>184.32</v>
      </c>
      <c r="AL83" s="154"/>
      <c r="AM83" s="154"/>
      <c r="AN83" s="154">
        <f>AN73+SUM(AN77:AN82)</f>
        <v>0.2</v>
      </c>
      <c r="AO83" s="154"/>
      <c r="AP83" s="154"/>
      <c r="AQ83" s="154"/>
      <c r="AR83" s="154"/>
      <c r="AS83" s="154"/>
      <c r="AT83" s="154"/>
      <c r="AU83" s="154"/>
      <c r="AV83" s="154"/>
      <c r="AW83" s="154">
        <f>AW73+SUM(AW77:AW82)</f>
        <v>171</v>
      </c>
      <c r="AX83" s="154">
        <f>AX73+COUNTIF(AX77:AX82,"x")</f>
        <v>65</v>
      </c>
      <c r="AY83" s="154">
        <v>3</v>
      </c>
      <c r="AZ83" s="154">
        <v>1</v>
      </c>
      <c r="BA83" s="154">
        <f>BA73+SUM(BA77:BA82)</f>
        <v>130</v>
      </c>
      <c r="BB83" s="154">
        <v>1</v>
      </c>
      <c r="BC83" s="154">
        <f>BC73+COUNTIF(BC77:BC82,"x")</f>
        <v>30</v>
      </c>
      <c r="BD83" s="154">
        <f>BD73+COUNTIF(BD77:BD82,"x")</f>
        <v>65</v>
      </c>
      <c r="BE83" s="152" t="s">
        <v>601</v>
      </c>
      <c r="BF83" s="152">
        <v>2</v>
      </c>
      <c r="BG83" s="152">
        <v>4</v>
      </c>
      <c r="BH83" s="152">
        <v>2</v>
      </c>
      <c r="BI83" s="35"/>
      <c r="BJ83" s="35"/>
    </row>
    <row r="85" spans="1:62">
      <c r="A85" s="156"/>
      <c r="B85" s="156"/>
      <c r="C85" s="156"/>
      <c r="D85" s="156"/>
      <c r="E85" s="156"/>
      <c r="F85" s="11"/>
      <c r="G85" s="156"/>
      <c r="H85" s="152"/>
      <c r="I85" s="152"/>
      <c r="J85" s="152"/>
      <c r="K85" s="152"/>
      <c r="L85" s="152"/>
      <c r="M85" s="152"/>
      <c r="N85" s="152"/>
      <c r="O85" s="152"/>
      <c r="P85" s="152"/>
      <c r="Q85" s="152"/>
      <c r="R85" s="152"/>
      <c r="S85" s="152"/>
      <c r="T85" s="152"/>
      <c r="U85" s="156"/>
      <c r="V85" s="156"/>
      <c r="W85" s="156"/>
      <c r="X85" s="156"/>
      <c r="Y85" s="156"/>
      <c r="Z85" s="156"/>
      <c r="AA85" s="156"/>
      <c r="AB85" s="156"/>
      <c r="AC85" s="156"/>
      <c r="AD85" s="156"/>
      <c r="AE85" s="156"/>
      <c r="AF85" s="156"/>
      <c r="AG85" s="156"/>
      <c r="AH85" s="156"/>
      <c r="AI85" s="156"/>
      <c r="AJ85" s="156"/>
      <c r="AK85" s="156"/>
      <c r="AL85" s="156"/>
      <c r="AM85" s="156"/>
      <c r="AN85" s="156"/>
      <c r="AO85" s="156"/>
      <c r="AP85" s="156"/>
      <c r="AQ85" s="156"/>
      <c r="AR85" s="156"/>
      <c r="AS85" s="156"/>
      <c r="AT85" s="156"/>
      <c r="AU85" s="156"/>
      <c r="AV85" s="156"/>
      <c r="AW85" s="156"/>
      <c r="AX85" s="156"/>
      <c r="AY85" s="156"/>
      <c r="AZ85" s="156"/>
      <c r="BA85" s="156"/>
      <c r="BB85" s="156"/>
      <c r="BC85" s="156"/>
      <c r="BD85" s="156"/>
      <c r="BE85" s="156"/>
      <c r="BF85" s="156"/>
      <c r="BG85" s="156"/>
      <c r="BH85" s="156"/>
      <c r="BI85" s="156"/>
      <c r="BJ85" s="156"/>
    </row>
  </sheetData>
  <mergeCells count="5">
    <mergeCell ref="A1:D1"/>
    <mergeCell ref="A3:B3"/>
    <mergeCell ref="F3:G3"/>
    <mergeCell ref="A4:B4"/>
    <mergeCell ref="A5:B5"/>
  </mergeCells>
  <dataValidations count="1">
    <dataValidation type="list" allowBlank="1" showInputMessage="1" showErrorMessage="1" sqref="Q11" xr:uid="{470CA68E-FC1D-4FF1-BF56-B3EDA058C849}">
      <formula1>$B99:$B100</formula1>
    </dataValidation>
  </dataValidations>
  <hyperlinks>
    <hyperlink ref="F3:G3" location="Shortcuts!A1" display="Back to shortcuts" xr:uid="{8D40EA40-AC41-4D30-8BED-CBFEDEA41342}"/>
  </hyperlink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2303-ACE1-44F2-B898-3427FDE8CABC}">
  <dimension ref="A1:BJ85"/>
  <sheetViews>
    <sheetView zoomScale="86" zoomScaleNormal="86" workbookViewId="0">
      <selection activeCell="G1" sqref="G1"/>
    </sheetView>
  </sheetViews>
  <sheetFormatPr defaultColWidth="8.7109375" defaultRowHeight="12.75"/>
  <cols>
    <col min="1" max="1" width="8.7109375" style="3"/>
    <col min="2" max="2" width="20.85546875" style="3" customWidth="1"/>
    <col min="3" max="3" width="24" style="3" customWidth="1"/>
    <col min="4" max="4" width="55.7109375" style="3" customWidth="1"/>
    <col min="5" max="5" width="14.28515625" style="3" customWidth="1"/>
    <col min="6" max="7" width="8.7109375" style="3"/>
    <col min="8" max="9" width="8.28515625" style="3" customWidth="1"/>
    <col min="10" max="10" width="6.140625" style="3" customWidth="1"/>
    <col min="11" max="11" width="15.28515625" style="3" customWidth="1"/>
    <col min="12" max="12" width="6.7109375" style="3" customWidth="1"/>
    <col min="13" max="13" width="9.42578125" style="3" bestFit="1" customWidth="1"/>
    <col min="14" max="14" width="6.140625" style="3" customWidth="1"/>
    <col min="15" max="15" width="15.28515625" style="3" customWidth="1"/>
    <col min="16" max="16" width="6.7109375" style="3" customWidth="1"/>
    <col min="17" max="17" width="11.42578125" style="3" bestFit="1" customWidth="1"/>
    <col min="18" max="18" width="6.140625" style="3" customWidth="1"/>
    <col min="19" max="19" width="15.28515625" style="3" customWidth="1"/>
    <col min="20" max="20" width="6.7109375" style="3" customWidth="1"/>
    <col min="21" max="21" width="12.85546875" style="3" customWidth="1"/>
    <col min="22" max="22" width="6.140625" style="3" customWidth="1"/>
    <col min="23" max="23" width="11.28515625" style="3" customWidth="1"/>
    <col min="24" max="24" width="6.7109375" style="3" customWidth="1"/>
    <col min="25" max="25" width="8.7109375" style="3"/>
    <col min="26" max="26" width="6.140625" style="3" customWidth="1"/>
    <col min="27" max="27" width="15.28515625" style="3" customWidth="1"/>
    <col min="28" max="28" width="6.7109375" style="3" customWidth="1"/>
    <col min="29" max="29" width="8.7109375" style="3"/>
    <col min="30" max="30" width="6.140625" style="3" customWidth="1"/>
    <col min="31" max="31" width="15.28515625" style="3" customWidth="1"/>
    <col min="32" max="32" width="6.7109375" style="3" customWidth="1"/>
    <col min="33" max="33" width="13.28515625" style="3" customWidth="1"/>
    <col min="34" max="34" width="6.140625" style="3" customWidth="1"/>
    <col min="35" max="36" width="11.28515625" style="3" customWidth="1"/>
    <col min="37" max="37" width="7.28515625" style="3" customWidth="1"/>
    <col min="38" max="38" width="6.140625" style="3" customWidth="1"/>
    <col min="39" max="39" width="15.28515625" style="3" customWidth="1"/>
    <col min="40" max="40" width="6.7109375" style="3" customWidth="1"/>
    <col min="41" max="41" width="12.5703125" style="3" customWidth="1"/>
    <col min="42" max="48" width="6.7109375" style="3" customWidth="1"/>
    <col min="49" max="49" width="9.7109375" style="3" customWidth="1"/>
    <col min="50" max="50" width="12.28515625" style="3" customWidth="1"/>
    <col min="51" max="52" width="13.28515625" style="3" customWidth="1"/>
    <col min="53" max="53" width="6.28515625" style="3" customWidth="1"/>
    <col min="54" max="54" width="18.28515625" style="3" customWidth="1"/>
    <col min="55" max="55" width="17.28515625" style="3" customWidth="1"/>
    <col min="56" max="56" width="18.5703125" style="3" customWidth="1"/>
    <col min="57" max="58" width="13.28515625" style="3" customWidth="1"/>
    <col min="59" max="59" width="22.7109375" style="3" customWidth="1"/>
    <col min="60" max="60" width="17.5703125" style="3" customWidth="1"/>
    <col min="61" max="70" width="8.7109375" style="3"/>
    <col min="71" max="71" width="10.28515625" style="3" customWidth="1"/>
    <col min="72" max="16384" width="8.7109375" style="3"/>
  </cols>
  <sheetData>
    <row r="1" spans="1:60">
      <c r="A1" s="215" t="s">
        <v>4</v>
      </c>
      <c r="B1" s="215"/>
      <c r="C1" s="215"/>
      <c r="D1" s="216"/>
      <c r="E1" s="156"/>
      <c r="F1" s="155" t="s">
        <v>709</v>
      </c>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row>
    <row r="3" spans="1:60" ht="15">
      <c r="A3" s="225" t="s">
        <v>632</v>
      </c>
      <c r="B3" s="225"/>
      <c r="C3" s="16"/>
      <c r="D3" s="156" t="s">
        <v>553</v>
      </c>
      <c r="E3" s="156"/>
      <c r="F3" s="226" t="s">
        <v>302</v>
      </c>
      <c r="G3" s="22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c r="AW3" s="156"/>
      <c r="AX3" s="156"/>
      <c r="AY3" s="156"/>
      <c r="AZ3" s="156"/>
      <c r="BA3" s="156"/>
      <c r="BB3" s="156"/>
      <c r="BC3" s="156"/>
      <c r="BD3" s="156"/>
      <c r="BE3" s="156"/>
      <c r="BF3" s="156"/>
      <c r="BG3" s="156"/>
      <c r="BH3" s="156"/>
    </row>
    <row r="4" spans="1:60">
      <c r="A4" s="225" t="s">
        <v>303</v>
      </c>
      <c r="B4" s="225"/>
      <c r="C4" s="20"/>
      <c r="D4" s="156" t="s">
        <v>304</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c r="AW4" s="156"/>
      <c r="AX4" s="156"/>
      <c r="AY4" s="156"/>
      <c r="AZ4" s="156"/>
      <c r="BA4" s="156"/>
      <c r="BB4" s="156"/>
      <c r="BC4" s="156"/>
      <c r="BD4" s="156"/>
      <c r="BE4" s="156"/>
      <c r="BF4" s="156"/>
      <c r="BG4" s="156"/>
      <c r="BH4" s="156"/>
    </row>
    <row r="5" spans="1:60">
      <c r="A5" s="225" t="s">
        <v>305</v>
      </c>
      <c r="B5" s="225"/>
      <c r="C5" s="156"/>
      <c r="D5" s="35" t="s">
        <v>307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6"/>
      <c r="AR5" s="156"/>
      <c r="AS5" s="156"/>
      <c r="AT5" s="156"/>
      <c r="AU5" s="156"/>
      <c r="AV5" s="156"/>
      <c r="AW5" s="156"/>
      <c r="AX5" s="156"/>
      <c r="AY5" s="156"/>
      <c r="AZ5" s="156"/>
      <c r="BA5" s="156"/>
      <c r="BB5" s="156"/>
      <c r="BC5" s="156"/>
      <c r="BD5" s="156"/>
      <c r="BE5" s="156"/>
      <c r="BF5" s="156"/>
      <c r="BG5" s="156"/>
      <c r="BH5" s="156"/>
    </row>
    <row r="6" spans="1:60">
      <c r="A6" s="156"/>
      <c r="B6" s="156"/>
      <c r="C6" s="156"/>
      <c r="D6" s="156" t="s">
        <v>558</v>
      </c>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6"/>
      <c r="AK6" s="156"/>
      <c r="AL6" s="156"/>
      <c r="AM6" s="156"/>
      <c r="AN6" s="156"/>
      <c r="AO6" s="156"/>
      <c r="AP6" s="156"/>
      <c r="AQ6" s="156"/>
      <c r="AR6" s="156"/>
      <c r="AS6" s="156"/>
      <c r="AT6" s="156"/>
      <c r="AU6" s="156"/>
      <c r="AV6" s="156"/>
      <c r="AW6" s="156"/>
      <c r="AX6" s="156"/>
      <c r="AY6" s="156"/>
      <c r="AZ6" s="156"/>
      <c r="BA6" s="156"/>
      <c r="BB6" s="156"/>
      <c r="BC6" s="156"/>
      <c r="BD6" s="156"/>
      <c r="BE6" s="156"/>
      <c r="BF6" s="156"/>
      <c r="BG6" s="156"/>
      <c r="BH6" s="156"/>
    </row>
    <row r="7" spans="1:60" ht="38.25">
      <c r="A7" s="5" t="s">
        <v>164</v>
      </c>
      <c r="B7" s="5" t="s">
        <v>310</v>
      </c>
      <c r="C7" s="5" t="s">
        <v>312</v>
      </c>
      <c r="D7" s="5" t="s">
        <v>313</v>
      </c>
      <c r="E7" s="4" t="s">
        <v>559</v>
      </c>
      <c r="F7" s="4" t="s">
        <v>103</v>
      </c>
      <c r="G7" s="4" t="s">
        <v>109</v>
      </c>
      <c r="H7" s="4" t="s">
        <v>560</v>
      </c>
      <c r="I7" s="4" t="s">
        <v>315</v>
      </c>
      <c r="J7" s="4" t="s">
        <v>561</v>
      </c>
      <c r="K7" s="4" t="s">
        <v>562</v>
      </c>
      <c r="L7" s="4" t="s">
        <v>563</v>
      </c>
      <c r="M7" s="4" t="s">
        <v>118</v>
      </c>
      <c r="N7" s="4" t="s">
        <v>561</v>
      </c>
      <c r="O7" s="4" t="s">
        <v>562</v>
      </c>
      <c r="P7" s="4" t="s">
        <v>563</v>
      </c>
      <c r="Q7" s="4" t="s">
        <v>20</v>
      </c>
      <c r="R7" s="4" t="s">
        <v>561</v>
      </c>
      <c r="S7" s="4" t="s">
        <v>562</v>
      </c>
      <c r="T7" s="4" t="s">
        <v>563</v>
      </c>
      <c r="U7" s="4" t="s">
        <v>122</v>
      </c>
      <c r="V7" s="4" t="s">
        <v>561</v>
      </c>
      <c r="W7" s="4" t="s">
        <v>562</v>
      </c>
      <c r="X7" s="4" t="s">
        <v>563</v>
      </c>
      <c r="Y7" s="4" t="s">
        <v>130</v>
      </c>
      <c r="Z7" s="4" t="s">
        <v>561</v>
      </c>
      <c r="AA7" s="4" t="s">
        <v>562</v>
      </c>
      <c r="AB7" s="4" t="s">
        <v>563</v>
      </c>
      <c r="AC7" s="4" t="s">
        <v>501</v>
      </c>
      <c r="AD7" s="4" t="s">
        <v>561</v>
      </c>
      <c r="AE7" s="4" t="s">
        <v>562</v>
      </c>
      <c r="AF7" s="4" t="s">
        <v>563</v>
      </c>
      <c r="AG7" s="4" t="s">
        <v>126</v>
      </c>
      <c r="AH7" s="4" t="s">
        <v>561</v>
      </c>
      <c r="AI7" s="4" t="s">
        <v>562</v>
      </c>
      <c r="AJ7" s="4" t="s">
        <v>563</v>
      </c>
      <c r="AK7" s="4" t="s">
        <v>481</v>
      </c>
      <c r="AL7" s="4" t="s">
        <v>561</v>
      </c>
      <c r="AM7" s="4" t="s">
        <v>562</v>
      </c>
      <c r="AN7" s="4" t="s">
        <v>563</v>
      </c>
      <c r="AO7" s="95" t="s">
        <v>564</v>
      </c>
      <c r="AP7" s="4" t="s">
        <v>561</v>
      </c>
      <c r="AQ7" s="4" t="s">
        <v>562</v>
      </c>
      <c r="AR7" s="4" t="s">
        <v>563</v>
      </c>
      <c r="AS7" s="95" t="s">
        <v>140</v>
      </c>
      <c r="AT7" s="4" t="s">
        <v>561</v>
      </c>
      <c r="AU7" s="4" t="s">
        <v>562</v>
      </c>
      <c r="AV7" s="4" t="s">
        <v>563</v>
      </c>
      <c r="AW7" s="4" t="s">
        <v>136</v>
      </c>
      <c r="AX7" s="4" t="s">
        <v>323</v>
      </c>
      <c r="AY7" s="4" t="s">
        <v>324</v>
      </c>
      <c r="AZ7" s="4" t="s">
        <v>566</v>
      </c>
      <c r="BA7" s="4" t="s">
        <v>567</v>
      </c>
      <c r="BB7" s="4" t="s">
        <v>568</v>
      </c>
      <c r="BC7" s="4" t="s">
        <v>569</v>
      </c>
      <c r="BD7" s="95" t="s">
        <v>570</v>
      </c>
      <c r="BE7" s="4" t="s">
        <v>571</v>
      </c>
      <c r="BF7" s="4" t="s">
        <v>572</v>
      </c>
      <c r="BG7" s="4" t="s">
        <v>573</v>
      </c>
      <c r="BH7" s="4" t="s">
        <v>574</v>
      </c>
    </row>
    <row r="8" spans="1:60">
      <c r="A8" s="156" t="s">
        <v>575</v>
      </c>
      <c r="B8" s="152"/>
      <c r="C8" s="156" t="s">
        <v>326</v>
      </c>
      <c r="D8" s="156" t="s">
        <v>576</v>
      </c>
      <c r="E8" s="152" t="s">
        <v>577</v>
      </c>
      <c r="F8" s="152">
        <v>4</v>
      </c>
      <c r="G8" s="152">
        <v>8</v>
      </c>
      <c r="H8" s="78">
        <v>20</v>
      </c>
      <c r="I8" s="31">
        <v>0</v>
      </c>
      <c r="J8" s="152" t="s">
        <v>578</v>
      </c>
      <c r="K8" s="156" t="s">
        <v>579</v>
      </c>
      <c r="L8" s="152">
        <v>4.7</v>
      </c>
      <c r="M8" s="78"/>
      <c r="N8" s="152"/>
      <c r="O8" s="152"/>
      <c r="P8" s="152"/>
      <c r="Q8" s="78"/>
      <c r="R8" s="152"/>
      <c r="S8" s="152"/>
      <c r="T8" s="152"/>
      <c r="U8" s="78"/>
      <c r="V8" s="152"/>
      <c r="W8" s="152"/>
      <c r="X8" s="152"/>
      <c r="Y8" s="78"/>
      <c r="Z8" s="152"/>
      <c r="AA8" s="152"/>
      <c r="AB8" s="152"/>
      <c r="AC8" s="78"/>
      <c r="AD8" s="152"/>
      <c r="AE8" s="152"/>
      <c r="AF8" s="152"/>
      <c r="AG8" s="78">
        <v>0</v>
      </c>
      <c r="AH8" s="152" t="s">
        <v>575</v>
      </c>
      <c r="AI8" s="156" t="s">
        <v>575</v>
      </c>
      <c r="AJ8" s="152" t="s">
        <v>575</v>
      </c>
      <c r="AK8" s="152"/>
      <c r="AL8" s="152"/>
      <c r="AM8" s="152"/>
      <c r="AN8" s="152"/>
      <c r="AO8" s="152"/>
      <c r="AP8" s="152"/>
      <c r="AQ8" s="152"/>
      <c r="AR8" s="152"/>
      <c r="AS8" s="152"/>
      <c r="AT8" s="152"/>
      <c r="AU8" s="152"/>
      <c r="AV8" s="152"/>
      <c r="AW8" s="152">
        <v>1</v>
      </c>
      <c r="AX8" s="156"/>
      <c r="AY8" s="152"/>
      <c r="AZ8" s="152" t="s">
        <v>329</v>
      </c>
      <c r="BA8" s="152">
        <v>2</v>
      </c>
      <c r="BB8" s="152" t="s">
        <v>329</v>
      </c>
      <c r="BC8" s="152"/>
      <c r="BD8" s="156"/>
      <c r="BE8" s="156"/>
      <c r="BF8" s="156"/>
      <c r="BG8" s="156"/>
      <c r="BH8" s="152"/>
    </row>
    <row r="9" spans="1:60">
      <c r="A9" s="156" t="s">
        <v>325</v>
      </c>
      <c r="B9" s="156"/>
      <c r="C9" s="156" t="s">
        <v>326</v>
      </c>
      <c r="D9" s="11" t="s">
        <v>8</v>
      </c>
      <c r="E9" s="152" t="s">
        <v>580</v>
      </c>
      <c r="F9" s="152">
        <v>4</v>
      </c>
      <c r="G9" s="152">
        <v>4</v>
      </c>
      <c r="H9" s="78">
        <v>350</v>
      </c>
      <c r="I9" s="31">
        <v>4096</v>
      </c>
      <c r="J9" s="152" t="s">
        <v>581</v>
      </c>
      <c r="K9" s="156" t="s">
        <v>579</v>
      </c>
      <c r="L9" s="152">
        <v>5.9</v>
      </c>
      <c r="M9" s="78"/>
      <c r="N9" s="152"/>
      <c r="O9" s="152"/>
      <c r="P9" s="152"/>
      <c r="Q9" s="78"/>
      <c r="R9" s="152"/>
      <c r="S9" s="152"/>
      <c r="T9" s="152"/>
      <c r="U9" s="78"/>
      <c r="V9" s="152"/>
      <c r="W9" s="152"/>
      <c r="X9" s="152"/>
      <c r="Y9" s="78"/>
      <c r="Z9" s="152"/>
      <c r="AA9" s="152"/>
      <c r="AB9" s="152"/>
      <c r="AC9" s="78"/>
      <c r="AD9" s="152"/>
      <c r="AE9" s="152"/>
      <c r="AF9" s="152"/>
      <c r="AG9" s="78">
        <f>2*H9</f>
        <v>700</v>
      </c>
      <c r="AH9" s="152" t="s">
        <v>581</v>
      </c>
      <c r="AI9" s="156" t="s">
        <v>579</v>
      </c>
      <c r="AJ9" s="152" t="s">
        <v>575</v>
      </c>
      <c r="AK9" s="152"/>
      <c r="AL9" s="152"/>
      <c r="AM9" s="152"/>
      <c r="AN9" s="152"/>
      <c r="AO9" s="152"/>
      <c r="AP9" s="152"/>
      <c r="AQ9" s="152"/>
      <c r="AR9" s="152"/>
      <c r="AS9" s="152"/>
      <c r="AT9" s="152"/>
      <c r="AU9" s="152"/>
      <c r="AV9" s="152"/>
      <c r="AW9" s="152">
        <v>2</v>
      </c>
      <c r="AX9" s="152" t="s">
        <v>329</v>
      </c>
      <c r="AY9" s="152"/>
      <c r="AZ9" s="152"/>
      <c r="BA9" s="152">
        <v>2</v>
      </c>
      <c r="BB9" s="152"/>
      <c r="BC9" s="152"/>
      <c r="BD9" s="152" t="s">
        <v>329</v>
      </c>
      <c r="BE9" s="152"/>
      <c r="BF9" s="152"/>
      <c r="BG9" s="152"/>
      <c r="BH9" s="152"/>
    </row>
    <row r="10" spans="1:60">
      <c r="A10" s="156" t="s">
        <v>331</v>
      </c>
      <c r="B10" s="152" t="s">
        <v>332</v>
      </c>
      <c r="C10" s="156" t="s">
        <v>326</v>
      </c>
      <c r="D10" s="11" t="s">
        <v>16</v>
      </c>
      <c r="E10" s="152" t="s">
        <v>582</v>
      </c>
      <c r="F10" s="152">
        <v>6</v>
      </c>
      <c r="G10" s="152">
        <v>6</v>
      </c>
      <c r="H10" s="78">
        <v>40.96</v>
      </c>
      <c r="I10" s="31">
        <v>4096</v>
      </c>
      <c r="J10" s="152" t="s">
        <v>581</v>
      </c>
      <c r="K10" s="156" t="s">
        <v>579</v>
      </c>
      <c r="L10" s="152">
        <v>2.6</v>
      </c>
      <c r="M10" s="78"/>
      <c r="N10" s="152"/>
      <c r="O10" s="152"/>
      <c r="P10" s="152"/>
      <c r="Q10" s="78"/>
      <c r="R10" s="152"/>
      <c r="S10" s="152"/>
      <c r="T10" s="152"/>
      <c r="U10" s="78"/>
      <c r="V10" s="152"/>
      <c r="W10" s="152"/>
      <c r="X10" s="152"/>
      <c r="Y10" s="78"/>
      <c r="Z10" s="152"/>
      <c r="AA10" s="152"/>
      <c r="AB10" s="152"/>
      <c r="AC10" s="78"/>
      <c r="AD10" s="152"/>
      <c r="AE10" s="152"/>
      <c r="AF10" s="152"/>
      <c r="AG10" s="78">
        <f>H10*2</f>
        <v>81.92</v>
      </c>
      <c r="AH10" s="152" t="s">
        <v>581</v>
      </c>
      <c r="AI10" s="156" t="s">
        <v>579</v>
      </c>
      <c r="AJ10" s="152" t="s">
        <v>575</v>
      </c>
      <c r="AK10" s="152"/>
      <c r="AL10" s="152"/>
      <c r="AM10" s="152"/>
      <c r="AN10" s="152"/>
      <c r="AO10" s="152"/>
      <c r="AP10" s="152"/>
      <c r="AQ10" s="152"/>
      <c r="AR10" s="152"/>
      <c r="AS10" s="152"/>
      <c r="AT10" s="152"/>
      <c r="AU10" s="152"/>
      <c r="AV10" s="152"/>
      <c r="AW10" s="152">
        <v>2</v>
      </c>
      <c r="AX10" s="152" t="s">
        <v>329</v>
      </c>
      <c r="AY10" s="152"/>
      <c r="AZ10" s="152"/>
      <c r="BA10" s="152">
        <v>2</v>
      </c>
      <c r="BB10" s="152"/>
      <c r="BC10" s="152"/>
      <c r="BD10" s="152" t="s">
        <v>329</v>
      </c>
      <c r="BE10" s="152"/>
      <c r="BF10" s="152"/>
      <c r="BG10" s="152"/>
      <c r="BH10" s="152"/>
    </row>
    <row r="11" spans="1:60">
      <c r="A11" s="156" t="s">
        <v>336</v>
      </c>
      <c r="B11" s="152"/>
      <c r="C11" s="156" t="s">
        <v>326</v>
      </c>
      <c r="D11" s="11" t="s">
        <v>20</v>
      </c>
      <c r="E11" s="152" t="s">
        <v>583</v>
      </c>
      <c r="F11" s="152">
        <v>24</v>
      </c>
      <c r="G11" s="152">
        <v>240</v>
      </c>
      <c r="H11" s="78">
        <v>92.16</v>
      </c>
      <c r="I11" s="31">
        <v>32768</v>
      </c>
      <c r="J11" s="152" t="s">
        <v>581</v>
      </c>
      <c r="K11" s="156" t="s">
        <v>579</v>
      </c>
      <c r="L11" s="152">
        <v>2.6</v>
      </c>
      <c r="M11" s="78">
        <v>471.04</v>
      </c>
      <c r="N11" s="152" t="s">
        <v>581</v>
      </c>
      <c r="O11" s="156" t="s">
        <v>584</v>
      </c>
      <c r="P11" s="152">
        <f>50/1000</f>
        <v>0.05</v>
      </c>
      <c r="Q11" s="78">
        <v>15564.8</v>
      </c>
      <c r="R11" s="152" t="s">
        <v>581</v>
      </c>
      <c r="S11" s="156" t="s">
        <v>584</v>
      </c>
      <c r="T11" s="152">
        <f>50/1000</f>
        <v>0.05</v>
      </c>
      <c r="U11" s="78">
        <v>16998.400000000001</v>
      </c>
      <c r="V11" s="152" t="s">
        <v>581</v>
      </c>
      <c r="W11" s="156" t="s">
        <v>579</v>
      </c>
      <c r="X11" s="152">
        <f>50/1000</f>
        <v>0.05</v>
      </c>
      <c r="Y11" s="78"/>
      <c r="Z11" s="152"/>
      <c r="AA11" s="152"/>
      <c r="AB11" s="152"/>
      <c r="AC11" s="78"/>
      <c r="AD11" s="152"/>
      <c r="AE11" s="152"/>
      <c r="AF11" s="152"/>
      <c r="AG11" s="78">
        <f>2*H11+30965.76</f>
        <v>31150.079999999998</v>
      </c>
      <c r="AH11" s="152" t="s">
        <v>581</v>
      </c>
      <c r="AI11" s="156" t="s">
        <v>579</v>
      </c>
      <c r="AJ11" s="152" t="s">
        <v>575</v>
      </c>
      <c r="AK11" s="152"/>
      <c r="AL11" s="152"/>
      <c r="AM11" s="152"/>
      <c r="AN11" s="152"/>
      <c r="AO11" s="152"/>
      <c r="AP11" s="152"/>
      <c r="AQ11" s="152"/>
      <c r="AR11" s="152"/>
      <c r="AS11" s="152"/>
      <c r="AT11" s="152"/>
      <c r="AU11" s="152"/>
      <c r="AV11" s="152"/>
      <c r="AW11" s="152">
        <v>21</v>
      </c>
      <c r="AX11" s="152" t="s">
        <v>329</v>
      </c>
      <c r="AY11" s="152"/>
      <c r="AZ11" s="152"/>
      <c r="BA11" s="152">
        <v>2</v>
      </c>
      <c r="BB11" s="152"/>
      <c r="BC11" s="152"/>
      <c r="BD11" s="152" t="s">
        <v>329</v>
      </c>
      <c r="BE11" s="152"/>
      <c r="BF11" s="152"/>
      <c r="BG11" s="152"/>
      <c r="BH11" s="152"/>
    </row>
    <row r="12" spans="1:60">
      <c r="A12" s="156" t="s">
        <v>342</v>
      </c>
      <c r="B12" s="152" t="s">
        <v>332</v>
      </c>
      <c r="C12" s="156" t="s">
        <v>326</v>
      </c>
      <c r="D12" s="11" t="s">
        <v>24</v>
      </c>
      <c r="E12" s="152" t="s">
        <v>585</v>
      </c>
      <c r="F12" s="152">
        <v>9</v>
      </c>
      <c r="G12" s="152">
        <v>7</v>
      </c>
      <c r="H12" s="78">
        <v>46.08</v>
      </c>
      <c r="I12" s="31">
        <v>4096</v>
      </c>
      <c r="J12" s="152" t="s">
        <v>581</v>
      </c>
      <c r="K12" s="156" t="s">
        <v>579</v>
      </c>
      <c r="L12" s="152">
        <v>2.6</v>
      </c>
      <c r="M12" s="78"/>
      <c r="N12" s="152"/>
      <c r="O12" s="152"/>
      <c r="P12" s="152"/>
      <c r="Q12" s="78"/>
      <c r="R12" s="152"/>
      <c r="S12" s="152"/>
      <c r="T12" s="152"/>
      <c r="U12" s="78"/>
      <c r="V12" s="152"/>
      <c r="W12" s="152"/>
      <c r="X12" s="152"/>
      <c r="Y12" s="78">
        <v>1280</v>
      </c>
      <c r="Z12" s="152" t="s">
        <v>581</v>
      </c>
      <c r="AA12" s="156" t="s">
        <v>579</v>
      </c>
      <c r="AB12" s="152">
        <v>0.1</v>
      </c>
      <c r="AC12" s="78">
        <f>300*0.9*1.024</f>
        <v>276.48</v>
      </c>
      <c r="AD12" s="152" t="s">
        <v>581</v>
      </c>
      <c r="AE12" s="156" t="s">
        <v>579</v>
      </c>
      <c r="AF12" s="152" t="s">
        <v>575</v>
      </c>
      <c r="AG12" s="78">
        <f>2*H12+737.28</f>
        <v>829.43999999999994</v>
      </c>
      <c r="AH12" s="152" t="s">
        <v>581</v>
      </c>
      <c r="AI12" s="156" t="s">
        <v>579</v>
      </c>
      <c r="AJ12" s="152" t="s">
        <v>575</v>
      </c>
      <c r="AK12" s="152"/>
      <c r="AL12" s="152"/>
      <c r="AM12" s="152"/>
      <c r="AN12" s="152"/>
      <c r="AO12" s="152"/>
      <c r="AP12" s="152"/>
      <c r="AQ12" s="152"/>
      <c r="AR12" s="152"/>
      <c r="AS12" s="152"/>
      <c r="AT12" s="152"/>
      <c r="AU12" s="152"/>
      <c r="AV12" s="152"/>
      <c r="AW12" s="152">
        <v>6</v>
      </c>
      <c r="AX12" s="152" t="s">
        <v>329</v>
      </c>
      <c r="AY12" s="152"/>
      <c r="AZ12" s="152"/>
      <c r="BA12" s="152">
        <v>2</v>
      </c>
      <c r="BB12" s="152"/>
      <c r="BC12" s="152"/>
      <c r="BD12" s="152" t="s">
        <v>329</v>
      </c>
      <c r="BE12" s="152"/>
      <c r="BF12" s="152"/>
      <c r="BG12" s="152"/>
      <c r="BH12" s="152"/>
    </row>
    <row r="13" spans="1:60">
      <c r="A13" s="156" t="s">
        <v>345</v>
      </c>
      <c r="B13" s="156"/>
      <c r="C13" s="156" t="s">
        <v>326</v>
      </c>
      <c r="D13" s="11" t="s">
        <v>28</v>
      </c>
      <c r="E13" s="152" t="s">
        <v>586</v>
      </c>
      <c r="F13" s="152">
        <v>4</v>
      </c>
      <c r="G13" s="152">
        <v>4</v>
      </c>
      <c r="H13" s="78">
        <v>30.72</v>
      </c>
      <c r="I13" s="31">
        <v>4096</v>
      </c>
      <c r="J13" s="152" t="s">
        <v>581</v>
      </c>
      <c r="K13" s="156" t="s">
        <v>579</v>
      </c>
      <c r="L13" s="152">
        <v>2.6</v>
      </c>
      <c r="M13" s="78"/>
      <c r="N13" s="152"/>
      <c r="O13" s="152"/>
      <c r="P13" s="152"/>
      <c r="Q13" s="78"/>
      <c r="R13" s="152"/>
      <c r="S13" s="152"/>
      <c r="T13" s="152"/>
      <c r="U13" s="78"/>
      <c r="V13" s="152"/>
      <c r="W13" s="152"/>
      <c r="X13" s="152"/>
      <c r="Y13" s="78"/>
      <c r="Z13" s="152"/>
      <c r="AA13" s="152"/>
      <c r="AB13" s="152"/>
      <c r="AC13" s="78"/>
      <c r="AD13" s="152"/>
      <c r="AE13" s="152"/>
      <c r="AF13" s="152"/>
      <c r="AG13" s="78">
        <f t="shared" ref="AG13:AG43" si="0">2*H13</f>
        <v>61.44</v>
      </c>
      <c r="AH13" s="152" t="s">
        <v>581</v>
      </c>
      <c r="AI13" s="156" t="s">
        <v>579</v>
      </c>
      <c r="AJ13" s="152" t="s">
        <v>575</v>
      </c>
      <c r="AK13" s="152"/>
      <c r="AL13" s="152"/>
      <c r="AM13" s="152"/>
      <c r="AN13" s="152"/>
      <c r="AO13" s="152"/>
      <c r="AP13" s="152"/>
      <c r="AQ13" s="152"/>
      <c r="AR13" s="152"/>
      <c r="AS13" s="152"/>
      <c r="AT13" s="152"/>
      <c r="AU13" s="152"/>
      <c r="AV13" s="152"/>
      <c r="AW13" s="152">
        <v>2</v>
      </c>
      <c r="AX13" s="152" t="s">
        <v>329</v>
      </c>
      <c r="AY13" s="152" t="s">
        <v>329</v>
      </c>
      <c r="AZ13" s="152"/>
      <c r="BA13" s="152">
        <v>2</v>
      </c>
      <c r="BB13" s="152"/>
      <c r="BC13" s="152"/>
      <c r="BD13" s="152" t="s">
        <v>329</v>
      </c>
      <c r="BE13" s="152"/>
      <c r="BF13" s="152"/>
      <c r="BG13" s="152"/>
      <c r="BH13" s="152"/>
    </row>
    <row r="14" spans="1:60">
      <c r="A14" s="156" t="s">
        <v>348</v>
      </c>
      <c r="B14" s="156"/>
      <c r="C14" s="156" t="s">
        <v>326</v>
      </c>
      <c r="D14" s="11" t="s">
        <v>555</v>
      </c>
      <c r="E14" s="152" t="s">
        <v>587</v>
      </c>
      <c r="F14" s="152">
        <v>2</v>
      </c>
      <c r="G14" s="152">
        <v>5</v>
      </c>
      <c r="H14" s="78">
        <v>30.72</v>
      </c>
      <c r="I14" s="31">
        <v>4096</v>
      </c>
      <c r="J14" s="152" t="s">
        <v>581</v>
      </c>
      <c r="K14" s="156" t="s">
        <v>579</v>
      </c>
      <c r="L14" s="152">
        <v>2.6</v>
      </c>
      <c r="M14" s="78"/>
      <c r="N14" s="152"/>
      <c r="O14" s="152"/>
      <c r="P14" s="152"/>
      <c r="Q14" s="78"/>
      <c r="R14" s="152"/>
      <c r="S14" s="152"/>
      <c r="T14" s="152"/>
      <c r="U14" s="78"/>
      <c r="V14" s="152"/>
      <c r="W14" s="152"/>
      <c r="X14" s="152"/>
      <c r="Y14" s="78"/>
      <c r="Z14" s="152"/>
      <c r="AA14" s="152"/>
      <c r="AB14" s="152"/>
      <c r="AC14" s="78"/>
      <c r="AD14" s="152"/>
      <c r="AE14" s="152"/>
      <c r="AF14" s="152"/>
      <c r="AG14" s="78">
        <f t="shared" si="0"/>
        <v>61.44</v>
      </c>
      <c r="AH14" s="152" t="s">
        <v>581</v>
      </c>
      <c r="AI14" s="156" t="s">
        <v>579</v>
      </c>
      <c r="AJ14" s="152" t="s">
        <v>575</v>
      </c>
      <c r="AK14" s="152"/>
      <c r="AL14" s="152"/>
      <c r="AM14" s="152"/>
      <c r="AN14" s="152"/>
      <c r="AO14" s="152"/>
      <c r="AP14" s="152"/>
      <c r="AQ14" s="152"/>
      <c r="AR14" s="152"/>
      <c r="AS14" s="152"/>
      <c r="AT14" s="152"/>
      <c r="AU14" s="152"/>
      <c r="AV14" s="152"/>
      <c r="AW14" s="152">
        <v>2</v>
      </c>
      <c r="AX14" s="152" t="s">
        <v>329</v>
      </c>
      <c r="AY14" s="152"/>
      <c r="AZ14" s="152"/>
      <c r="BA14" s="152">
        <v>2</v>
      </c>
      <c r="BB14" s="152"/>
      <c r="BC14" s="152"/>
      <c r="BD14" s="152" t="s">
        <v>329</v>
      </c>
      <c r="BE14" s="152"/>
      <c r="BF14" s="152"/>
      <c r="BG14" s="152"/>
      <c r="BH14" s="152"/>
    </row>
    <row r="15" spans="1:60">
      <c r="A15" s="156" t="s">
        <v>349</v>
      </c>
      <c r="B15" s="156"/>
      <c r="C15" s="156" t="s">
        <v>326</v>
      </c>
      <c r="D15" s="11" t="s">
        <v>482</v>
      </c>
      <c r="E15" s="152" t="s">
        <v>588</v>
      </c>
      <c r="F15" s="152">
        <v>3</v>
      </c>
      <c r="G15" s="152">
        <v>6</v>
      </c>
      <c r="H15" s="78">
        <v>40.96</v>
      </c>
      <c r="I15" s="31">
        <v>4096</v>
      </c>
      <c r="J15" s="152" t="s">
        <v>581</v>
      </c>
      <c r="K15" s="156" t="s">
        <v>579</v>
      </c>
      <c r="L15" s="152">
        <v>2.6</v>
      </c>
      <c r="M15" s="78"/>
      <c r="N15" s="152"/>
      <c r="O15" s="152"/>
      <c r="P15" s="152"/>
      <c r="Q15" s="78"/>
      <c r="R15" s="152"/>
      <c r="S15" s="152"/>
      <c r="T15" s="152"/>
      <c r="U15" s="78"/>
      <c r="V15" s="152"/>
      <c r="W15" s="152"/>
      <c r="X15" s="152"/>
      <c r="Y15" s="78"/>
      <c r="Z15" s="152"/>
      <c r="AA15" s="152"/>
      <c r="AB15" s="152"/>
      <c r="AC15" s="78"/>
      <c r="AD15" s="152"/>
      <c r="AE15" s="152"/>
      <c r="AF15" s="152"/>
      <c r="AG15" s="78">
        <f t="shared" si="0"/>
        <v>81.92</v>
      </c>
      <c r="AH15" s="152" t="s">
        <v>581</v>
      </c>
      <c r="AI15" s="156" t="s">
        <v>579</v>
      </c>
      <c r="AJ15" s="152" t="s">
        <v>575</v>
      </c>
      <c r="AK15" s="152"/>
      <c r="AL15" s="152"/>
      <c r="AM15" s="152"/>
      <c r="AN15" s="152"/>
      <c r="AO15" s="152"/>
      <c r="AP15" s="152"/>
      <c r="AQ15" s="152"/>
      <c r="AR15" s="152"/>
      <c r="AS15" s="152"/>
      <c r="AT15" s="152"/>
      <c r="AU15" s="152"/>
      <c r="AV15" s="152"/>
      <c r="AW15" s="152">
        <v>2</v>
      </c>
      <c r="AX15" s="152" t="s">
        <v>329</v>
      </c>
      <c r="AY15" s="152"/>
      <c r="AZ15" s="152"/>
      <c r="BA15" s="152">
        <v>2</v>
      </c>
      <c r="BB15" s="152"/>
      <c r="BC15" s="152"/>
      <c r="BD15" s="152" t="s">
        <v>329</v>
      </c>
      <c r="BE15" s="152"/>
      <c r="BF15" s="152"/>
      <c r="BG15" s="152"/>
      <c r="BH15" s="152"/>
    </row>
    <row r="16" spans="1:60">
      <c r="A16" s="156" t="s">
        <v>351</v>
      </c>
      <c r="B16" s="156"/>
      <c r="C16" s="156" t="s">
        <v>326</v>
      </c>
      <c r="D16" s="11" t="s">
        <v>40</v>
      </c>
      <c r="E16" s="152" t="s">
        <v>589</v>
      </c>
      <c r="F16" s="152">
        <v>5</v>
      </c>
      <c r="G16" s="152">
        <v>7</v>
      </c>
      <c r="H16" s="78">
        <v>56.32</v>
      </c>
      <c r="I16" s="31">
        <v>4096</v>
      </c>
      <c r="J16" s="152" t="s">
        <v>581</v>
      </c>
      <c r="K16" s="156" t="s">
        <v>579</v>
      </c>
      <c r="L16" s="152">
        <v>2.6</v>
      </c>
      <c r="M16" s="78"/>
      <c r="N16" s="152"/>
      <c r="O16" s="152"/>
      <c r="P16" s="152"/>
      <c r="Q16" s="78"/>
      <c r="R16" s="152"/>
      <c r="S16" s="152"/>
      <c r="T16" s="152"/>
      <c r="U16" s="78"/>
      <c r="V16" s="152"/>
      <c r="W16" s="152"/>
      <c r="X16" s="152"/>
      <c r="Y16" s="78"/>
      <c r="Z16" s="152"/>
      <c r="AA16" s="152"/>
      <c r="AB16" s="152"/>
      <c r="AC16" s="78"/>
      <c r="AD16" s="152"/>
      <c r="AE16" s="152"/>
      <c r="AF16" s="152"/>
      <c r="AG16" s="78">
        <f t="shared" si="0"/>
        <v>112.64</v>
      </c>
      <c r="AH16" s="152" t="s">
        <v>581</v>
      </c>
      <c r="AI16" s="156" t="s">
        <v>579</v>
      </c>
      <c r="AJ16" s="152" t="s">
        <v>575</v>
      </c>
      <c r="AK16" s="152"/>
      <c r="AL16" s="152"/>
      <c r="AM16" s="152"/>
      <c r="AN16" s="152"/>
      <c r="AO16" s="152"/>
      <c r="AP16" s="152"/>
      <c r="AQ16" s="152"/>
      <c r="AR16" s="152"/>
      <c r="AS16" s="152"/>
      <c r="AT16" s="152"/>
      <c r="AU16" s="152"/>
      <c r="AV16" s="152"/>
      <c r="AW16" s="152">
        <v>2</v>
      </c>
      <c r="AX16" s="152" t="s">
        <v>329</v>
      </c>
      <c r="AY16" s="152"/>
      <c r="AZ16" s="152"/>
      <c r="BA16" s="152">
        <v>2</v>
      </c>
      <c r="BB16" s="152"/>
      <c r="BC16" s="152"/>
      <c r="BD16" s="152" t="s">
        <v>329</v>
      </c>
      <c r="BE16" s="152"/>
      <c r="BF16" s="152"/>
      <c r="BG16" s="152"/>
      <c r="BH16" s="152"/>
    </row>
    <row r="17" spans="1:60">
      <c r="A17" s="156" t="s">
        <v>352</v>
      </c>
      <c r="B17" s="156"/>
      <c r="C17" s="156" t="s">
        <v>326</v>
      </c>
      <c r="D17" s="11" t="s">
        <v>43</v>
      </c>
      <c r="E17" s="152" t="s">
        <v>590</v>
      </c>
      <c r="F17" s="152">
        <v>4</v>
      </c>
      <c r="G17" s="152">
        <v>6</v>
      </c>
      <c r="H17" s="78">
        <v>30.72</v>
      </c>
      <c r="I17" s="31">
        <v>4096</v>
      </c>
      <c r="J17" s="152" t="s">
        <v>581</v>
      </c>
      <c r="K17" s="156" t="s">
        <v>579</v>
      </c>
      <c r="L17" s="152">
        <v>2.6</v>
      </c>
      <c r="M17" s="78"/>
      <c r="N17" s="152"/>
      <c r="O17" s="78"/>
      <c r="P17" s="152"/>
      <c r="Q17" s="78"/>
      <c r="R17" s="152"/>
      <c r="S17" s="152"/>
      <c r="T17" s="152"/>
      <c r="U17" s="78"/>
      <c r="V17" s="152"/>
      <c r="W17" s="152"/>
      <c r="X17" s="152"/>
      <c r="Y17" s="78"/>
      <c r="Z17" s="152"/>
      <c r="AA17" s="152"/>
      <c r="AB17" s="152"/>
      <c r="AC17" s="78"/>
      <c r="AD17" s="152"/>
      <c r="AE17" s="152"/>
      <c r="AF17" s="152"/>
      <c r="AG17" s="78">
        <f t="shared" si="0"/>
        <v>61.44</v>
      </c>
      <c r="AH17" s="152" t="s">
        <v>581</v>
      </c>
      <c r="AI17" s="156" t="s">
        <v>579</v>
      </c>
      <c r="AJ17" s="152" t="s">
        <v>575</v>
      </c>
      <c r="AK17" s="152"/>
      <c r="AL17" s="152"/>
      <c r="AM17" s="152"/>
      <c r="AN17" s="152"/>
      <c r="AO17" s="152"/>
      <c r="AP17" s="152"/>
      <c r="AQ17" s="152"/>
      <c r="AR17" s="152"/>
      <c r="AS17" s="152"/>
      <c r="AT17" s="152"/>
      <c r="AU17" s="152"/>
      <c r="AV17" s="152"/>
      <c r="AW17" s="152">
        <v>2</v>
      </c>
      <c r="AX17" s="152" t="s">
        <v>329</v>
      </c>
      <c r="AY17" s="152"/>
      <c r="AZ17" s="152"/>
      <c r="BA17" s="152">
        <v>2</v>
      </c>
      <c r="BB17" s="152"/>
      <c r="BC17" s="152"/>
      <c r="BD17" s="152" t="s">
        <v>329</v>
      </c>
      <c r="BE17" s="152"/>
      <c r="BF17" s="152"/>
      <c r="BG17" s="152"/>
      <c r="BH17" s="152"/>
    </row>
    <row r="18" spans="1:60">
      <c r="A18" s="156" t="s">
        <v>353</v>
      </c>
      <c r="B18" s="156"/>
      <c r="C18" s="156" t="s">
        <v>326</v>
      </c>
      <c r="D18" s="11" t="s">
        <v>47</v>
      </c>
      <c r="E18" s="152" t="s">
        <v>586</v>
      </c>
      <c r="F18" s="152">
        <v>4</v>
      </c>
      <c r="G18" s="152">
        <v>4</v>
      </c>
      <c r="H18" s="78">
        <v>30.72</v>
      </c>
      <c r="I18" s="31">
        <v>4096</v>
      </c>
      <c r="J18" s="152" t="s">
        <v>581</v>
      </c>
      <c r="K18" s="156" t="s">
        <v>579</v>
      </c>
      <c r="L18" s="152">
        <v>2.6</v>
      </c>
      <c r="M18" s="78"/>
      <c r="N18" s="152"/>
      <c r="O18" s="152"/>
      <c r="P18" s="152"/>
      <c r="Q18" s="78"/>
      <c r="R18" s="152"/>
      <c r="S18" s="152"/>
      <c r="T18" s="152"/>
      <c r="U18" s="78"/>
      <c r="V18" s="152"/>
      <c r="W18" s="152"/>
      <c r="X18" s="152"/>
      <c r="Y18" s="78"/>
      <c r="Z18" s="152"/>
      <c r="AA18" s="152"/>
      <c r="AB18" s="152"/>
      <c r="AC18" s="78"/>
      <c r="AD18" s="152"/>
      <c r="AE18" s="152"/>
      <c r="AF18" s="152"/>
      <c r="AG18" s="78">
        <f t="shared" si="0"/>
        <v>61.44</v>
      </c>
      <c r="AH18" s="152" t="s">
        <v>581</v>
      </c>
      <c r="AI18" s="156" t="s">
        <v>579</v>
      </c>
      <c r="AJ18" s="152" t="s">
        <v>575</v>
      </c>
      <c r="AK18" s="152"/>
      <c r="AL18" s="152"/>
      <c r="AM18" s="152"/>
      <c r="AN18" s="152"/>
      <c r="AO18" s="152"/>
      <c r="AP18" s="152"/>
      <c r="AQ18" s="152"/>
      <c r="AR18" s="152"/>
      <c r="AS18" s="152"/>
      <c r="AT18" s="152"/>
      <c r="AU18" s="152"/>
      <c r="AV18" s="152"/>
      <c r="AW18" s="152">
        <v>2</v>
      </c>
      <c r="AX18" s="152" t="s">
        <v>329</v>
      </c>
      <c r="AY18" s="152" t="s">
        <v>329</v>
      </c>
      <c r="AZ18" s="152"/>
      <c r="BA18" s="152">
        <v>2</v>
      </c>
      <c r="BB18" s="152"/>
      <c r="BC18" s="152"/>
      <c r="BD18" s="152" t="s">
        <v>329</v>
      </c>
      <c r="BE18" s="152"/>
      <c r="BF18" s="152"/>
      <c r="BG18" s="152"/>
      <c r="BH18" s="152"/>
    </row>
    <row r="19" spans="1:60">
      <c r="A19" s="156" t="s">
        <v>354</v>
      </c>
      <c r="B19" s="156"/>
      <c r="C19" s="156" t="s">
        <v>326</v>
      </c>
      <c r="D19" s="11" t="s">
        <v>355</v>
      </c>
      <c r="E19" s="152" t="s">
        <v>591</v>
      </c>
      <c r="F19" s="152">
        <v>8</v>
      </c>
      <c r="G19" s="152">
        <v>10</v>
      </c>
      <c r="H19" s="78">
        <v>102.4</v>
      </c>
      <c r="I19" s="31">
        <v>4096</v>
      </c>
      <c r="J19" s="152" t="s">
        <v>581</v>
      </c>
      <c r="K19" s="156" t="s">
        <v>579</v>
      </c>
      <c r="L19" s="152">
        <v>2.6</v>
      </c>
      <c r="M19" s="78"/>
      <c r="N19" s="152"/>
      <c r="O19" s="152"/>
      <c r="P19" s="152"/>
      <c r="Q19" s="78"/>
      <c r="R19" s="152"/>
      <c r="S19" s="152"/>
      <c r="T19" s="152"/>
      <c r="U19" s="78"/>
      <c r="V19" s="152"/>
      <c r="W19" s="152"/>
      <c r="X19" s="152"/>
      <c r="Y19" s="78"/>
      <c r="Z19" s="152"/>
      <c r="AA19" s="152"/>
      <c r="AB19" s="152"/>
      <c r="AC19" s="78"/>
      <c r="AD19" s="152"/>
      <c r="AE19" s="152"/>
      <c r="AF19" s="152"/>
      <c r="AG19" s="78">
        <f>2*(H19+AO19)</f>
        <v>307.20000000000005</v>
      </c>
      <c r="AH19" s="152" t="s">
        <v>581</v>
      </c>
      <c r="AI19" s="156" t="s">
        <v>579</v>
      </c>
      <c r="AJ19" s="152" t="s">
        <v>575</v>
      </c>
      <c r="AK19" s="152"/>
      <c r="AL19" s="152"/>
      <c r="AM19" s="152"/>
      <c r="AN19" s="152"/>
      <c r="AO19" s="152">
        <v>51.2</v>
      </c>
      <c r="AP19" s="152" t="s">
        <v>581</v>
      </c>
      <c r="AQ19" s="156" t="s">
        <v>579</v>
      </c>
      <c r="AR19" s="152">
        <f>50/1000</f>
        <v>0.05</v>
      </c>
      <c r="AS19" s="152"/>
      <c r="AT19" s="152"/>
      <c r="AU19" s="152"/>
      <c r="AV19" s="152"/>
      <c r="AW19" s="152">
        <v>3</v>
      </c>
      <c r="AX19" s="152" t="s">
        <v>329</v>
      </c>
      <c r="AY19" s="152"/>
      <c r="AZ19" s="152"/>
      <c r="BA19" s="152">
        <v>2</v>
      </c>
      <c r="BB19" s="152"/>
      <c r="BC19" s="152"/>
      <c r="BD19" s="152" t="s">
        <v>329</v>
      </c>
      <c r="BE19" s="152"/>
      <c r="BF19" s="152"/>
      <c r="BG19" s="152"/>
      <c r="BH19" s="152"/>
    </row>
    <row r="20" spans="1:60">
      <c r="A20" s="156" t="s">
        <v>356</v>
      </c>
      <c r="B20" s="156"/>
      <c r="C20" s="156" t="s">
        <v>326</v>
      </c>
      <c r="D20" s="11" t="s">
        <v>55</v>
      </c>
      <c r="E20" s="152" t="s">
        <v>592</v>
      </c>
      <c r="F20" s="152">
        <v>6</v>
      </c>
      <c r="G20" s="152">
        <v>6</v>
      </c>
      <c r="H20" s="78">
        <v>172.03</v>
      </c>
      <c r="I20" s="31">
        <v>4096</v>
      </c>
      <c r="J20" s="152" t="s">
        <v>581</v>
      </c>
      <c r="K20" s="156" t="s">
        <v>579</v>
      </c>
      <c r="L20" s="152">
        <v>2.6</v>
      </c>
      <c r="M20" s="78"/>
      <c r="N20" s="152"/>
      <c r="O20" s="152"/>
      <c r="P20" s="152"/>
      <c r="Q20" s="78"/>
      <c r="R20" s="152"/>
      <c r="S20" s="152"/>
      <c r="T20" s="152"/>
      <c r="U20" s="78"/>
      <c r="V20" s="152"/>
      <c r="W20" s="152"/>
      <c r="X20" s="152"/>
      <c r="Y20" s="78"/>
      <c r="Z20" s="152"/>
      <c r="AA20" s="152"/>
      <c r="AB20" s="152"/>
      <c r="AC20" s="78"/>
      <c r="AD20" s="152"/>
      <c r="AE20" s="152"/>
      <c r="AF20" s="152"/>
      <c r="AG20" s="78">
        <f t="shared" si="0"/>
        <v>344.06</v>
      </c>
      <c r="AH20" s="152" t="s">
        <v>581</v>
      </c>
      <c r="AI20" s="156" t="s">
        <v>579</v>
      </c>
      <c r="AJ20" s="152" t="s">
        <v>575</v>
      </c>
      <c r="AK20" s="152"/>
      <c r="AL20" s="152"/>
      <c r="AM20" s="152"/>
      <c r="AN20" s="152"/>
      <c r="AO20" s="152"/>
      <c r="AP20" s="152"/>
      <c r="AQ20" s="152"/>
      <c r="AR20" s="152"/>
      <c r="AS20" s="152"/>
      <c r="AT20" s="152"/>
      <c r="AU20" s="152"/>
      <c r="AV20" s="152"/>
      <c r="AW20" s="152">
        <v>2</v>
      </c>
      <c r="AX20" s="152" t="s">
        <v>329</v>
      </c>
      <c r="AY20" s="152"/>
      <c r="AZ20" s="152"/>
      <c r="BA20" s="152">
        <v>2</v>
      </c>
      <c r="BB20" s="152"/>
      <c r="BC20" s="152"/>
      <c r="BD20" s="152" t="s">
        <v>329</v>
      </c>
      <c r="BE20" s="152"/>
      <c r="BF20" s="152"/>
      <c r="BG20" s="152"/>
      <c r="BH20" s="152"/>
    </row>
    <row r="21" spans="1:60">
      <c r="A21" s="156" t="s">
        <v>357</v>
      </c>
      <c r="B21" s="156"/>
      <c r="C21" s="156" t="s">
        <v>326</v>
      </c>
      <c r="D21" s="11" t="s">
        <v>59</v>
      </c>
      <c r="E21" s="152" t="s">
        <v>618</v>
      </c>
      <c r="F21" s="152">
        <v>8</v>
      </c>
      <c r="G21" s="152">
        <v>8</v>
      </c>
      <c r="H21" s="78">
        <v>61.44</v>
      </c>
      <c r="I21" s="31">
        <v>4096</v>
      </c>
      <c r="J21" s="152" t="s">
        <v>581</v>
      </c>
      <c r="K21" s="156" t="s">
        <v>579</v>
      </c>
      <c r="L21" s="152">
        <v>2.6</v>
      </c>
      <c r="M21" s="78"/>
      <c r="N21" s="152"/>
      <c r="O21" s="152"/>
      <c r="P21" s="152"/>
      <c r="Q21" s="78"/>
      <c r="R21" s="152"/>
      <c r="S21" s="152"/>
      <c r="T21" s="152"/>
      <c r="U21" s="78"/>
      <c r="V21" s="152"/>
      <c r="W21" s="152"/>
      <c r="X21" s="152"/>
      <c r="Y21" s="78"/>
      <c r="Z21" s="152"/>
      <c r="AA21" s="152"/>
      <c r="AB21" s="152"/>
      <c r="AC21" s="78"/>
      <c r="AD21" s="152"/>
      <c r="AE21" s="152"/>
      <c r="AF21" s="152"/>
      <c r="AG21" s="78">
        <f t="shared" si="0"/>
        <v>122.88</v>
      </c>
      <c r="AH21" s="152" t="s">
        <v>581</v>
      </c>
      <c r="AI21" s="156" t="s">
        <v>579</v>
      </c>
      <c r="AJ21" s="152" t="s">
        <v>575</v>
      </c>
      <c r="AK21" s="152"/>
      <c r="AL21" s="152"/>
      <c r="AM21" s="152"/>
      <c r="AN21" s="152"/>
      <c r="AO21" s="152"/>
      <c r="AP21" s="152"/>
      <c r="AQ21" s="152"/>
      <c r="AR21" s="152"/>
      <c r="AS21" s="152"/>
      <c r="AT21" s="152"/>
      <c r="AU21" s="152"/>
      <c r="AV21" s="152"/>
      <c r="AW21" s="152">
        <v>2</v>
      </c>
      <c r="AX21" s="152" t="s">
        <v>329</v>
      </c>
      <c r="AY21" s="152"/>
      <c r="AZ21" s="152"/>
      <c r="BA21" s="152">
        <v>2</v>
      </c>
      <c r="BB21" s="152"/>
      <c r="BC21" s="152"/>
      <c r="BD21" s="152" t="s">
        <v>329</v>
      </c>
      <c r="BE21" s="152"/>
      <c r="BF21" s="152"/>
      <c r="BG21" s="152"/>
      <c r="BH21" s="152"/>
    </row>
    <row r="22" spans="1:60">
      <c r="A22" s="156" t="s">
        <v>358</v>
      </c>
      <c r="B22" s="156"/>
      <c r="C22" s="156" t="s">
        <v>326</v>
      </c>
      <c r="D22" s="11" t="s">
        <v>59</v>
      </c>
      <c r="E22" s="152" t="s">
        <v>618</v>
      </c>
      <c r="F22" s="152">
        <v>8</v>
      </c>
      <c r="G22" s="152">
        <v>8</v>
      </c>
      <c r="H22" s="78">
        <v>61.44</v>
      </c>
      <c r="I22" s="31">
        <v>4096</v>
      </c>
      <c r="J22" s="152" t="s">
        <v>581</v>
      </c>
      <c r="K22" s="156" t="s">
        <v>579</v>
      </c>
      <c r="L22" s="152">
        <v>2.6</v>
      </c>
      <c r="M22" s="78"/>
      <c r="N22" s="152"/>
      <c r="O22" s="152"/>
      <c r="P22" s="152"/>
      <c r="Q22" s="78"/>
      <c r="R22" s="152"/>
      <c r="S22" s="152"/>
      <c r="T22" s="152"/>
      <c r="U22" s="78"/>
      <c r="V22" s="152"/>
      <c r="W22" s="152"/>
      <c r="X22" s="152"/>
      <c r="Y22" s="78"/>
      <c r="Z22" s="152"/>
      <c r="AA22" s="152"/>
      <c r="AB22" s="152"/>
      <c r="AC22" s="78"/>
      <c r="AD22" s="152"/>
      <c r="AE22" s="152"/>
      <c r="AF22" s="152"/>
      <c r="AG22" s="78">
        <f t="shared" si="0"/>
        <v>122.88</v>
      </c>
      <c r="AH22" s="152" t="s">
        <v>581</v>
      </c>
      <c r="AI22" s="156" t="s">
        <v>579</v>
      </c>
      <c r="AJ22" s="152" t="s">
        <v>575</v>
      </c>
      <c r="AK22" s="152"/>
      <c r="AL22" s="152"/>
      <c r="AM22" s="152"/>
      <c r="AN22" s="152"/>
      <c r="AO22" s="152"/>
      <c r="AP22" s="152"/>
      <c r="AQ22" s="152"/>
      <c r="AR22" s="152"/>
      <c r="AS22" s="156"/>
      <c r="AT22" s="156"/>
      <c r="AU22" s="156"/>
      <c r="AV22" s="156"/>
      <c r="AW22" s="152">
        <v>2</v>
      </c>
      <c r="AX22" s="152" t="s">
        <v>329</v>
      </c>
      <c r="AY22" s="152"/>
      <c r="AZ22" s="152"/>
      <c r="BA22" s="152">
        <v>2</v>
      </c>
      <c r="BB22" s="152"/>
      <c r="BC22" s="152"/>
      <c r="BD22" s="152" t="s">
        <v>329</v>
      </c>
      <c r="BE22" s="152"/>
      <c r="BF22" s="152"/>
      <c r="BG22" s="152"/>
      <c r="BH22" s="152"/>
    </row>
    <row r="23" spans="1:60">
      <c r="A23" s="156" t="s">
        <v>359</v>
      </c>
      <c r="B23" s="156"/>
      <c r="C23" s="156" t="s">
        <v>326</v>
      </c>
      <c r="D23" s="11" t="s">
        <v>63</v>
      </c>
      <c r="E23" s="152" t="s">
        <v>593</v>
      </c>
      <c r="F23" s="152">
        <v>6</v>
      </c>
      <c r="G23" s="152">
        <v>18</v>
      </c>
      <c r="H23" s="78">
        <v>143.36000000000001</v>
      </c>
      <c r="I23" s="31">
        <v>16384</v>
      </c>
      <c r="J23" s="152" t="s">
        <v>581</v>
      </c>
      <c r="K23" s="156" t="s">
        <v>579</v>
      </c>
      <c r="L23" s="152">
        <v>2.6</v>
      </c>
      <c r="M23" s="78"/>
      <c r="N23" s="152"/>
      <c r="O23" s="152"/>
      <c r="P23" s="152"/>
      <c r="Q23" s="78"/>
      <c r="R23" s="152"/>
      <c r="S23" s="152"/>
      <c r="T23" s="152"/>
      <c r="U23" s="78"/>
      <c r="V23" s="152"/>
      <c r="W23" s="152"/>
      <c r="X23" s="152"/>
      <c r="Y23" s="78"/>
      <c r="Z23" s="152"/>
      <c r="AA23" s="152"/>
      <c r="AB23" s="152"/>
      <c r="AC23" s="78"/>
      <c r="AD23" s="152"/>
      <c r="AE23" s="152"/>
      <c r="AF23" s="152"/>
      <c r="AG23" s="78">
        <f t="shared" si="0"/>
        <v>286.72000000000003</v>
      </c>
      <c r="AH23" s="152" t="s">
        <v>581</v>
      </c>
      <c r="AI23" s="156" t="s">
        <v>579</v>
      </c>
      <c r="AJ23" s="152" t="s">
        <v>575</v>
      </c>
      <c r="AK23" s="152"/>
      <c r="AL23" s="152"/>
      <c r="AM23" s="152"/>
      <c r="AN23" s="152"/>
      <c r="AO23" s="152"/>
      <c r="AP23" s="152"/>
      <c r="AQ23" s="152"/>
      <c r="AR23" s="152"/>
      <c r="AS23" s="152">
        <v>102.4</v>
      </c>
      <c r="AT23" s="152" t="s">
        <v>581</v>
      </c>
      <c r="AU23" s="156" t="s">
        <v>579</v>
      </c>
      <c r="AV23" s="152">
        <f>50/1000</f>
        <v>0.05</v>
      </c>
      <c r="AW23" s="152">
        <v>3</v>
      </c>
      <c r="AX23" s="152" t="s">
        <v>329</v>
      </c>
      <c r="AY23" s="152"/>
      <c r="AZ23" s="152"/>
      <c r="BA23" s="152">
        <v>2</v>
      </c>
      <c r="BB23" s="152"/>
      <c r="BC23" s="152"/>
      <c r="BD23" s="152" t="s">
        <v>329</v>
      </c>
      <c r="BE23" s="152"/>
      <c r="BF23" s="152"/>
      <c r="BG23" s="152"/>
      <c r="BH23" s="152"/>
    </row>
    <row r="24" spans="1:60">
      <c r="A24" s="156" t="s">
        <v>360</v>
      </c>
      <c r="B24" s="156"/>
      <c r="C24" s="156" t="s">
        <v>326</v>
      </c>
      <c r="D24" s="11" t="s">
        <v>67</v>
      </c>
      <c r="E24" s="152" t="s">
        <v>593</v>
      </c>
      <c r="F24" s="152">
        <v>6</v>
      </c>
      <c r="G24" s="152">
        <v>18</v>
      </c>
      <c r="H24" s="78">
        <v>143.36000000000001</v>
      </c>
      <c r="I24" s="31">
        <v>16384</v>
      </c>
      <c r="J24" s="152" t="s">
        <v>581</v>
      </c>
      <c r="K24" s="156" t="s">
        <v>579</v>
      </c>
      <c r="L24" s="152">
        <v>2.6</v>
      </c>
      <c r="M24" s="78"/>
      <c r="N24" s="152"/>
      <c r="O24" s="152"/>
      <c r="P24" s="152"/>
      <c r="Q24" s="78"/>
      <c r="R24" s="152"/>
      <c r="S24" s="152"/>
      <c r="T24" s="152"/>
      <c r="U24" s="78"/>
      <c r="V24" s="152"/>
      <c r="W24" s="152"/>
      <c r="X24" s="152"/>
      <c r="Y24" s="78"/>
      <c r="Z24" s="152"/>
      <c r="AA24" s="152"/>
      <c r="AB24" s="152"/>
      <c r="AC24" s="78"/>
      <c r="AD24" s="152"/>
      <c r="AE24" s="152"/>
      <c r="AF24" s="152"/>
      <c r="AG24" s="78">
        <f t="shared" si="0"/>
        <v>286.72000000000003</v>
      </c>
      <c r="AH24" s="152" t="s">
        <v>581</v>
      </c>
      <c r="AI24" s="156" t="s">
        <v>579</v>
      </c>
      <c r="AJ24" s="152" t="s">
        <v>575</v>
      </c>
      <c r="AK24" s="152"/>
      <c r="AL24" s="152"/>
      <c r="AM24" s="152"/>
      <c r="AN24" s="152"/>
      <c r="AO24" s="152"/>
      <c r="AP24" s="152"/>
      <c r="AQ24" s="152"/>
      <c r="AR24" s="152"/>
      <c r="AS24" s="152">
        <v>102.4</v>
      </c>
      <c r="AT24" s="152" t="s">
        <v>581</v>
      </c>
      <c r="AU24" s="156" t="s">
        <v>579</v>
      </c>
      <c r="AV24" s="152">
        <f>50/1000</f>
        <v>0.05</v>
      </c>
      <c r="AW24" s="152">
        <v>3</v>
      </c>
      <c r="AX24" s="152" t="s">
        <v>329</v>
      </c>
      <c r="AY24" s="152"/>
      <c r="AZ24" s="152"/>
      <c r="BA24" s="152">
        <v>2</v>
      </c>
      <c r="BB24" s="152"/>
      <c r="BC24" s="152"/>
      <c r="BD24" s="152" t="s">
        <v>329</v>
      </c>
      <c r="BE24" s="152"/>
      <c r="BF24" s="152"/>
      <c r="BG24" s="152"/>
      <c r="BH24" s="152"/>
    </row>
    <row r="25" spans="1:60">
      <c r="A25" s="156" t="s">
        <v>361</v>
      </c>
      <c r="B25" s="156"/>
      <c r="C25" s="156" t="s">
        <v>326</v>
      </c>
      <c r="D25" s="11" t="s">
        <v>71</v>
      </c>
      <c r="E25" s="152" t="s">
        <v>594</v>
      </c>
      <c r="F25" s="152">
        <v>5</v>
      </c>
      <c r="G25" s="152">
        <v>7</v>
      </c>
      <c r="H25" s="78">
        <v>40.96</v>
      </c>
      <c r="I25" s="31">
        <v>4096</v>
      </c>
      <c r="J25" s="152" t="s">
        <v>581</v>
      </c>
      <c r="K25" s="156" t="s">
        <v>579</v>
      </c>
      <c r="L25" s="152">
        <v>2.6</v>
      </c>
      <c r="M25" s="78"/>
      <c r="N25" s="152"/>
      <c r="O25" s="152"/>
      <c r="P25" s="152"/>
      <c r="Q25" s="78"/>
      <c r="R25" s="152"/>
      <c r="S25" s="152"/>
      <c r="T25" s="152"/>
      <c r="U25" s="78"/>
      <c r="V25" s="152"/>
      <c r="W25" s="152"/>
      <c r="X25" s="152"/>
      <c r="Y25" s="78"/>
      <c r="Z25" s="152"/>
      <c r="AA25" s="152"/>
      <c r="AB25" s="152"/>
      <c r="AC25" s="78"/>
      <c r="AD25" s="152"/>
      <c r="AE25" s="152"/>
      <c r="AF25" s="152"/>
      <c r="AG25" s="78">
        <f t="shared" si="0"/>
        <v>81.92</v>
      </c>
      <c r="AH25" s="152" t="s">
        <v>581</v>
      </c>
      <c r="AI25" s="156" t="s">
        <v>579</v>
      </c>
      <c r="AJ25" s="152" t="s">
        <v>575</v>
      </c>
      <c r="AK25" s="152"/>
      <c r="AL25" s="152"/>
      <c r="AM25" s="152"/>
      <c r="AN25" s="152"/>
      <c r="AO25" s="152"/>
      <c r="AP25" s="152"/>
      <c r="AQ25" s="152"/>
      <c r="AR25" s="152"/>
      <c r="AS25" s="152"/>
      <c r="AT25" s="152"/>
      <c r="AU25" s="152"/>
      <c r="AV25" s="152"/>
      <c r="AW25" s="152">
        <v>2</v>
      </c>
      <c r="AX25" s="152" t="s">
        <v>329</v>
      </c>
      <c r="AY25" s="152"/>
      <c r="AZ25" s="152"/>
      <c r="BA25" s="152">
        <v>2</v>
      </c>
      <c r="BB25" s="152"/>
      <c r="BC25" s="152"/>
      <c r="BD25" s="152" t="s">
        <v>329</v>
      </c>
      <c r="BE25" s="152"/>
      <c r="BF25" s="152"/>
      <c r="BG25" s="152"/>
      <c r="BH25" s="152"/>
    </row>
    <row r="26" spans="1:60">
      <c r="A26" s="156" t="s">
        <v>363</v>
      </c>
      <c r="B26" s="156"/>
      <c r="C26" s="156" t="s">
        <v>326</v>
      </c>
      <c r="D26" s="11" t="s">
        <v>71</v>
      </c>
      <c r="E26" s="152" t="s">
        <v>594</v>
      </c>
      <c r="F26" s="152">
        <v>5</v>
      </c>
      <c r="G26" s="152">
        <v>7</v>
      </c>
      <c r="H26" s="78">
        <v>40.96</v>
      </c>
      <c r="I26" s="31">
        <v>4096</v>
      </c>
      <c r="J26" s="152" t="s">
        <v>581</v>
      </c>
      <c r="K26" s="156" t="s">
        <v>579</v>
      </c>
      <c r="L26" s="152">
        <v>2.6</v>
      </c>
      <c r="M26" s="78"/>
      <c r="N26" s="152"/>
      <c r="O26" s="152"/>
      <c r="P26" s="152"/>
      <c r="Q26" s="78"/>
      <c r="R26" s="152"/>
      <c r="S26" s="152"/>
      <c r="T26" s="152"/>
      <c r="U26" s="78"/>
      <c r="V26" s="152"/>
      <c r="W26" s="152"/>
      <c r="X26" s="152"/>
      <c r="Y26" s="78"/>
      <c r="Z26" s="152"/>
      <c r="AA26" s="152"/>
      <c r="AB26" s="152"/>
      <c r="AC26" s="78"/>
      <c r="AD26" s="152"/>
      <c r="AE26" s="152"/>
      <c r="AF26" s="152"/>
      <c r="AG26" s="78">
        <f t="shared" si="0"/>
        <v>81.92</v>
      </c>
      <c r="AH26" s="152" t="s">
        <v>581</v>
      </c>
      <c r="AI26" s="156" t="s">
        <v>579</v>
      </c>
      <c r="AJ26" s="152" t="s">
        <v>575</v>
      </c>
      <c r="AK26" s="152"/>
      <c r="AL26" s="152"/>
      <c r="AM26" s="152"/>
      <c r="AN26" s="152"/>
      <c r="AO26" s="152"/>
      <c r="AP26" s="152"/>
      <c r="AQ26" s="152"/>
      <c r="AR26" s="152"/>
      <c r="AS26" s="152"/>
      <c r="AT26" s="152"/>
      <c r="AU26" s="152"/>
      <c r="AV26" s="152"/>
      <c r="AW26" s="152">
        <v>2</v>
      </c>
      <c r="AX26" s="152" t="s">
        <v>329</v>
      </c>
      <c r="AY26" s="152"/>
      <c r="AZ26" s="152"/>
      <c r="BA26" s="152">
        <v>2</v>
      </c>
      <c r="BB26" s="152"/>
      <c r="BC26" s="152"/>
      <c r="BD26" s="152" t="s">
        <v>329</v>
      </c>
      <c r="BE26" s="152"/>
      <c r="BF26" s="152"/>
      <c r="BG26" s="152"/>
      <c r="BH26" s="152"/>
    </row>
    <row r="27" spans="1:60">
      <c r="A27" s="156" t="s">
        <v>484</v>
      </c>
      <c r="B27" s="156"/>
      <c r="C27" s="156" t="s">
        <v>326</v>
      </c>
      <c r="D27" s="11" t="s">
        <v>73</v>
      </c>
      <c r="E27" s="152" t="s">
        <v>595</v>
      </c>
      <c r="F27" s="152">
        <v>8</v>
      </c>
      <c r="G27" s="152">
        <v>34</v>
      </c>
      <c r="H27" s="78">
        <v>138.24</v>
      </c>
      <c r="I27" s="31">
        <v>16384</v>
      </c>
      <c r="J27" s="152" t="s">
        <v>581</v>
      </c>
      <c r="K27" s="156" t="s">
        <v>579</v>
      </c>
      <c r="L27" s="152">
        <v>2.6</v>
      </c>
      <c r="M27" s="78"/>
      <c r="N27" s="152"/>
      <c r="O27" s="152"/>
      <c r="P27" s="152"/>
      <c r="Q27" s="78"/>
      <c r="R27" s="152"/>
      <c r="S27" s="152"/>
      <c r="T27" s="152"/>
      <c r="U27" s="78"/>
      <c r="V27" s="152"/>
      <c r="W27" s="152"/>
      <c r="X27" s="152"/>
      <c r="Y27" s="78"/>
      <c r="Z27" s="152"/>
      <c r="AA27" s="152"/>
      <c r="AB27" s="152"/>
      <c r="AC27" s="78"/>
      <c r="AD27" s="152"/>
      <c r="AE27" s="152"/>
      <c r="AF27" s="152"/>
      <c r="AG27" s="78">
        <f t="shared" si="0"/>
        <v>276.48</v>
      </c>
      <c r="AH27" s="152" t="s">
        <v>581</v>
      </c>
      <c r="AI27" s="156" t="s">
        <v>579</v>
      </c>
      <c r="AJ27" s="152" t="s">
        <v>575</v>
      </c>
      <c r="AK27" s="152"/>
      <c r="AL27" s="152"/>
      <c r="AM27" s="152"/>
      <c r="AN27" s="152"/>
      <c r="AO27" s="152"/>
      <c r="AP27" s="152"/>
      <c r="AQ27" s="152"/>
      <c r="AR27" s="152"/>
      <c r="AS27" s="152"/>
      <c r="AT27" s="152"/>
      <c r="AU27" s="152"/>
      <c r="AV27" s="152"/>
      <c r="AW27" s="152">
        <v>2</v>
      </c>
      <c r="AX27" s="152" t="s">
        <v>329</v>
      </c>
      <c r="AY27" s="152"/>
      <c r="AZ27" s="152"/>
      <c r="BA27" s="152">
        <v>2</v>
      </c>
      <c r="BB27" s="152"/>
      <c r="BC27" s="152"/>
      <c r="BD27" s="152" t="s">
        <v>329</v>
      </c>
      <c r="BE27" s="152"/>
      <c r="BF27" s="152"/>
      <c r="BG27" s="152"/>
      <c r="BH27" s="152"/>
    </row>
    <row r="28" spans="1:60">
      <c r="A28" s="156" t="s">
        <v>485</v>
      </c>
      <c r="B28" s="156"/>
      <c r="C28" s="156" t="s">
        <v>326</v>
      </c>
      <c r="D28" s="11" t="s">
        <v>73</v>
      </c>
      <c r="E28" s="152" t="s">
        <v>595</v>
      </c>
      <c r="F28" s="152">
        <v>8</v>
      </c>
      <c r="G28" s="152">
        <v>34</v>
      </c>
      <c r="H28" s="78">
        <v>138.24</v>
      </c>
      <c r="I28" s="31">
        <v>16384</v>
      </c>
      <c r="J28" s="152" t="s">
        <v>581</v>
      </c>
      <c r="K28" s="156" t="s">
        <v>579</v>
      </c>
      <c r="L28" s="152">
        <v>2.6</v>
      </c>
      <c r="M28" s="78"/>
      <c r="N28" s="152"/>
      <c r="O28" s="152"/>
      <c r="P28" s="152"/>
      <c r="Q28" s="78"/>
      <c r="R28" s="152"/>
      <c r="S28" s="152"/>
      <c r="T28" s="152"/>
      <c r="U28" s="78"/>
      <c r="V28" s="152"/>
      <c r="W28" s="152"/>
      <c r="X28" s="152"/>
      <c r="Y28" s="78"/>
      <c r="Z28" s="152"/>
      <c r="AA28" s="152"/>
      <c r="AB28" s="152"/>
      <c r="AC28" s="78"/>
      <c r="AD28" s="152"/>
      <c r="AE28" s="152"/>
      <c r="AF28" s="152"/>
      <c r="AG28" s="78">
        <f t="shared" si="0"/>
        <v>276.48</v>
      </c>
      <c r="AH28" s="152" t="s">
        <v>581</v>
      </c>
      <c r="AI28" s="156" t="s">
        <v>579</v>
      </c>
      <c r="AJ28" s="152" t="s">
        <v>575</v>
      </c>
      <c r="AK28" s="152"/>
      <c r="AL28" s="152"/>
      <c r="AM28" s="152"/>
      <c r="AN28" s="152"/>
      <c r="AO28" s="152"/>
      <c r="AP28" s="152"/>
      <c r="AQ28" s="152"/>
      <c r="AR28" s="152"/>
      <c r="AS28" s="152"/>
      <c r="AT28" s="152"/>
      <c r="AU28" s="152"/>
      <c r="AV28" s="152"/>
      <c r="AW28" s="152">
        <v>2</v>
      </c>
      <c r="AX28" s="152" t="s">
        <v>329</v>
      </c>
      <c r="AY28" s="152"/>
      <c r="AZ28" s="152"/>
      <c r="BA28" s="152">
        <v>2</v>
      </c>
      <c r="BB28" s="152"/>
      <c r="BC28" s="152"/>
      <c r="BD28" s="152" t="s">
        <v>329</v>
      </c>
      <c r="BE28" s="152"/>
      <c r="BF28" s="152"/>
      <c r="BG28" s="152"/>
      <c r="BH28" s="152"/>
    </row>
    <row r="29" spans="1:60">
      <c r="A29" s="156" t="s">
        <v>486</v>
      </c>
      <c r="B29" s="156"/>
      <c r="C29" s="156" t="s">
        <v>326</v>
      </c>
      <c r="D29" s="11" t="s">
        <v>73</v>
      </c>
      <c r="E29" s="152" t="s">
        <v>595</v>
      </c>
      <c r="F29" s="152">
        <v>8</v>
      </c>
      <c r="G29" s="152">
        <v>34</v>
      </c>
      <c r="H29" s="78">
        <v>138.24</v>
      </c>
      <c r="I29" s="31">
        <v>16384</v>
      </c>
      <c r="J29" s="152" t="s">
        <v>581</v>
      </c>
      <c r="K29" s="156" t="s">
        <v>579</v>
      </c>
      <c r="L29" s="152">
        <v>2.6</v>
      </c>
      <c r="M29" s="78"/>
      <c r="N29" s="152"/>
      <c r="O29" s="152"/>
      <c r="P29" s="152"/>
      <c r="Q29" s="78"/>
      <c r="R29" s="152"/>
      <c r="S29" s="152"/>
      <c r="T29" s="152"/>
      <c r="U29" s="78"/>
      <c r="V29" s="152"/>
      <c r="W29" s="152"/>
      <c r="X29" s="152"/>
      <c r="Y29" s="78"/>
      <c r="Z29" s="152"/>
      <c r="AA29" s="152"/>
      <c r="AB29" s="152"/>
      <c r="AC29" s="78"/>
      <c r="AD29" s="152"/>
      <c r="AE29" s="152"/>
      <c r="AF29" s="152"/>
      <c r="AG29" s="78">
        <f t="shared" si="0"/>
        <v>276.48</v>
      </c>
      <c r="AH29" s="152" t="s">
        <v>581</v>
      </c>
      <c r="AI29" s="156" t="s">
        <v>579</v>
      </c>
      <c r="AJ29" s="152" t="s">
        <v>575</v>
      </c>
      <c r="AK29" s="152"/>
      <c r="AL29" s="152"/>
      <c r="AM29" s="152"/>
      <c r="AN29" s="152"/>
      <c r="AO29" s="152"/>
      <c r="AP29" s="152"/>
      <c r="AQ29" s="152"/>
      <c r="AR29" s="152"/>
      <c r="AS29" s="152"/>
      <c r="AT29" s="152"/>
      <c r="AU29" s="152"/>
      <c r="AV29" s="152"/>
      <c r="AW29" s="152">
        <v>2</v>
      </c>
      <c r="AX29" s="152" t="s">
        <v>329</v>
      </c>
      <c r="AY29" s="152"/>
      <c r="AZ29" s="152"/>
      <c r="BA29" s="152">
        <v>2</v>
      </c>
      <c r="BB29" s="152"/>
      <c r="BC29" s="152"/>
      <c r="BD29" s="152" t="s">
        <v>329</v>
      </c>
      <c r="BE29" s="152"/>
      <c r="BF29" s="152"/>
      <c r="BG29" s="152"/>
      <c r="BH29" s="152"/>
    </row>
    <row r="30" spans="1:60">
      <c r="A30" s="156" t="s">
        <v>487</v>
      </c>
      <c r="B30" s="156"/>
      <c r="C30" s="156" t="s">
        <v>326</v>
      </c>
      <c r="D30" s="11" t="s">
        <v>73</v>
      </c>
      <c r="E30" s="152" t="s">
        <v>595</v>
      </c>
      <c r="F30" s="152">
        <v>8</v>
      </c>
      <c r="G30" s="152">
        <v>34</v>
      </c>
      <c r="H30" s="78">
        <v>138.24</v>
      </c>
      <c r="I30" s="31">
        <v>16384</v>
      </c>
      <c r="J30" s="152" t="s">
        <v>581</v>
      </c>
      <c r="K30" s="156" t="s">
        <v>579</v>
      </c>
      <c r="L30" s="152">
        <v>2.6</v>
      </c>
      <c r="M30" s="78"/>
      <c r="N30" s="152"/>
      <c r="O30" s="152"/>
      <c r="P30" s="152"/>
      <c r="Q30" s="78"/>
      <c r="R30" s="152"/>
      <c r="S30" s="152"/>
      <c r="T30" s="152"/>
      <c r="U30" s="78"/>
      <c r="V30" s="152"/>
      <c r="W30" s="152"/>
      <c r="X30" s="152"/>
      <c r="Y30" s="78"/>
      <c r="Z30" s="152"/>
      <c r="AA30" s="152"/>
      <c r="AB30" s="152"/>
      <c r="AC30" s="78"/>
      <c r="AD30" s="152"/>
      <c r="AE30" s="152"/>
      <c r="AF30" s="152"/>
      <c r="AG30" s="78">
        <f t="shared" si="0"/>
        <v>276.48</v>
      </c>
      <c r="AH30" s="152" t="s">
        <v>581</v>
      </c>
      <c r="AI30" s="156" t="s">
        <v>579</v>
      </c>
      <c r="AJ30" s="152" t="s">
        <v>575</v>
      </c>
      <c r="AK30" s="152"/>
      <c r="AL30" s="152"/>
      <c r="AM30" s="152"/>
      <c r="AN30" s="152"/>
      <c r="AO30" s="152"/>
      <c r="AP30" s="152"/>
      <c r="AQ30" s="152"/>
      <c r="AR30" s="152"/>
      <c r="AS30" s="152"/>
      <c r="AT30" s="152"/>
      <c r="AU30" s="152"/>
      <c r="AV30" s="152"/>
      <c r="AW30" s="152">
        <v>2</v>
      </c>
      <c r="AX30" s="152" t="s">
        <v>329</v>
      </c>
      <c r="AY30" s="152"/>
      <c r="AZ30" s="152"/>
      <c r="BA30" s="152">
        <v>2</v>
      </c>
      <c r="BB30" s="152"/>
      <c r="BC30" s="152"/>
      <c r="BD30" s="152" t="s">
        <v>329</v>
      </c>
      <c r="BE30" s="152"/>
      <c r="BF30" s="152"/>
      <c r="BG30" s="152"/>
      <c r="BH30" s="152"/>
    </row>
    <row r="31" spans="1:60">
      <c r="A31" s="156" t="s">
        <v>488</v>
      </c>
      <c r="B31" s="156"/>
      <c r="C31" s="156" t="s">
        <v>326</v>
      </c>
      <c r="D31" s="11" t="s">
        <v>73</v>
      </c>
      <c r="E31" s="152" t="s">
        <v>595</v>
      </c>
      <c r="F31" s="152">
        <v>8</v>
      </c>
      <c r="G31" s="152">
        <v>34</v>
      </c>
      <c r="H31" s="78">
        <v>138.24</v>
      </c>
      <c r="I31" s="31">
        <v>16384</v>
      </c>
      <c r="J31" s="152" t="s">
        <v>581</v>
      </c>
      <c r="K31" s="156" t="s">
        <v>579</v>
      </c>
      <c r="L31" s="152">
        <v>2.6</v>
      </c>
      <c r="M31" s="78"/>
      <c r="N31" s="152"/>
      <c r="O31" s="152"/>
      <c r="P31" s="152"/>
      <c r="Q31" s="78"/>
      <c r="R31" s="152"/>
      <c r="S31" s="152"/>
      <c r="T31" s="152"/>
      <c r="U31" s="78"/>
      <c r="V31" s="152"/>
      <c r="W31" s="152"/>
      <c r="X31" s="152"/>
      <c r="Y31" s="78"/>
      <c r="Z31" s="152"/>
      <c r="AA31" s="152"/>
      <c r="AB31" s="152"/>
      <c r="AC31" s="78"/>
      <c r="AD31" s="152"/>
      <c r="AE31" s="152"/>
      <c r="AF31" s="152"/>
      <c r="AG31" s="78">
        <f t="shared" si="0"/>
        <v>276.48</v>
      </c>
      <c r="AH31" s="152" t="s">
        <v>581</v>
      </c>
      <c r="AI31" s="156" t="s">
        <v>579</v>
      </c>
      <c r="AJ31" s="152" t="s">
        <v>575</v>
      </c>
      <c r="AK31" s="152"/>
      <c r="AL31" s="152"/>
      <c r="AM31" s="152"/>
      <c r="AN31" s="152"/>
      <c r="AO31" s="152"/>
      <c r="AP31" s="152"/>
      <c r="AQ31" s="152"/>
      <c r="AR31" s="152"/>
      <c r="AS31" s="152"/>
      <c r="AT31" s="152"/>
      <c r="AU31" s="152"/>
      <c r="AV31" s="152"/>
      <c r="AW31" s="152">
        <v>2</v>
      </c>
      <c r="AX31" s="152" t="s">
        <v>329</v>
      </c>
      <c r="AY31" s="152"/>
      <c r="AZ31" s="152"/>
      <c r="BA31" s="152">
        <v>2</v>
      </c>
      <c r="BB31" s="152"/>
      <c r="BC31" s="152"/>
      <c r="BD31" s="152" t="s">
        <v>329</v>
      </c>
      <c r="BE31" s="152"/>
      <c r="BF31" s="152"/>
      <c r="BG31" s="152"/>
      <c r="BH31" s="152"/>
    </row>
    <row r="32" spans="1:60">
      <c r="A32" s="156" t="s">
        <v>489</v>
      </c>
      <c r="B32" s="156"/>
      <c r="C32" s="156" t="s">
        <v>326</v>
      </c>
      <c r="D32" s="11" t="s">
        <v>73</v>
      </c>
      <c r="E32" s="152" t="s">
        <v>595</v>
      </c>
      <c r="F32" s="152">
        <v>8</v>
      </c>
      <c r="G32" s="152">
        <v>34</v>
      </c>
      <c r="H32" s="78">
        <v>138.24</v>
      </c>
      <c r="I32" s="31">
        <v>16384</v>
      </c>
      <c r="J32" s="152" t="s">
        <v>581</v>
      </c>
      <c r="K32" s="156" t="s">
        <v>579</v>
      </c>
      <c r="L32" s="152">
        <v>2.6</v>
      </c>
      <c r="M32" s="78"/>
      <c r="N32" s="152"/>
      <c r="O32" s="152"/>
      <c r="P32" s="152"/>
      <c r="Q32" s="78"/>
      <c r="R32" s="152"/>
      <c r="S32" s="152"/>
      <c r="T32" s="152"/>
      <c r="U32" s="78"/>
      <c r="V32" s="152"/>
      <c r="W32" s="152"/>
      <c r="X32" s="152"/>
      <c r="Y32" s="78"/>
      <c r="Z32" s="152"/>
      <c r="AA32" s="152"/>
      <c r="AB32" s="152"/>
      <c r="AC32" s="78"/>
      <c r="AD32" s="152"/>
      <c r="AE32" s="152"/>
      <c r="AF32" s="152"/>
      <c r="AG32" s="78">
        <f t="shared" si="0"/>
        <v>276.48</v>
      </c>
      <c r="AH32" s="152" t="s">
        <v>581</v>
      </c>
      <c r="AI32" s="156" t="s">
        <v>579</v>
      </c>
      <c r="AJ32" s="152" t="s">
        <v>575</v>
      </c>
      <c r="AK32" s="152"/>
      <c r="AL32" s="152"/>
      <c r="AM32" s="152"/>
      <c r="AN32" s="152"/>
      <c r="AO32" s="152"/>
      <c r="AP32" s="152"/>
      <c r="AQ32" s="152"/>
      <c r="AR32" s="152"/>
      <c r="AS32" s="152"/>
      <c r="AT32" s="152"/>
      <c r="AU32" s="152"/>
      <c r="AV32" s="152"/>
      <c r="AW32" s="152">
        <v>2</v>
      </c>
      <c r="AX32" s="152" t="s">
        <v>329</v>
      </c>
      <c r="AY32" s="152"/>
      <c r="AZ32" s="152"/>
      <c r="BA32" s="152">
        <v>2</v>
      </c>
      <c r="BB32" s="152"/>
      <c r="BC32" s="152"/>
      <c r="BD32" s="152" t="s">
        <v>329</v>
      </c>
      <c r="BE32" s="152"/>
      <c r="BF32" s="152"/>
      <c r="BG32" s="152"/>
      <c r="BH32" s="152"/>
    </row>
    <row r="33" spans="1:60">
      <c r="A33" s="156" t="s">
        <v>502</v>
      </c>
      <c r="B33" s="156"/>
      <c r="C33" s="156" t="s">
        <v>326</v>
      </c>
      <c r="D33" s="11" t="s">
        <v>73</v>
      </c>
      <c r="E33" s="152" t="s">
        <v>595</v>
      </c>
      <c r="F33" s="152">
        <v>8</v>
      </c>
      <c r="G33" s="152">
        <v>34</v>
      </c>
      <c r="H33" s="78">
        <v>138.24</v>
      </c>
      <c r="I33" s="31">
        <v>16384</v>
      </c>
      <c r="J33" s="152" t="s">
        <v>581</v>
      </c>
      <c r="K33" s="156" t="s">
        <v>579</v>
      </c>
      <c r="L33" s="152">
        <v>2.6</v>
      </c>
      <c r="M33" s="78"/>
      <c r="N33" s="152"/>
      <c r="O33" s="152"/>
      <c r="P33" s="152"/>
      <c r="Q33" s="78"/>
      <c r="R33" s="152"/>
      <c r="S33" s="152"/>
      <c r="T33" s="152"/>
      <c r="U33" s="78"/>
      <c r="V33" s="152"/>
      <c r="W33" s="152"/>
      <c r="X33" s="152"/>
      <c r="Y33" s="78"/>
      <c r="Z33" s="152"/>
      <c r="AA33" s="152"/>
      <c r="AB33" s="152"/>
      <c r="AC33" s="78"/>
      <c r="AD33" s="152"/>
      <c r="AE33" s="152"/>
      <c r="AF33" s="152"/>
      <c r="AG33" s="78">
        <f t="shared" si="0"/>
        <v>276.48</v>
      </c>
      <c r="AH33" s="152" t="s">
        <v>581</v>
      </c>
      <c r="AI33" s="156" t="s">
        <v>579</v>
      </c>
      <c r="AJ33" s="152" t="s">
        <v>575</v>
      </c>
      <c r="AK33" s="152"/>
      <c r="AL33" s="152"/>
      <c r="AM33" s="152"/>
      <c r="AN33" s="152"/>
      <c r="AO33" s="152"/>
      <c r="AP33" s="152"/>
      <c r="AQ33" s="152"/>
      <c r="AR33" s="152"/>
      <c r="AS33" s="152"/>
      <c r="AT33" s="152"/>
      <c r="AU33" s="152"/>
      <c r="AV33" s="152"/>
      <c r="AW33" s="152">
        <v>2</v>
      </c>
      <c r="AX33" s="152" t="s">
        <v>329</v>
      </c>
      <c r="AY33" s="152"/>
      <c r="AZ33" s="152"/>
      <c r="BA33" s="152">
        <v>2</v>
      </c>
      <c r="BB33" s="152"/>
      <c r="BC33" s="152"/>
      <c r="BD33" s="152" t="s">
        <v>329</v>
      </c>
      <c r="BE33" s="152"/>
      <c r="BF33" s="152"/>
      <c r="BG33" s="152"/>
      <c r="BH33" s="152"/>
    </row>
    <row r="34" spans="1:60">
      <c r="A34" s="156" t="s">
        <v>503</v>
      </c>
      <c r="B34" s="156"/>
      <c r="C34" s="156" t="s">
        <v>326</v>
      </c>
      <c r="D34" s="11" t="s">
        <v>73</v>
      </c>
      <c r="E34" s="152" t="s">
        <v>595</v>
      </c>
      <c r="F34" s="152">
        <v>8</v>
      </c>
      <c r="G34" s="152">
        <v>34</v>
      </c>
      <c r="H34" s="78">
        <v>138.24</v>
      </c>
      <c r="I34" s="31">
        <v>16384</v>
      </c>
      <c r="J34" s="152" t="s">
        <v>581</v>
      </c>
      <c r="K34" s="156" t="s">
        <v>579</v>
      </c>
      <c r="L34" s="152">
        <v>2.6</v>
      </c>
      <c r="M34" s="78"/>
      <c r="N34" s="152"/>
      <c r="O34" s="152"/>
      <c r="P34" s="152"/>
      <c r="Q34" s="78"/>
      <c r="R34" s="152"/>
      <c r="S34" s="152"/>
      <c r="T34" s="152"/>
      <c r="U34" s="78"/>
      <c r="V34" s="152"/>
      <c r="W34" s="152"/>
      <c r="X34" s="152"/>
      <c r="Y34" s="78"/>
      <c r="Z34" s="152"/>
      <c r="AA34" s="152"/>
      <c r="AB34" s="152"/>
      <c r="AC34" s="78"/>
      <c r="AD34" s="152"/>
      <c r="AE34" s="152"/>
      <c r="AF34" s="152"/>
      <c r="AG34" s="78">
        <f t="shared" si="0"/>
        <v>276.48</v>
      </c>
      <c r="AH34" s="152" t="s">
        <v>581</v>
      </c>
      <c r="AI34" s="156" t="s">
        <v>579</v>
      </c>
      <c r="AJ34" s="152" t="s">
        <v>575</v>
      </c>
      <c r="AK34" s="152"/>
      <c r="AL34" s="152"/>
      <c r="AM34" s="152"/>
      <c r="AN34" s="152"/>
      <c r="AO34" s="152"/>
      <c r="AP34" s="152"/>
      <c r="AQ34" s="152"/>
      <c r="AR34" s="152"/>
      <c r="AS34" s="152"/>
      <c r="AT34" s="152"/>
      <c r="AU34" s="152"/>
      <c r="AV34" s="152"/>
      <c r="AW34" s="152">
        <v>2</v>
      </c>
      <c r="AX34" s="152" t="s">
        <v>329</v>
      </c>
      <c r="AY34" s="152"/>
      <c r="AZ34" s="152"/>
      <c r="BA34" s="152">
        <v>2</v>
      </c>
      <c r="BB34" s="152"/>
      <c r="BC34" s="152"/>
      <c r="BD34" s="152" t="s">
        <v>329</v>
      </c>
      <c r="BE34" s="152"/>
      <c r="BF34" s="152"/>
      <c r="BG34" s="152"/>
      <c r="BH34" s="152"/>
    </row>
    <row r="35" spans="1:60">
      <c r="A35" s="156" t="s">
        <v>504</v>
      </c>
      <c r="B35" s="156"/>
      <c r="C35" s="11" t="s">
        <v>362</v>
      </c>
      <c r="D35" s="156" t="s">
        <v>75</v>
      </c>
      <c r="E35" s="152" t="s">
        <v>596</v>
      </c>
      <c r="F35" s="152">
        <v>4</v>
      </c>
      <c r="G35" s="152">
        <v>4</v>
      </c>
      <c r="H35" s="78">
        <v>102.4</v>
      </c>
      <c r="I35" s="31">
        <v>0</v>
      </c>
      <c r="J35" s="152" t="s">
        <v>578</v>
      </c>
      <c r="K35" s="156" t="s">
        <v>579</v>
      </c>
      <c r="L35" s="152">
        <v>100</v>
      </c>
      <c r="M35" s="78"/>
      <c r="N35" s="152"/>
      <c r="O35" s="152"/>
      <c r="P35" s="152"/>
      <c r="Q35" s="78"/>
      <c r="R35" s="152"/>
      <c r="S35" s="152"/>
      <c r="T35" s="152"/>
      <c r="U35" s="78"/>
      <c r="V35" s="152"/>
      <c r="W35" s="152"/>
      <c r="X35" s="152"/>
      <c r="Y35" s="78"/>
      <c r="Z35" s="152"/>
      <c r="AA35" s="152"/>
      <c r="AB35" s="152"/>
      <c r="AC35" s="78"/>
      <c r="AD35" s="152"/>
      <c r="AE35" s="152"/>
      <c r="AF35" s="152"/>
      <c r="AG35" s="78">
        <f t="shared" si="0"/>
        <v>204.8</v>
      </c>
      <c r="AH35" s="152" t="s">
        <v>581</v>
      </c>
      <c r="AI35" s="156" t="s">
        <v>579</v>
      </c>
      <c r="AJ35" s="152" t="s">
        <v>575</v>
      </c>
      <c r="AK35" s="152"/>
      <c r="AL35" s="152"/>
      <c r="AM35" s="152"/>
      <c r="AN35" s="152"/>
      <c r="AO35" s="152"/>
      <c r="AP35" s="152"/>
      <c r="AQ35" s="152"/>
      <c r="AR35" s="152"/>
      <c r="AS35" s="152"/>
      <c r="AT35" s="152"/>
      <c r="AU35" s="152"/>
      <c r="AV35" s="152"/>
      <c r="AW35" s="152">
        <v>4</v>
      </c>
      <c r="AX35" s="152" t="s">
        <v>329</v>
      </c>
      <c r="AY35" s="152"/>
      <c r="AZ35" s="152"/>
      <c r="BA35" s="152">
        <v>2</v>
      </c>
      <c r="BB35" s="152"/>
      <c r="BC35" s="152"/>
      <c r="BD35" s="152" t="s">
        <v>329</v>
      </c>
      <c r="BE35" s="152"/>
      <c r="BF35" s="152"/>
      <c r="BG35" s="152"/>
      <c r="BH35" s="152"/>
    </row>
    <row r="36" spans="1:60">
      <c r="A36" s="156" t="s">
        <v>505</v>
      </c>
      <c r="B36" s="156"/>
      <c r="C36" s="11" t="s">
        <v>362</v>
      </c>
      <c r="D36" s="156" t="s">
        <v>79</v>
      </c>
      <c r="E36" s="152" t="s">
        <v>597</v>
      </c>
      <c r="F36" s="152">
        <v>4</v>
      </c>
      <c r="G36" s="152">
        <v>16</v>
      </c>
      <c r="H36" s="78">
        <v>102.4</v>
      </c>
      <c r="I36" s="31">
        <v>0</v>
      </c>
      <c r="J36" s="152" t="s">
        <v>578</v>
      </c>
      <c r="K36" s="156" t="s">
        <v>579</v>
      </c>
      <c r="L36" s="152">
        <v>110</v>
      </c>
      <c r="M36" s="78"/>
      <c r="N36" s="152"/>
      <c r="O36" s="152"/>
      <c r="P36" s="152"/>
      <c r="Q36" s="78"/>
      <c r="R36" s="152"/>
      <c r="S36" s="152"/>
      <c r="T36" s="152"/>
      <c r="U36" s="78"/>
      <c r="V36" s="152"/>
      <c r="W36" s="152"/>
      <c r="X36" s="152"/>
      <c r="Y36" s="78"/>
      <c r="Z36" s="152"/>
      <c r="AA36" s="152"/>
      <c r="AB36" s="152"/>
      <c r="AC36" s="78"/>
      <c r="AD36" s="152"/>
      <c r="AE36" s="152"/>
      <c r="AF36" s="152"/>
      <c r="AG36" s="78">
        <f t="shared" si="0"/>
        <v>204.8</v>
      </c>
      <c r="AH36" s="152" t="s">
        <v>581</v>
      </c>
      <c r="AI36" s="156" t="s">
        <v>579</v>
      </c>
      <c r="AJ36" s="152" t="s">
        <v>575</v>
      </c>
      <c r="AK36" s="152"/>
      <c r="AL36" s="152"/>
      <c r="AM36" s="152"/>
      <c r="AN36" s="152"/>
      <c r="AO36" s="152"/>
      <c r="AP36" s="152"/>
      <c r="AQ36" s="152"/>
      <c r="AR36" s="152"/>
      <c r="AS36" s="152"/>
      <c r="AT36" s="152"/>
      <c r="AU36" s="152"/>
      <c r="AV36" s="152"/>
      <c r="AW36" s="152">
        <v>4</v>
      </c>
      <c r="AX36" s="152" t="s">
        <v>329</v>
      </c>
      <c r="AY36" s="152"/>
      <c r="AZ36" s="152"/>
      <c r="BA36" s="152">
        <v>2</v>
      </c>
      <c r="BB36" s="152"/>
      <c r="BC36" s="152"/>
      <c r="BD36" s="152" t="s">
        <v>329</v>
      </c>
      <c r="BE36" s="152"/>
      <c r="BF36" s="152"/>
      <c r="BG36" s="152"/>
      <c r="BH36" s="152"/>
    </row>
    <row r="37" spans="1:60">
      <c r="A37" s="156" t="s">
        <v>364</v>
      </c>
      <c r="B37" s="156"/>
      <c r="C37" s="11" t="s">
        <v>362</v>
      </c>
      <c r="D37" s="156" t="s">
        <v>77</v>
      </c>
      <c r="E37" s="152" t="s">
        <v>598</v>
      </c>
      <c r="F37" s="152">
        <v>4</v>
      </c>
      <c r="G37" s="152">
        <v>14</v>
      </c>
      <c r="H37" s="78">
        <v>102.4</v>
      </c>
      <c r="I37" s="31">
        <v>0</v>
      </c>
      <c r="J37" s="152" t="s">
        <v>578</v>
      </c>
      <c r="K37" s="156" t="s">
        <v>579</v>
      </c>
      <c r="L37" s="152">
        <v>100</v>
      </c>
      <c r="M37" s="78"/>
      <c r="N37" s="152"/>
      <c r="O37" s="152"/>
      <c r="P37" s="152"/>
      <c r="Q37" s="78"/>
      <c r="R37" s="152"/>
      <c r="S37" s="152"/>
      <c r="T37" s="152"/>
      <c r="U37" s="78"/>
      <c r="V37" s="152"/>
      <c r="W37" s="152"/>
      <c r="X37" s="152"/>
      <c r="Y37" s="78"/>
      <c r="Z37" s="152"/>
      <c r="AA37" s="152"/>
      <c r="AB37" s="152"/>
      <c r="AC37" s="78"/>
      <c r="AD37" s="152"/>
      <c r="AE37" s="152"/>
      <c r="AF37" s="152"/>
      <c r="AG37" s="78">
        <f t="shared" si="0"/>
        <v>204.8</v>
      </c>
      <c r="AH37" s="152" t="s">
        <v>581</v>
      </c>
      <c r="AI37" s="156" t="s">
        <v>579</v>
      </c>
      <c r="AJ37" s="152" t="s">
        <v>575</v>
      </c>
      <c r="AK37" s="152"/>
      <c r="AL37" s="152"/>
      <c r="AM37" s="152"/>
      <c r="AN37" s="152"/>
      <c r="AO37" s="152"/>
      <c r="AP37" s="152"/>
      <c r="AQ37" s="152"/>
      <c r="AR37" s="152"/>
      <c r="AS37" s="152"/>
      <c r="AT37" s="152"/>
      <c r="AU37" s="152"/>
      <c r="AV37" s="152"/>
      <c r="AW37" s="152">
        <v>4</v>
      </c>
      <c r="AX37" s="152" t="s">
        <v>329</v>
      </c>
      <c r="AY37" s="152"/>
      <c r="AZ37" s="152"/>
      <c r="BA37" s="152">
        <v>2</v>
      </c>
      <c r="BB37" s="152"/>
      <c r="BC37" s="152"/>
      <c r="BD37" s="152" t="s">
        <v>329</v>
      </c>
      <c r="BE37" s="152"/>
      <c r="BF37" s="152"/>
      <c r="BG37" s="152"/>
      <c r="BH37" s="152"/>
    </row>
    <row r="38" spans="1:60">
      <c r="A38" s="156" t="s">
        <v>365</v>
      </c>
      <c r="B38" s="152"/>
      <c r="C38" s="156" t="s">
        <v>326</v>
      </c>
      <c r="D38" s="11" t="s">
        <v>81</v>
      </c>
      <c r="E38" s="152" t="s">
        <v>599</v>
      </c>
      <c r="F38" s="152">
        <v>9</v>
      </c>
      <c r="G38" s="152">
        <v>12</v>
      </c>
      <c r="H38" s="78">
        <v>56.32</v>
      </c>
      <c r="I38" s="31">
        <v>16384</v>
      </c>
      <c r="J38" s="152" t="s">
        <v>581</v>
      </c>
      <c r="K38" s="156" t="s">
        <v>579</v>
      </c>
      <c r="L38" s="152">
        <v>2.6</v>
      </c>
      <c r="M38" s="78"/>
      <c r="N38" s="152"/>
      <c r="O38" s="152"/>
      <c r="P38" s="152"/>
      <c r="Q38" s="78"/>
      <c r="R38" s="152"/>
      <c r="S38" s="152"/>
      <c r="T38" s="152"/>
      <c r="U38" s="78"/>
      <c r="V38" s="152"/>
      <c r="W38" s="152"/>
      <c r="X38" s="152"/>
      <c r="Y38" s="78"/>
      <c r="Z38" s="152"/>
      <c r="AA38" s="152"/>
      <c r="AB38" s="152"/>
      <c r="AC38" s="78"/>
      <c r="AD38" s="152"/>
      <c r="AE38" s="152"/>
      <c r="AF38" s="152"/>
      <c r="AG38" s="78">
        <f>2*(H38+AK38)</f>
        <v>266.24</v>
      </c>
      <c r="AH38" s="152" t="s">
        <v>581</v>
      </c>
      <c r="AI38" s="156" t="s">
        <v>579</v>
      </c>
      <c r="AJ38" s="152" t="s">
        <v>575</v>
      </c>
      <c r="AK38" s="158">
        <f>75*1.024</f>
        <v>76.8</v>
      </c>
      <c r="AL38" s="154" t="s">
        <v>581</v>
      </c>
      <c r="AM38" s="156" t="s">
        <v>579</v>
      </c>
      <c r="AN38" s="152">
        <f>50/1000</f>
        <v>0.05</v>
      </c>
      <c r="AO38" s="152"/>
      <c r="AP38" s="152"/>
      <c r="AQ38" s="152"/>
      <c r="AR38" s="152"/>
      <c r="AS38" s="152"/>
      <c r="AT38" s="152"/>
      <c r="AU38" s="152"/>
      <c r="AV38" s="152"/>
      <c r="AW38" s="154">
        <v>3</v>
      </c>
      <c r="AX38" s="152" t="s">
        <v>329</v>
      </c>
      <c r="AY38" s="152"/>
      <c r="AZ38" s="152"/>
      <c r="BA38" s="152">
        <v>2</v>
      </c>
      <c r="BB38" s="152"/>
      <c r="BC38" s="152"/>
      <c r="BD38" s="152" t="s">
        <v>329</v>
      </c>
      <c r="BE38" s="152"/>
      <c r="BF38" s="152"/>
      <c r="BG38" s="152"/>
      <c r="BH38" s="152"/>
    </row>
    <row r="39" spans="1:60">
      <c r="A39" s="156" t="s">
        <v>367</v>
      </c>
      <c r="B39" s="156"/>
      <c r="C39" s="156" t="s">
        <v>326</v>
      </c>
      <c r="D39" s="11" t="s">
        <v>81</v>
      </c>
      <c r="E39" s="152" t="s">
        <v>599</v>
      </c>
      <c r="F39" s="152">
        <v>9</v>
      </c>
      <c r="G39" s="152">
        <v>12</v>
      </c>
      <c r="H39" s="78">
        <v>56.32</v>
      </c>
      <c r="I39" s="31">
        <v>16384</v>
      </c>
      <c r="J39" s="152" t="s">
        <v>581</v>
      </c>
      <c r="K39" s="156" t="s">
        <v>579</v>
      </c>
      <c r="L39" s="152">
        <v>2.6</v>
      </c>
      <c r="M39" s="78"/>
      <c r="N39" s="152"/>
      <c r="O39" s="152"/>
      <c r="P39" s="152"/>
      <c r="Q39" s="78"/>
      <c r="R39" s="152"/>
      <c r="S39" s="152"/>
      <c r="T39" s="152"/>
      <c r="U39" s="78"/>
      <c r="V39" s="152"/>
      <c r="W39" s="152"/>
      <c r="X39" s="152"/>
      <c r="Y39" s="78"/>
      <c r="Z39" s="152"/>
      <c r="AA39" s="152"/>
      <c r="AB39" s="152"/>
      <c r="AC39" s="78"/>
      <c r="AD39" s="152"/>
      <c r="AE39" s="152"/>
      <c r="AF39" s="152"/>
      <c r="AG39" s="78">
        <f>2*(H39+AK39)</f>
        <v>266.24</v>
      </c>
      <c r="AH39" s="152" t="s">
        <v>581</v>
      </c>
      <c r="AI39" s="156" t="s">
        <v>579</v>
      </c>
      <c r="AJ39" s="152" t="s">
        <v>575</v>
      </c>
      <c r="AK39" s="158">
        <f>75*1.024</f>
        <v>76.8</v>
      </c>
      <c r="AL39" s="154" t="s">
        <v>581</v>
      </c>
      <c r="AM39" s="156" t="s">
        <v>579</v>
      </c>
      <c r="AN39" s="152">
        <f>50/1000</f>
        <v>0.05</v>
      </c>
      <c r="AO39" s="152"/>
      <c r="AP39" s="152"/>
      <c r="AQ39" s="152"/>
      <c r="AR39" s="152"/>
      <c r="AS39" s="152"/>
      <c r="AT39" s="152"/>
      <c r="AU39" s="152"/>
      <c r="AV39" s="152"/>
      <c r="AW39" s="154">
        <v>3</v>
      </c>
      <c r="AX39" s="152" t="s">
        <v>329</v>
      </c>
      <c r="AY39" s="152"/>
      <c r="AZ39" s="152"/>
      <c r="BA39" s="152">
        <v>2</v>
      </c>
      <c r="BB39" s="152"/>
      <c r="BC39" s="152"/>
      <c r="BD39" s="152" t="s">
        <v>329</v>
      </c>
      <c r="BE39" s="152"/>
      <c r="BF39" s="152"/>
      <c r="BG39" s="152"/>
      <c r="BH39" s="152"/>
    </row>
    <row r="40" spans="1:60">
      <c r="A40" s="156" t="s">
        <v>506</v>
      </c>
      <c r="B40" s="156"/>
      <c r="C40" s="156" t="s">
        <v>326</v>
      </c>
      <c r="D40" s="11" t="s">
        <v>81</v>
      </c>
      <c r="E40" s="152" t="s">
        <v>599</v>
      </c>
      <c r="F40" s="152">
        <v>9</v>
      </c>
      <c r="G40" s="152">
        <v>12</v>
      </c>
      <c r="H40" s="78">
        <v>56.32</v>
      </c>
      <c r="I40" s="31">
        <v>16384</v>
      </c>
      <c r="J40" s="152" t="s">
        <v>581</v>
      </c>
      <c r="K40" s="156" t="s">
        <v>579</v>
      </c>
      <c r="L40" s="152">
        <v>2.6</v>
      </c>
      <c r="M40" s="78"/>
      <c r="N40" s="152"/>
      <c r="O40" s="152"/>
      <c r="P40" s="152"/>
      <c r="Q40" s="78"/>
      <c r="R40" s="152"/>
      <c r="S40" s="152"/>
      <c r="T40" s="152"/>
      <c r="U40" s="78"/>
      <c r="V40" s="152"/>
      <c r="W40" s="152"/>
      <c r="X40" s="152"/>
      <c r="Y40" s="78"/>
      <c r="Z40" s="152"/>
      <c r="AA40" s="152"/>
      <c r="AB40" s="152"/>
      <c r="AC40" s="78"/>
      <c r="AD40" s="152"/>
      <c r="AE40" s="152"/>
      <c r="AF40" s="152"/>
      <c r="AG40" s="78">
        <f>2*(H40+AK40)</f>
        <v>266.24</v>
      </c>
      <c r="AH40" s="152" t="s">
        <v>581</v>
      </c>
      <c r="AI40" s="156" t="s">
        <v>579</v>
      </c>
      <c r="AJ40" s="152" t="s">
        <v>575</v>
      </c>
      <c r="AK40" s="158">
        <f>75*1.024</f>
        <v>76.8</v>
      </c>
      <c r="AL40" s="154" t="s">
        <v>581</v>
      </c>
      <c r="AM40" s="156" t="s">
        <v>579</v>
      </c>
      <c r="AN40" s="152">
        <f>50/1000</f>
        <v>0.05</v>
      </c>
      <c r="AO40" s="152"/>
      <c r="AP40" s="152"/>
      <c r="AQ40" s="152"/>
      <c r="AR40" s="152"/>
      <c r="AS40" s="152"/>
      <c r="AT40" s="152"/>
      <c r="AU40" s="152"/>
      <c r="AV40" s="152"/>
      <c r="AW40" s="154">
        <v>3</v>
      </c>
      <c r="AX40" s="152" t="s">
        <v>329</v>
      </c>
      <c r="AY40" s="152"/>
      <c r="AZ40" s="152"/>
      <c r="BA40" s="152">
        <v>2</v>
      </c>
      <c r="BB40" s="152"/>
      <c r="BC40" s="152"/>
      <c r="BD40" s="152" t="s">
        <v>329</v>
      </c>
      <c r="BE40" s="152"/>
      <c r="BF40" s="152"/>
      <c r="BG40" s="152"/>
      <c r="BH40" s="152"/>
    </row>
    <row r="41" spans="1:60">
      <c r="A41" s="156" t="s">
        <v>507</v>
      </c>
      <c r="B41" s="156"/>
      <c r="C41" s="156" t="s">
        <v>326</v>
      </c>
      <c r="D41" s="11" t="s">
        <v>81</v>
      </c>
      <c r="E41" s="152" t="s">
        <v>599</v>
      </c>
      <c r="F41" s="152">
        <v>9</v>
      </c>
      <c r="G41" s="152">
        <v>12</v>
      </c>
      <c r="H41" s="78">
        <v>56.32</v>
      </c>
      <c r="I41" s="31">
        <v>16384</v>
      </c>
      <c r="J41" s="152" t="s">
        <v>581</v>
      </c>
      <c r="K41" s="156" t="s">
        <v>579</v>
      </c>
      <c r="L41" s="152">
        <v>2.6</v>
      </c>
      <c r="M41" s="78"/>
      <c r="N41" s="152"/>
      <c r="O41" s="152"/>
      <c r="P41" s="152"/>
      <c r="Q41" s="78"/>
      <c r="R41" s="152"/>
      <c r="S41" s="152"/>
      <c r="T41" s="152"/>
      <c r="U41" s="78"/>
      <c r="V41" s="152"/>
      <c r="W41" s="152"/>
      <c r="X41" s="152"/>
      <c r="Y41" s="78"/>
      <c r="Z41" s="152"/>
      <c r="AA41" s="152"/>
      <c r="AB41" s="152"/>
      <c r="AC41" s="78"/>
      <c r="AD41" s="152"/>
      <c r="AE41" s="152"/>
      <c r="AF41" s="152"/>
      <c r="AG41" s="78">
        <f>2*(H41+AK41)</f>
        <v>266.24</v>
      </c>
      <c r="AH41" s="152" t="s">
        <v>581</v>
      </c>
      <c r="AI41" s="156" t="s">
        <v>579</v>
      </c>
      <c r="AJ41" s="152" t="s">
        <v>575</v>
      </c>
      <c r="AK41" s="158">
        <f>75*1.024</f>
        <v>76.8</v>
      </c>
      <c r="AL41" s="154" t="s">
        <v>581</v>
      </c>
      <c r="AM41" s="156" t="s">
        <v>579</v>
      </c>
      <c r="AN41" s="152">
        <f>50/1000</f>
        <v>0.05</v>
      </c>
      <c r="AO41" s="152"/>
      <c r="AP41" s="152"/>
      <c r="AQ41" s="152"/>
      <c r="AR41" s="152"/>
      <c r="AS41" s="152"/>
      <c r="AT41" s="152"/>
      <c r="AU41" s="152"/>
      <c r="AV41" s="152"/>
      <c r="AW41" s="154">
        <v>3</v>
      </c>
      <c r="AX41" s="152" t="s">
        <v>329</v>
      </c>
      <c r="AY41" s="152"/>
      <c r="AZ41" s="152"/>
      <c r="BA41" s="152">
        <v>2</v>
      </c>
      <c r="BB41" s="152"/>
      <c r="BC41" s="152"/>
      <c r="BD41" s="152" t="s">
        <v>329</v>
      </c>
      <c r="BE41" s="152"/>
      <c r="BF41" s="152"/>
      <c r="BG41" s="152"/>
      <c r="BH41" s="152"/>
    </row>
    <row r="42" spans="1:60">
      <c r="A42" s="156" t="s">
        <v>368</v>
      </c>
      <c r="B42" s="156"/>
      <c r="C42" s="156" t="s">
        <v>326</v>
      </c>
      <c r="D42" s="11" t="s">
        <v>369</v>
      </c>
      <c r="E42" s="152" t="s">
        <v>600</v>
      </c>
      <c r="F42" s="152">
        <v>4</v>
      </c>
      <c r="G42" s="152">
        <v>4</v>
      </c>
      <c r="H42" s="78">
        <v>40.96</v>
      </c>
      <c r="I42" s="31">
        <v>4096</v>
      </c>
      <c r="J42" s="152" t="s">
        <v>581</v>
      </c>
      <c r="K42" s="156" t="s">
        <v>579</v>
      </c>
      <c r="L42" s="152">
        <v>2.6</v>
      </c>
      <c r="M42" s="78"/>
      <c r="N42" s="152"/>
      <c r="O42" s="152"/>
      <c r="P42" s="152"/>
      <c r="Q42" s="78"/>
      <c r="R42" s="152"/>
      <c r="S42" s="152"/>
      <c r="T42" s="152"/>
      <c r="U42" s="78"/>
      <c r="V42" s="152"/>
      <c r="W42" s="152"/>
      <c r="X42" s="152"/>
      <c r="Y42" s="78"/>
      <c r="Z42" s="152"/>
      <c r="AA42" s="152"/>
      <c r="AB42" s="152"/>
      <c r="AC42" s="78"/>
      <c r="AD42" s="152"/>
      <c r="AE42" s="152"/>
      <c r="AF42" s="152"/>
      <c r="AG42" s="78">
        <f t="shared" si="0"/>
        <v>81.92</v>
      </c>
      <c r="AH42" s="152" t="s">
        <v>581</v>
      </c>
      <c r="AI42" s="156" t="s">
        <v>579</v>
      </c>
      <c r="AJ42" s="152" t="s">
        <v>575</v>
      </c>
      <c r="AK42" s="82"/>
      <c r="AL42" s="154"/>
      <c r="AM42" s="154"/>
      <c r="AN42" s="154"/>
      <c r="AO42" s="154"/>
      <c r="AP42" s="154"/>
      <c r="AQ42" s="154"/>
      <c r="AR42" s="154"/>
      <c r="AS42" s="154"/>
      <c r="AT42" s="154"/>
      <c r="AU42" s="154"/>
      <c r="AV42" s="154"/>
      <c r="AW42" s="154">
        <v>2</v>
      </c>
      <c r="AX42" s="152" t="s">
        <v>329</v>
      </c>
      <c r="AY42" s="152"/>
      <c r="AZ42" s="152"/>
      <c r="BA42" s="152">
        <v>2</v>
      </c>
      <c r="BB42" s="152"/>
      <c r="BC42" s="152"/>
      <c r="BD42" s="152" t="s">
        <v>329</v>
      </c>
      <c r="BE42" s="152"/>
      <c r="BF42" s="152"/>
      <c r="BG42" s="152"/>
      <c r="BH42" s="152"/>
    </row>
    <row r="43" spans="1:60">
      <c r="A43" s="156" t="s">
        <v>370</v>
      </c>
      <c r="B43" s="156"/>
      <c r="C43" s="156" t="s">
        <v>326</v>
      </c>
      <c r="D43" s="11" t="s">
        <v>371</v>
      </c>
      <c r="E43" s="152" t="s">
        <v>600</v>
      </c>
      <c r="F43" s="152">
        <v>4</v>
      </c>
      <c r="G43" s="152">
        <v>4</v>
      </c>
      <c r="H43" s="78">
        <v>40.96</v>
      </c>
      <c r="I43" s="31">
        <v>4096</v>
      </c>
      <c r="J43" s="152" t="s">
        <v>581</v>
      </c>
      <c r="K43" s="156" t="s">
        <v>579</v>
      </c>
      <c r="L43" s="152">
        <v>2.6</v>
      </c>
      <c r="M43" s="78"/>
      <c r="N43" s="152"/>
      <c r="O43" s="152"/>
      <c r="P43" s="152"/>
      <c r="Q43" s="78"/>
      <c r="R43" s="152"/>
      <c r="S43" s="152"/>
      <c r="T43" s="152"/>
      <c r="U43" s="78"/>
      <c r="V43" s="152"/>
      <c r="W43" s="152"/>
      <c r="X43" s="152"/>
      <c r="Y43" s="78"/>
      <c r="Z43" s="152"/>
      <c r="AA43" s="152"/>
      <c r="AB43" s="152"/>
      <c r="AC43" s="78"/>
      <c r="AD43" s="152"/>
      <c r="AE43" s="152"/>
      <c r="AF43" s="152"/>
      <c r="AG43" s="78">
        <f t="shared" si="0"/>
        <v>81.92</v>
      </c>
      <c r="AH43" s="152" t="s">
        <v>581</v>
      </c>
      <c r="AI43" s="13" t="s">
        <v>579</v>
      </c>
      <c r="AJ43" s="8" t="s">
        <v>575</v>
      </c>
      <c r="AK43" s="83"/>
      <c r="AL43" s="36"/>
      <c r="AM43" s="36"/>
      <c r="AN43" s="36"/>
      <c r="AO43" s="36"/>
      <c r="AP43" s="36"/>
      <c r="AQ43" s="36"/>
      <c r="AR43" s="36"/>
      <c r="AS43" s="36"/>
      <c r="AT43" s="36"/>
      <c r="AU43" s="36"/>
      <c r="AV43" s="36"/>
      <c r="AW43" s="36">
        <v>2</v>
      </c>
      <c r="AX43" s="8" t="s">
        <v>329</v>
      </c>
      <c r="AY43" s="8"/>
      <c r="AZ43" s="8"/>
      <c r="BA43" s="8">
        <v>2</v>
      </c>
      <c r="BB43" s="8"/>
      <c r="BC43" s="8"/>
      <c r="BD43" s="8" t="s">
        <v>329</v>
      </c>
      <c r="BE43" s="8"/>
      <c r="BF43" s="8"/>
      <c r="BG43" s="8"/>
      <c r="BH43" s="8"/>
    </row>
    <row r="44" spans="1:60">
      <c r="A44" s="10"/>
      <c r="B44" s="10"/>
      <c r="C44" s="10"/>
      <c r="D44" s="10"/>
      <c r="E44" s="9"/>
      <c r="F44" s="9">
        <f>SUM(F8:F43)</f>
        <v>241</v>
      </c>
      <c r="G44" s="9">
        <f>SUM(G8:G43)</f>
        <v>741</v>
      </c>
      <c r="H44" s="80">
        <f>SUM(H8:H43)</f>
        <v>3255.6300000000006</v>
      </c>
      <c r="I44" s="80"/>
      <c r="J44" s="9"/>
      <c r="K44" s="9"/>
      <c r="L44" s="9">
        <f>SUM(L8:L43)</f>
        <v>401.20000000000016</v>
      </c>
      <c r="M44" s="80">
        <f>SUM(M8:M43)</f>
        <v>471.04</v>
      </c>
      <c r="N44" s="9"/>
      <c r="O44" s="9"/>
      <c r="P44" s="9">
        <f>SUM(P8:P43)</f>
        <v>0.05</v>
      </c>
      <c r="Q44" s="80">
        <f>SUM(Q8:Q43)</f>
        <v>15564.8</v>
      </c>
      <c r="R44" s="9"/>
      <c r="S44" s="9"/>
      <c r="T44" s="9">
        <f>SUM(T8:T43)</f>
        <v>0.05</v>
      </c>
      <c r="U44" s="80">
        <f>SUM(U8:U43)</f>
        <v>16998.400000000001</v>
      </c>
      <c r="V44" s="9"/>
      <c r="W44" s="9"/>
      <c r="X44" s="9">
        <f>SUM(X8:X43)</f>
        <v>0.05</v>
      </c>
      <c r="Y44" s="80">
        <f>SUM(Y8:Y43)</f>
        <v>1280</v>
      </c>
      <c r="Z44" s="9"/>
      <c r="AA44" s="9"/>
      <c r="AB44" s="9">
        <f>SUM(AB8:AB43)</f>
        <v>0.1</v>
      </c>
      <c r="AC44" s="80">
        <f>SUM(AC8:AC43)</f>
        <v>276.48</v>
      </c>
      <c r="AD44" s="9"/>
      <c r="AE44" s="9"/>
      <c r="AF44" s="9">
        <f>SUM(AF8:AF43)</f>
        <v>0</v>
      </c>
      <c r="AG44" s="80">
        <f>SUM(AG8:AG43)</f>
        <v>38891.100000000013</v>
      </c>
      <c r="AH44" s="9"/>
      <c r="AI44" s="152"/>
      <c r="AJ44" s="152"/>
      <c r="AK44" s="78">
        <f>SUM(AK8:AK43)</f>
        <v>307.2</v>
      </c>
      <c r="AL44" s="152"/>
      <c r="AM44" s="152"/>
      <c r="AN44" s="152">
        <f>SUM(AN8:AN43)</f>
        <v>0.2</v>
      </c>
      <c r="AO44" s="152"/>
      <c r="AP44" s="152"/>
      <c r="AQ44" s="152"/>
      <c r="AR44" s="152">
        <f>50/1000</f>
        <v>0.05</v>
      </c>
      <c r="AS44" s="152"/>
      <c r="AT44" s="152"/>
      <c r="AU44" s="152"/>
      <c r="AV44" s="152"/>
      <c r="AW44" s="152">
        <f>SUM(AW8:AW43)</f>
        <v>107</v>
      </c>
      <c r="AX44" s="152">
        <f>COUNTIF(AX8:AX43,"x")</f>
        <v>35</v>
      </c>
      <c r="AY44" s="152">
        <v>2</v>
      </c>
      <c r="AZ44" s="152">
        <v>1</v>
      </c>
      <c r="BA44" s="152">
        <f>SUM(BA9:BA43)</f>
        <v>70</v>
      </c>
      <c r="BB44" s="152">
        <v>1</v>
      </c>
      <c r="BC44" s="152">
        <f>COUNTIF(BC8:BC43,"x")</f>
        <v>0</v>
      </c>
      <c r="BD44" s="152">
        <f>COUNTIF(BD8:BD43,"x")</f>
        <v>35</v>
      </c>
      <c r="BE44" s="152" t="s">
        <v>601</v>
      </c>
      <c r="BF44" s="152">
        <v>2</v>
      </c>
      <c r="BG44" s="152">
        <v>4</v>
      </c>
      <c r="BH44" s="152">
        <v>2</v>
      </c>
    </row>
    <row r="45" spans="1:60">
      <c r="A45" s="156"/>
      <c r="B45" s="156"/>
      <c r="C45" s="156"/>
      <c r="D45" s="156"/>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2"/>
      <c r="AH45" s="152"/>
      <c r="AI45" s="152"/>
      <c r="AJ45" s="152"/>
      <c r="AK45" s="156"/>
      <c r="AL45" s="156"/>
      <c r="AM45" s="156"/>
      <c r="AN45" s="156"/>
      <c r="AO45" s="156"/>
      <c r="AP45" s="156"/>
      <c r="AQ45" s="156"/>
      <c r="AR45" s="156"/>
      <c r="AS45" s="156"/>
      <c r="AT45" s="156"/>
      <c r="AU45" s="156"/>
      <c r="AV45" s="156"/>
      <c r="AW45" s="152"/>
      <c r="AX45" s="156"/>
      <c r="AY45" s="156"/>
      <c r="AZ45" s="156"/>
      <c r="BA45" s="156"/>
      <c r="BB45" s="156"/>
      <c r="BC45" s="156"/>
      <c r="BD45" s="156"/>
      <c r="BE45" s="156"/>
      <c r="BF45" s="156"/>
      <c r="BG45" s="156"/>
      <c r="BH45" s="156"/>
    </row>
    <row r="46" spans="1:60">
      <c r="A46" s="156"/>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2"/>
      <c r="AX46" s="156"/>
      <c r="AY46" s="156"/>
      <c r="AZ46" s="156"/>
      <c r="BA46" s="156"/>
      <c r="BB46" s="156"/>
      <c r="BC46" s="156"/>
      <c r="BD46" s="156"/>
      <c r="BE46" s="156"/>
      <c r="BF46" s="156"/>
      <c r="BG46" s="156"/>
      <c r="BH46" s="156"/>
    </row>
    <row r="47" spans="1:60">
      <c r="A47" s="7" t="s">
        <v>602</v>
      </c>
      <c r="B47" s="35"/>
      <c r="C47" s="35"/>
      <c r="D47" s="35"/>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56"/>
      <c r="AR47" s="156"/>
      <c r="AS47" s="156"/>
      <c r="AT47" s="156"/>
      <c r="AU47" s="156"/>
      <c r="AV47" s="156"/>
      <c r="AW47" s="152"/>
      <c r="AX47" s="156"/>
      <c r="AY47" s="156"/>
      <c r="AZ47" s="156"/>
      <c r="BA47" s="156"/>
      <c r="BB47" s="156"/>
      <c r="BC47" s="156"/>
      <c r="BD47" s="156"/>
      <c r="BE47" s="156"/>
      <c r="BF47" s="156"/>
      <c r="BG47" s="156"/>
      <c r="BH47" s="156"/>
    </row>
    <row r="48" spans="1:60">
      <c r="A48" s="35"/>
      <c r="B48" s="35"/>
      <c r="C48" s="35"/>
      <c r="D48" s="35"/>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2"/>
      <c r="AX48" s="156"/>
      <c r="AY48" s="156"/>
      <c r="AZ48" s="156"/>
      <c r="BA48" s="156"/>
      <c r="BB48" s="156"/>
      <c r="BC48" s="156"/>
      <c r="BD48" s="156"/>
      <c r="BE48" s="156"/>
      <c r="BF48" s="156"/>
      <c r="BG48" s="156"/>
      <c r="BH48" s="156"/>
    </row>
    <row r="49" spans="1:62">
      <c r="A49" s="35" t="s">
        <v>381</v>
      </c>
      <c r="B49" s="35"/>
      <c r="C49" s="156" t="s">
        <v>326</v>
      </c>
      <c r="D49" s="35" t="s">
        <v>10</v>
      </c>
      <c r="E49" s="152" t="s">
        <v>603</v>
      </c>
      <c r="F49" s="154">
        <v>16</v>
      </c>
      <c r="G49" s="154">
        <v>64</v>
      </c>
      <c r="H49" s="154">
        <v>71.680000000000007</v>
      </c>
      <c r="I49" s="31">
        <v>16384</v>
      </c>
      <c r="J49" s="154" t="s">
        <v>581</v>
      </c>
      <c r="K49" s="156" t="s">
        <v>579</v>
      </c>
      <c r="L49" s="152">
        <v>2.6</v>
      </c>
      <c r="M49" s="35"/>
      <c r="N49" s="35"/>
      <c r="O49" s="35"/>
      <c r="P49" s="35"/>
      <c r="Q49" s="35"/>
      <c r="R49" s="35"/>
      <c r="S49" s="35"/>
      <c r="T49" s="35"/>
      <c r="U49" s="35"/>
      <c r="V49" s="35"/>
      <c r="W49" s="35"/>
      <c r="X49" s="35"/>
      <c r="Y49" s="35"/>
      <c r="Z49" s="35"/>
      <c r="AA49" s="35"/>
      <c r="AB49" s="35"/>
      <c r="AC49" s="35"/>
      <c r="AD49" s="35"/>
      <c r="AE49" s="35"/>
      <c r="AF49" s="35"/>
      <c r="AG49" s="154">
        <f t="shared" ref="AG49:AG72" si="1">2*H49</f>
        <v>143.36000000000001</v>
      </c>
      <c r="AH49" s="154" t="s">
        <v>581</v>
      </c>
      <c r="AI49" s="156" t="s">
        <v>579</v>
      </c>
      <c r="AJ49" s="152" t="s">
        <v>575</v>
      </c>
      <c r="AK49" s="35"/>
      <c r="AL49" s="35"/>
      <c r="AM49" s="35"/>
      <c r="AN49" s="35"/>
      <c r="AO49" s="35"/>
      <c r="AP49" s="35"/>
      <c r="AQ49" s="35"/>
      <c r="AR49" s="35"/>
      <c r="AS49" s="35"/>
      <c r="AT49" s="35"/>
      <c r="AU49" s="35"/>
      <c r="AV49" s="35"/>
      <c r="AW49" s="154">
        <v>2</v>
      </c>
      <c r="AX49" s="154" t="s">
        <v>329</v>
      </c>
      <c r="AY49" s="154"/>
      <c r="AZ49" s="154"/>
      <c r="BA49" s="154">
        <v>2</v>
      </c>
      <c r="BB49" s="154"/>
      <c r="BC49" s="154" t="s">
        <v>329</v>
      </c>
      <c r="BD49" s="154" t="s">
        <v>329</v>
      </c>
      <c r="BE49" s="154"/>
      <c r="BF49" s="154"/>
      <c r="BG49" s="154"/>
      <c r="BH49" s="154"/>
      <c r="BI49" s="35"/>
      <c r="BJ49" s="35"/>
    </row>
    <row r="50" spans="1:62">
      <c r="A50" s="35" t="s">
        <v>382</v>
      </c>
      <c r="B50" s="35"/>
      <c r="C50" s="39" t="s">
        <v>362</v>
      </c>
      <c r="D50" s="156" t="s">
        <v>75</v>
      </c>
      <c r="E50" s="152" t="s">
        <v>596</v>
      </c>
      <c r="F50" s="154">
        <v>4</v>
      </c>
      <c r="G50" s="154">
        <v>4</v>
      </c>
      <c r="H50" s="78">
        <v>102.4</v>
      </c>
      <c r="I50" s="31">
        <v>0</v>
      </c>
      <c r="J50" s="152" t="s">
        <v>578</v>
      </c>
      <c r="K50" s="156" t="s">
        <v>579</v>
      </c>
      <c r="L50" s="152">
        <v>100</v>
      </c>
      <c r="M50" s="35"/>
      <c r="N50" s="35"/>
      <c r="O50" s="35"/>
      <c r="P50" s="35"/>
      <c r="Q50" s="35"/>
      <c r="R50" s="35"/>
      <c r="S50" s="35"/>
      <c r="T50" s="35"/>
      <c r="U50" s="35"/>
      <c r="V50" s="35"/>
      <c r="W50" s="35"/>
      <c r="X50" s="35"/>
      <c r="Y50" s="35"/>
      <c r="Z50" s="35"/>
      <c r="AA50" s="35"/>
      <c r="AB50" s="35"/>
      <c r="AC50" s="35"/>
      <c r="AD50" s="35"/>
      <c r="AE50" s="35"/>
      <c r="AF50" s="35"/>
      <c r="AG50" s="154">
        <f t="shared" si="1"/>
        <v>204.8</v>
      </c>
      <c r="AH50" s="154" t="s">
        <v>581</v>
      </c>
      <c r="AI50" s="156" t="s">
        <v>579</v>
      </c>
      <c r="AJ50" s="152" t="s">
        <v>575</v>
      </c>
      <c r="AK50" s="35"/>
      <c r="AL50" s="35"/>
      <c r="AM50" s="35"/>
      <c r="AN50" s="35"/>
      <c r="AO50" s="35"/>
      <c r="AP50" s="35"/>
      <c r="AQ50" s="35"/>
      <c r="AR50" s="35"/>
      <c r="AS50" s="35"/>
      <c r="AT50" s="35"/>
      <c r="AU50" s="35"/>
      <c r="AV50" s="35"/>
      <c r="AW50" s="154">
        <v>4</v>
      </c>
      <c r="AX50" s="154" t="s">
        <v>329</v>
      </c>
      <c r="AY50" s="154"/>
      <c r="AZ50" s="154"/>
      <c r="BA50" s="154">
        <v>2</v>
      </c>
      <c r="BB50" s="154"/>
      <c r="BC50" s="154" t="s">
        <v>329</v>
      </c>
      <c r="BD50" s="154" t="s">
        <v>329</v>
      </c>
      <c r="BE50" s="154"/>
      <c r="BF50" s="154"/>
      <c r="BG50" s="154"/>
      <c r="BH50" s="154"/>
      <c r="BI50" s="35"/>
      <c r="BJ50" s="35"/>
    </row>
    <row r="51" spans="1:62">
      <c r="A51" s="35" t="s">
        <v>383</v>
      </c>
      <c r="B51" s="35"/>
      <c r="C51" s="39" t="s">
        <v>362</v>
      </c>
      <c r="D51" s="156" t="s">
        <v>79</v>
      </c>
      <c r="E51" s="152" t="s">
        <v>597</v>
      </c>
      <c r="F51" s="154">
        <v>4</v>
      </c>
      <c r="G51" s="154">
        <v>16</v>
      </c>
      <c r="H51" s="78">
        <v>102.4</v>
      </c>
      <c r="I51" s="31">
        <v>0</v>
      </c>
      <c r="J51" s="152" t="s">
        <v>578</v>
      </c>
      <c r="K51" s="156" t="s">
        <v>579</v>
      </c>
      <c r="L51" s="152">
        <v>110</v>
      </c>
      <c r="M51" s="35"/>
      <c r="N51" s="35"/>
      <c r="O51" s="35"/>
      <c r="P51" s="35"/>
      <c r="Q51" s="35"/>
      <c r="R51" s="35"/>
      <c r="S51" s="35"/>
      <c r="T51" s="35"/>
      <c r="U51" s="35"/>
      <c r="V51" s="35"/>
      <c r="W51" s="35"/>
      <c r="X51" s="35"/>
      <c r="Y51" s="35"/>
      <c r="Z51" s="35"/>
      <c r="AA51" s="35"/>
      <c r="AB51" s="35"/>
      <c r="AC51" s="35"/>
      <c r="AD51" s="35"/>
      <c r="AE51" s="35"/>
      <c r="AF51" s="35"/>
      <c r="AG51" s="154">
        <f t="shared" si="1"/>
        <v>204.8</v>
      </c>
      <c r="AH51" s="154" t="s">
        <v>581</v>
      </c>
      <c r="AI51" s="156" t="s">
        <v>579</v>
      </c>
      <c r="AJ51" s="152" t="s">
        <v>575</v>
      </c>
      <c r="AK51" s="35"/>
      <c r="AL51" s="35"/>
      <c r="AM51" s="35"/>
      <c r="AN51" s="35"/>
      <c r="AO51" s="35"/>
      <c r="AP51" s="35"/>
      <c r="AQ51" s="35"/>
      <c r="AR51" s="35"/>
      <c r="AS51" s="35"/>
      <c r="AT51" s="35"/>
      <c r="AU51" s="35"/>
      <c r="AV51" s="35"/>
      <c r="AW51" s="154">
        <v>4</v>
      </c>
      <c r="AX51" s="154" t="s">
        <v>329</v>
      </c>
      <c r="AY51" s="154"/>
      <c r="AZ51" s="154"/>
      <c r="BA51" s="154">
        <v>2</v>
      </c>
      <c r="BB51" s="154"/>
      <c r="BC51" s="154" t="s">
        <v>329</v>
      </c>
      <c r="BD51" s="154" t="s">
        <v>329</v>
      </c>
      <c r="BE51" s="154"/>
      <c r="BF51" s="154"/>
      <c r="BG51" s="154"/>
      <c r="BH51" s="154"/>
      <c r="BI51" s="35"/>
      <c r="BJ51" s="35"/>
    </row>
    <row r="52" spans="1:62">
      <c r="A52" s="35" t="s">
        <v>384</v>
      </c>
      <c r="B52" s="35"/>
      <c r="C52" s="39" t="s">
        <v>362</v>
      </c>
      <c r="D52" s="156" t="s">
        <v>79</v>
      </c>
      <c r="E52" s="152" t="s">
        <v>597</v>
      </c>
      <c r="F52" s="154">
        <v>4</v>
      </c>
      <c r="G52" s="154">
        <v>16</v>
      </c>
      <c r="H52" s="78">
        <v>102.4</v>
      </c>
      <c r="I52" s="31">
        <v>0</v>
      </c>
      <c r="J52" s="152" t="s">
        <v>578</v>
      </c>
      <c r="K52" s="156" t="s">
        <v>579</v>
      </c>
      <c r="L52" s="152">
        <v>110</v>
      </c>
      <c r="M52" s="35"/>
      <c r="N52" s="35"/>
      <c r="O52" s="35"/>
      <c r="P52" s="35"/>
      <c r="Q52" s="35"/>
      <c r="R52" s="35"/>
      <c r="S52" s="35"/>
      <c r="T52" s="35"/>
      <c r="U52" s="35"/>
      <c r="V52" s="35"/>
      <c r="W52" s="35"/>
      <c r="X52" s="35"/>
      <c r="Y52" s="35"/>
      <c r="Z52" s="35"/>
      <c r="AA52" s="35"/>
      <c r="AB52" s="35"/>
      <c r="AC52" s="35"/>
      <c r="AD52" s="35"/>
      <c r="AE52" s="35"/>
      <c r="AF52" s="35"/>
      <c r="AG52" s="154">
        <f t="shared" si="1"/>
        <v>204.8</v>
      </c>
      <c r="AH52" s="154" t="s">
        <v>581</v>
      </c>
      <c r="AI52" s="156" t="s">
        <v>579</v>
      </c>
      <c r="AJ52" s="152" t="s">
        <v>575</v>
      </c>
      <c r="AK52" s="35"/>
      <c r="AL52" s="35"/>
      <c r="AM52" s="35"/>
      <c r="AN52" s="35"/>
      <c r="AO52" s="35"/>
      <c r="AP52" s="35"/>
      <c r="AQ52" s="35"/>
      <c r="AR52" s="35"/>
      <c r="AS52" s="35"/>
      <c r="AT52" s="35"/>
      <c r="AU52" s="35"/>
      <c r="AV52" s="35"/>
      <c r="AW52" s="154">
        <v>4</v>
      </c>
      <c r="AX52" s="154" t="s">
        <v>329</v>
      </c>
      <c r="AY52" s="154"/>
      <c r="AZ52" s="154"/>
      <c r="BA52" s="154">
        <v>2</v>
      </c>
      <c r="BB52" s="154"/>
      <c r="BC52" s="154" t="s">
        <v>329</v>
      </c>
      <c r="BD52" s="154" t="s">
        <v>329</v>
      </c>
      <c r="BE52" s="154"/>
      <c r="BF52" s="154"/>
      <c r="BG52" s="154"/>
      <c r="BH52" s="154"/>
      <c r="BI52" s="35"/>
      <c r="BJ52" s="35"/>
    </row>
    <row r="53" spans="1:62">
      <c r="A53" s="35" t="s">
        <v>494</v>
      </c>
      <c r="B53" s="35"/>
      <c r="C53" s="39" t="s">
        <v>362</v>
      </c>
      <c r="D53" s="156" t="s">
        <v>79</v>
      </c>
      <c r="E53" s="152" t="s">
        <v>597</v>
      </c>
      <c r="F53" s="154">
        <v>4</v>
      </c>
      <c r="G53" s="154">
        <v>16</v>
      </c>
      <c r="H53" s="78">
        <v>102.4</v>
      </c>
      <c r="I53" s="31">
        <v>0</v>
      </c>
      <c r="J53" s="152" t="s">
        <v>578</v>
      </c>
      <c r="K53" s="156" t="s">
        <v>579</v>
      </c>
      <c r="L53" s="152">
        <v>110</v>
      </c>
      <c r="M53" s="35"/>
      <c r="N53" s="35"/>
      <c r="O53" s="35"/>
      <c r="P53" s="35"/>
      <c r="Q53" s="35"/>
      <c r="R53" s="35"/>
      <c r="S53" s="35"/>
      <c r="T53" s="35"/>
      <c r="U53" s="35"/>
      <c r="V53" s="35"/>
      <c r="W53" s="35"/>
      <c r="X53" s="35"/>
      <c r="Y53" s="35"/>
      <c r="Z53" s="35"/>
      <c r="AA53" s="35"/>
      <c r="AB53" s="35"/>
      <c r="AC53" s="35"/>
      <c r="AD53" s="35"/>
      <c r="AE53" s="35"/>
      <c r="AF53" s="35"/>
      <c r="AG53" s="154">
        <f t="shared" si="1"/>
        <v>204.8</v>
      </c>
      <c r="AH53" s="154" t="s">
        <v>581</v>
      </c>
      <c r="AI53" s="156" t="s">
        <v>579</v>
      </c>
      <c r="AJ53" s="152" t="s">
        <v>575</v>
      </c>
      <c r="AK53" s="35"/>
      <c r="AL53" s="35"/>
      <c r="AM53" s="35"/>
      <c r="AN53" s="35"/>
      <c r="AO53" s="35"/>
      <c r="AP53" s="35"/>
      <c r="AQ53" s="35"/>
      <c r="AR53" s="35"/>
      <c r="AS53" s="35"/>
      <c r="AT53" s="35"/>
      <c r="AU53" s="35"/>
      <c r="AV53" s="35"/>
      <c r="AW53" s="154">
        <v>4</v>
      </c>
      <c r="AX53" s="154" t="s">
        <v>329</v>
      </c>
      <c r="AY53" s="154"/>
      <c r="AZ53" s="154"/>
      <c r="BA53" s="154">
        <v>2</v>
      </c>
      <c r="BB53" s="154"/>
      <c r="BC53" s="154" t="s">
        <v>329</v>
      </c>
      <c r="BD53" s="154" t="s">
        <v>329</v>
      </c>
      <c r="BE53" s="154"/>
      <c r="BF53" s="154"/>
      <c r="BG53" s="154"/>
      <c r="BH53" s="154"/>
      <c r="BI53" s="35"/>
      <c r="BJ53" s="35"/>
    </row>
    <row r="54" spans="1:62">
      <c r="A54" s="35" t="s">
        <v>495</v>
      </c>
      <c r="B54" s="35"/>
      <c r="C54" s="39" t="s">
        <v>362</v>
      </c>
      <c r="D54" s="156" t="s">
        <v>79</v>
      </c>
      <c r="E54" s="152" t="s">
        <v>597</v>
      </c>
      <c r="F54" s="154">
        <v>4</v>
      </c>
      <c r="G54" s="154">
        <v>16</v>
      </c>
      <c r="H54" s="78">
        <v>102.4</v>
      </c>
      <c r="I54" s="31">
        <v>0</v>
      </c>
      <c r="J54" s="152" t="s">
        <v>578</v>
      </c>
      <c r="K54" s="156" t="s">
        <v>579</v>
      </c>
      <c r="L54" s="152">
        <v>110</v>
      </c>
      <c r="M54" s="35"/>
      <c r="N54" s="35"/>
      <c r="O54" s="35"/>
      <c r="P54" s="35"/>
      <c r="Q54" s="35"/>
      <c r="R54" s="35"/>
      <c r="S54" s="35"/>
      <c r="T54" s="35"/>
      <c r="U54" s="35"/>
      <c r="V54" s="35"/>
      <c r="W54" s="35"/>
      <c r="X54" s="35"/>
      <c r="Y54" s="35"/>
      <c r="Z54" s="35"/>
      <c r="AA54" s="35"/>
      <c r="AB54" s="35"/>
      <c r="AC54" s="35"/>
      <c r="AD54" s="35"/>
      <c r="AE54" s="35"/>
      <c r="AF54" s="35"/>
      <c r="AG54" s="154">
        <f t="shared" si="1"/>
        <v>204.8</v>
      </c>
      <c r="AH54" s="154" t="s">
        <v>581</v>
      </c>
      <c r="AI54" s="156" t="s">
        <v>579</v>
      </c>
      <c r="AJ54" s="152" t="s">
        <v>575</v>
      </c>
      <c r="AK54" s="35"/>
      <c r="AL54" s="35"/>
      <c r="AM54" s="35"/>
      <c r="AN54" s="35"/>
      <c r="AO54" s="35"/>
      <c r="AP54" s="35"/>
      <c r="AQ54" s="35"/>
      <c r="AR54" s="35"/>
      <c r="AS54" s="35"/>
      <c r="AT54" s="35"/>
      <c r="AU54" s="35"/>
      <c r="AV54" s="35"/>
      <c r="AW54" s="154">
        <v>4</v>
      </c>
      <c r="AX54" s="154" t="s">
        <v>329</v>
      </c>
      <c r="AY54" s="154"/>
      <c r="AZ54" s="154"/>
      <c r="BA54" s="154">
        <v>2</v>
      </c>
      <c r="BB54" s="154"/>
      <c r="BC54" s="154" t="s">
        <v>329</v>
      </c>
      <c r="BD54" s="154" t="s">
        <v>329</v>
      </c>
      <c r="BE54" s="154"/>
      <c r="BF54" s="154"/>
      <c r="BG54" s="154"/>
      <c r="BH54" s="154"/>
      <c r="BI54" s="35"/>
      <c r="BJ54" s="35"/>
    </row>
    <row r="55" spans="1:62">
      <c r="A55" s="35" t="s">
        <v>513</v>
      </c>
      <c r="B55" s="35"/>
      <c r="C55" s="39" t="s">
        <v>362</v>
      </c>
      <c r="D55" s="156" t="s">
        <v>79</v>
      </c>
      <c r="E55" s="152" t="s">
        <v>597</v>
      </c>
      <c r="F55" s="154">
        <v>4</v>
      </c>
      <c r="G55" s="154">
        <v>16</v>
      </c>
      <c r="H55" s="78">
        <v>102.4</v>
      </c>
      <c r="I55" s="31">
        <v>0</v>
      </c>
      <c r="J55" s="152" t="s">
        <v>578</v>
      </c>
      <c r="K55" s="156" t="s">
        <v>579</v>
      </c>
      <c r="L55" s="152">
        <v>110</v>
      </c>
      <c r="M55" s="35"/>
      <c r="N55" s="35"/>
      <c r="O55" s="35"/>
      <c r="P55" s="35"/>
      <c r="Q55" s="35"/>
      <c r="R55" s="35"/>
      <c r="S55" s="35"/>
      <c r="T55" s="35"/>
      <c r="U55" s="35"/>
      <c r="V55" s="35"/>
      <c r="W55" s="35"/>
      <c r="X55" s="35"/>
      <c r="Y55" s="35"/>
      <c r="Z55" s="35"/>
      <c r="AA55" s="35"/>
      <c r="AB55" s="35"/>
      <c r="AC55" s="35"/>
      <c r="AD55" s="35"/>
      <c r="AE55" s="35"/>
      <c r="AF55" s="35"/>
      <c r="AG55" s="154">
        <f t="shared" si="1"/>
        <v>204.8</v>
      </c>
      <c r="AH55" s="154" t="s">
        <v>581</v>
      </c>
      <c r="AI55" s="156" t="s">
        <v>579</v>
      </c>
      <c r="AJ55" s="152" t="s">
        <v>575</v>
      </c>
      <c r="AK55" s="35"/>
      <c r="AL55" s="35"/>
      <c r="AM55" s="35"/>
      <c r="AN55" s="35"/>
      <c r="AO55" s="35"/>
      <c r="AP55" s="35"/>
      <c r="AQ55" s="35"/>
      <c r="AR55" s="35"/>
      <c r="AS55" s="35"/>
      <c r="AT55" s="35"/>
      <c r="AU55" s="35"/>
      <c r="AV55" s="35"/>
      <c r="AW55" s="154">
        <v>4</v>
      </c>
      <c r="AX55" s="154" t="s">
        <v>329</v>
      </c>
      <c r="AY55" s="154"/>
      <c r="AZ55" s="154"/>
      <c r="BA55" s="154">
        <v>2</v>
      </c>
      <c r="BB55" s="154"/>
      <c r="BC55" s="154" t="s">
        <v>329</v>
      </c>
      <c r="BD55" s="154" t="s">
        <v>329</v>
      </c>
      <c r="BE55" s="154"/>
      <c r="BF55" s="154"/>
      <c r="BG55" s="154"/>
      <c r="BH55" s="154"/>
      <c r="BI55" s="35"/>
      <c r="BJ55" s="35"/>
    </row>
    <row r="56" spans="1:62">
      <c r="A56" s="35" t="s">
        <v>514</v>
      </c>
      <c r="B56" s="35"/>
      <c r="C56" s="39" t="s">
        <v>362</v>
      </c>
      <c r="D56" s="156" t="s">
        <v>79</v>
      </c>
      <c r="E56" s="152" t="s">
        <v>597</v>
      </c>
      <c r="F56" s="154">
        <v>4</v>
      </c>
      <c r="G56" s="154">
        <v>16</v>
      </c>
      <c r="H56" s="78">
        <v>102.4</v>
      </c>
      <c r="I56" s="31">
        <v>0</v>
      </c>
      <c r="J56" s="152" t="s">
        <v>578</v>
      </c>
      <c r="K56" s="156" t="s">
        <v>579</v>
      </c>
      <c r="L56" s="152">
        <v>110</v>
      </c>
      <c r="M56" s="35"/>
      <c r="N56" s="35"/>
      <c r="O56" s="35"/>
      <c r="P56" s="35"/>
      <c r="Q56" s="35"/>
      <c r="R56" s="35"/>
      <c r="S56" s="35"/>
      <c r="T56" s="35"/>
      <c r="U56" s="35"/>
      <c r="V56" s="35"/>
      <c r="W56" s="35"/>
      <c r="X56" s="35"/>
      <c r="Y56" s="35"/>
      <c r="Z56" s="35"/>
      <c r="AA56" s="35"/>
      <c r="AB56" s="35"/>
      <c r="AC56" s="35"/>
      <c r="AD56" s="35"/>
      <c r="AE56" s="35"/>
      <c r="AF56" s="35"/>
      <c r="AG56" s="154">
        <f t="shared" si="1"/>
        <v>204.8</v>
      </c>
      <c r="AH56" s="154" t="s">
        <v>581</v>
      </c>
      <c r="AI56" s="156" t="s">
        <v>579</v>
      </c>
      <c r="AJ56" s="152" t="s">
        <v>575</v>
      </c>
      <c r="AK56" s="35"/>
      <c r="AL56" s="35"/>
      <c r="AM56" s="35"/>
      <c r="AN56" s="35"/>
      <c r="AO56" s="35"/>
      <c r="AP56" s="35"/>
      <c r="AQ56" s="35"/>
      <c r="AR56" s="35"/>
      <c r="AS56" s="35"/>
      <c r="AT56" s="35"/>
      <c r="AU56" s="35"/>
      <c r="AV56" s="35"/>
      <c r="AW56" s="154">
        <v>4</v>
      </c>
      <c r="AX56" s="154" t="s">
        <v>329</v>
      </c>
      <c r="AY56" s="154"/>
      <c r="AZ56" s="154"/>
      <c r="BA56" s="154">
        <v>2</v>
      </c>
      <c r="BB56" s="154"/>
      <c r="BC56" s="154" t="s">
        <v>329</v>
      </c>
      <c r="BD56" s="154" t="s">
        <v>329</v>
      </c>
      <c r="BE56" s="154"/>
      <c r="BF56" s="154"/>
      <c r="BG56" s="154"/>
      <c r="BH56" s="154"/>
      <c r="BI56" s="35"/>
      <c r="BJ56" s="35"/>
    </row>
    <row r="57" spans="1:62">
      <c r="A57" s="35" t="s">
        <v>515</v>
      </c>
      <c r="B57" s="35"/>
      <c r="C57" s="39" t="s">
        <v>362</v>
      </c>
      <c r="D57" s="156" t="s">
        <v>79</v>
      </c>
      <c r="E57" s="152" t="s">
        <v>597</v>
      </c>
      <c r="F57" s="154">
        <v>4</v>
      </c>
      <c r="G57" s="154">
        <v>16</v>
      </c>
      <c r="H57" s="78">
        <v>102.4</v>
      </c>
      <c r="I57" s="31">
        <v>0</v>
      </c>
      <c r="J57" s="152" t="s">
        <v>578</v>
      </c>
      <c r="K57" s="156" t="s">
        <v>579</v>
      </c>
      <c r="L57" s="152">
        <v>110</v>
      </c>
      <c r="M57" s="35"/>
      <c r="N57" s="35"/>
      <c r="O57" s="35"/>
      <c r="P57" s="35"/>
      <c r="Q57" s="35"/>
      <c r="R57" s="35"/>
      <c r="S57" s="35"/>
      <c r="T57" s="35"/>
      <c r="U57" s="35"/>
      <c r="V57" s="35"/>
      <c r="W57" s="35"/>
      <c r="X57" s="35"/>
      <c r="Y57" s="35"/>
      <c r="Z57" s="35"/>
      <c r="AA57" s="35"/>
      <c r="AB57" s="35"/>
      <c r="AC57" s="35"/>
      <c r="AD57" s="35"/>
      <c r="AE57" s="35"/>
      <c r="AF57" s="35"/>
      <c r="AG57" s="154">
        <f t="shared" si="1"/>
        <v>204.8</v>
      </c>
      <c r="AH57" s="154" t="s">
        <v>581</v>
      </c>
      <c r="AI57" s="156" t="s">
        <v>579</v>
      </c>
      <c r="AJ57" s="152" t="s">
        <v>575</v>
      </c>
      <c r="AK57" s="35"/>
      <c r="AL57" s="35"/>
      <c r="AM57" s="35"/>
      <c r="AN57" s="35"/>
      <c r="AO57" s="35"/>
      <c r="AP57" s="35"/>
      <c r="AQ57" s="35"/>
      <c r="AR57" s="35"/>
      <c r="AS57" s="35"/>
      <c r="AT57" s="35"/>
      <c r="AU57" s="35"/>
      <c r="AV57" s="35"/>
      <c r="AW57" s="154">
        <v>4</v>
      </c>
      <c r="AX57" s="154" t="s">
        <v>329</v>
      </c>
      <c r="AY57" s="154"/>
      <c r="AZ57" s="154"/>
      <c r="BA57" s="154">
        <v>2</v>
      </c>
      <c r="BB57" s="154"/>
      <c r="BC57" s="154" t="s">
        <v>329</v>
      </c>
      <c r="BD57" s="154" t="s">
        <v>329</v>
      </c>
      <c r="BE57" s="154"/>
      <c r="BF57" s="154"/>
      <c r="BG57" s="154"/>
      <c r="BH57" s="154"/>
      <c r="BI57" s="35"/>
      <c r="BJ57" s="35"/>
    </row>
    <row r="58" spans="1:62">
      <c r="A58" s="35" t="s">
        <v>385</v>
      </c>
      <c r="B58" s="35"/>
      <c r="C58" s="39" t="s">
        <v>362</v>
      </c>
      <c r="D58" s="156" t="s">
        <v>77</v>
      </c>
      <c r="E58" s="152" t="s">
        <v>598</v>
      </c>
      <c r="F58" s="154">
        <v>4</v>
      </c>
      <c r="G58" s="154">
        <v>14</v>
      </c>
      <c r="H58" s="78">
        <v>102.4</v>
      </c>
      <c r="I58" s="31">
        <v>0</v>
      </c>
      <c r="J58" s="154" t="s">
        <v>578</v>
      </c>
      <c r="K58" s="156" t="s">
        <v>579</v>
      </c>
      <c r="L58" s="152">
        <v>100</v>
      </c>
      <c r="M58" s="35"/>
      <c r="N58" s="35"/>
      <c r="O58" s="35"/>
      <c r="P58" s="35"/>
      <c r="Q58" s="35"/>
      <c r="R58" s="35"/>
      <c r="S58" s="35"/>
      <c r="T58" s="35"/>
      <c r="U58" s="35"/>
      <c r="V58" s="35"/>
      <c r="W58" s="35"/>
      <c r="X58" s="35"/>
      <c r="Y58" s="35"/>
      <c r="Z58" s="35"/>
      <c r="AA58" s="35"/>
      <c r="AB58" s="35"/>
      <c r="AC58" s="35"/>
      <c r="AD58" s="35"/>
      <c r="AE58" s="35"/>
      <c r="AF58" s="35"/>
      <c r="AG58" s="154">
        <f t="shared" si="1"/>
        <v>204.8</v>
      </c>
      <c r="AH58" s="154" t="s">
        <v>581</v>
      </c>
      <c r="AI58" s="156" t="s">
        <v>579</v>
      </c>
      <c r="AJ58" s="152" t="s">
        <v>575</v>
      </c>
      <c r="AK58" s="35"/>
      <c r="AL58" s="35"/>
      <c r="AM58" s="35"/>
      <c r="AN58" s="35"/>
      <c r="AO58" s="35"/>
      <c r="AP58" s="35"/>
      <c r="AQ58" s="35"/>
      <c r="AR58" s="35"/>
      <c r="AS58" s="35"/>
      <c r="AT58" s="35"/>
      <c r="AU58" s="35"/>
      <c r="AV58" s="35"/>
      <c r="AW58" s="154">
        <v>4</v>
      </c>
      <c r="AX58" s="154" t="s">
        <v>329</v>
      </c>
      <c r="AY58" s="154"/>
      <c r="AZ58" s="154"/>
      <c r="BA58" s="154">
        <v>2</v>
      </c>
      <c r="BB58" s="154"/>
      <c r="BC58" s="154" t="s">
        <v>329</v>
      </c>
      <c r="BD58" s="154" t="s">
        <v>329</v>
      </c>
      <c r="BE58" s="154"/>
      <c r="BF58" s="154"/>
      <c r="BG58" s="154"/>
      <c r="BH58" s="154"/>
      <c r="BI58" s="35"/>
      <c r="BJ58" s="35"/>
    </row>
    <row r="59" spans="1:62">
      <c r="A59" s="35" t="s">
        <v>516</v>
      </c>
      <c r="B59" s="35"/>
      <c r="C59" s="39" t="s">
        <v>362</v>
      </c>
      <c r="D59" s="156" t="s">
        <v>79</v>
      </c>
      <c r="E59" s="152" t="s">
        <v>597</v>
      </c>
      <c r="F59" s="154">
        <v>4</v>
      </c>
      <c r="G59" s="154">
        <v>16</v>
      </c>
      <c r="H59" s="78">
        <v>102.4</v>
      </c>
      <c r="I59" s="31">
        <v>0</v>
      </c>
      <c r="J59" s="152" t="s">
        <v>578</v>
      </c>
      <c r="K59" s="156" t="s">
        <v>579</v>
      </c>
      <c r="L59" s="152">
        <v>110</v>
      </c>
      <c r="M59" s="35"/>
      <c r="N59" s="35"/>
      <c r="O59" s="35"/>
      <c r="P59" s="35"/>
      <c r="Q59" s="35"/>
      <c r="R59" s="35"/>
      <c r="S59" s="35"/>
      <c r="T59" s="35"/>
      <c r="U59" s="35"/>
      <c r="V59" s="35"/>
      <c r="W59" s="35"/>
      <c r="X59" s="35"/>
      <c r="Y59" s="35"/>
      <c r="Z59" s="35"/>
      <c r="AA59" s="35"/>
      <c r="AB59" s="35"/>
      <c r="AC59" s="35"/>
      <c r="AD59" s="35"/>
      <c r="AE59" s="35"/>
      <c r="AF59" s="35"/>
      <c r="AG59" s="154">
        <f t="shared" si="1"/>
        <v>204.8</v>
      </c>
      <c r="AH59" s="154" t="s">
        <v>581</v>
      </c>
      <c r="AI59" s="156" t="s">
        <v>579</v>
      </c>
      <c r="AJ59" s="152" t="s">
        <v>575</v>
      </c>
      <c r="AK59" s="35"/>
      <c r="AL59" s="35"/>
      <c r="AM59" s="35"/>
      <c r="AN59" s="35"/>
      <c r="AO59" s="35"/>
      <c r="AP59" s="35"/>
      <c r="AQ59" s="35"/>
      <c r="AR59" s="35"/>
      <c r="AS59" s="35"/>
      <c r="AT59" s="35"/>
      <c r="AU59" s="35"/>
      <c r="AV59" s="35"/>
      <c r="AW59" s="154">
        <v>4</v>
      </c>
      <c r="AX59" s="154" t="s">
        <v>329</v>
      </c>
      <c r="AY59" s="154"/>
      <c r="AZ59" s="154"/>
      <c r="BA59" s="154">
        <v>2</v>
      </c>
      <c r="BB59" s="154"/>
      <c r="BC59" s="154" t="s">
        <v>329</v>
      </c>
      <c r="BD59" s="154" t="s">
        <v>329</v>
      </c>
      <c r="BE59" s="154"/>
      <c r="BF59" s="154"/>
      <c r="BG59" s="154"/>
      <c r="BH59" s="154"/>
      <c r="BI59" s="35"/>
      <c r="BJ59" s="35"/>
    </row>
    <row r="60" spans="1:62">
      <c r="A60" s="35" t="s">
        <v>386</v>
      </c>
      <c r="B60" s="35"/>
      <c r="C60" s="156" t="s">
        <v>326</v>
      </c>
      <c r="D60" s="35" t="s">
        <v>110</v>
      </c>
      <c r="E60" s="152" t="s">
        <v>604</v>
      </c>
      <c r="F60" s="154">
        <v>6</v>
      </c>
      <c r="G60" s="154">
        <v>20</v>
      </c>
      <c r="H60" s="154">
        <v>204.8</v>
      </c>
      <c r="I60" s="31">
        <v>16384</v>
      </c>
      <c r="J60" s="154" t="s">
        <v>581</v>
      </c>
      <c r="K60" s="156" t="s">
        <v>579</v>
      </c>
      <c r="L60" s="152">
        <v>2.6</v>
      </c>
      <c r="M60" s="35"/>
      <c r="N60" s="35"/>
      <c r="O60" s="35"/>
      <c r="P60" s="35"/>
      <c r="Q60" s="35"/>
      <c r="R60" s="35"/>
      <c r="S60" s="35"/>
      <c r="T60" s="35"/>
      <c r="U60" s="35"/>
      <c r="V60" s="35"/>
      <c r="W60" s="35"/>
      <c r="X60" s="35"/>
      <c r="Y60" s="35"/>
      <c r="Z60" s="35"/>
      <c r="AA60" s="35"/>
      <c r="AB60" s="35"/>
      <c r="AC60" s="35"/>
      <c r="AD60" s="35"/>
      <c r="AE60" s="35"/>
      <c r="AF60" s="35"/>
      <c r="AG60" s="154">
        <f t="shared" si="1"/>
        <v>409.6</v>
      </c>
      <c r="AH60" s="154" t="s">
        <v>581</v>
      </c>
      <c r="AI60" s="156" t="s">
        <v>579</v>
      </c>
      <c r="AJ60" s="152" t="s">
        <v>575</v>
      </c>
      <c r="AK60" s="35"/>
      <c r="AL60" s="35"/>
      <c r="AM60" s="35"/>
      <c r="AN60" s="35"/>
      <c r="AO60" s="35"/>
      <c r="AP60" s="35"/>
      <c r="AQ60" s="35"/>
      <c r="AR60" s="35"/>
      <c r="AS60" s="35"/>
      <c r="AT60" s="35"/>
      <c r="AU60" s="35"/>
      <c r="AV60" s="35"/>
      <c r="AW60" s="154">
        <v>2</v>
      </c>
      <c r="AX60" s="154" t="s">
        <v>329</v>
      </c>
      <c r="AY60" s="154"/>
      <c r="AZ60" s="154"/>
      <c r="BA60" s="154">
        <v>2</v>
      </c>
      <c r="BB60" s="154"/>
      <c r="BC60" s="154" t="s">
        <v>329</v>
      </c>
      <c r="BD60" s="154" t="s">
        <v>329</v>
      </c>
      <c r="BE60" s="154"/>
      <c r="BF60" s="154"/>
      <c r="BG60" s="154"/>
      <c r="BH60" s="154"/>
      <c r="BI60" s="35"/>
      <c r="BJ60" s="35"/>
    </row>
    <row r="61" spans="1:62">
      <c r="A61" s="35" t="s">
        <v>387</v>
      </c>
      <c r="B61" s="35"/>
      <c r="C61" s="156" t="s">
        <v>326</v>
      </c>
      <c r="D61" s="35" t="s">
        <v>110</v>
      </c>
      <c r="E61" s="152" t="s">
        <v>604</v>
      </c>
      <c r="F61" s="154">
        <v>6</v>
      </c>
      <c r="G61" s="154">
        <v>20</v>
      </c>
      <c r="H61" s="154">
        <v>204.8</v>
      </c>
      <c r="I61" s="31">
        <v>16384</v>
      </c>
      <c r="J61" s="154" t="s">
        <v>581</v>
      </c>
      <c r="K61" s="156" t="s">
        <v>579</v>
      </c>
      <c r="L61" s="152">
        <v>2.6</v>
      </c>
      <c r="M61" s="35"/>
      <c r="N61" s="35"/>
      <c r="O61" s="35"/>
      <c r="P61" s="35"/>
      <c r="Q61" s="35"/>
      <c r="R61" s="35"/>
      <c r="S61" s="35"/>
      <c r="T61" s="35"/>
      <c r="U61" s="35"/>
      <c r="V61" s="35"/>
      <c r="W61" s="35"/>
      <c r="X61" s="35"/>
      <c r="Y61" s="35"/>
      <c r="Z61" s="35"/>
      <c r="AA61" s="35"/>
      <c r="AB61" s="35"/>
      <c r="AC61" s="35"/>
      <c r="AD61" s="35"/>
      <c r="AE61" s="35"/>
      <c r="AF61" s="35"/>
      <c r="AG61" s="154">
        <f t="shared" si="1"/>
        <v>409.6</v>
      </c>
      <c r="AH61" s="154" t="s">
        <v>581</v>
      </c>
      <c r="AI61" s="156" t="s">
        <v>579</v>
      </c>
      <c r="AJ61" s="152" t="s">
        <v>575</v>
      </c>
      <c r="AK61" s="35"/>
      <c r="AL61" s="35"/>
      <c r="AM61" s="35"/>
      <c r="AN61" s="35"/>
      <c r="AO61" s="35"/>
      <c r="AP61" s="35"/>
      <c r="AQ61" s="35"/>
      <c r="AR61" s="35"/>
      <c r="AS61" s="35"/>
      <c r="AT61" s="35"/>
      <c r="AU61" s="35"/>
      <c r="AV61" s="35"/>
      <c r="AW61" s="154">
        <v>2</v>
      </c>
      <c r="AX61" s="154" t="s">
        <v>329</v>
      </c>
      <c r="AY61" s="154"/>
      <c r="AZ61" s="154"/>
      <c r="BA61" s="154">
        <v>2</v>
      </c>
      <c r="BB61" s="154"/>
      <c r="BC61" s="154" t="s">
        <v>329</v>
      </c>
      <c r="BD61" s="154" t="s">
        <v>329</v>
      </c>
      <c r="BE61" s="154"/>
      <c r="BF61" s="154"/>
      <c r="BG61" s="154"/>
      <c r="BH61" s="154"/>
      <c r="BI61" s="35"/>
      <c r="BJ61" s="35"/>
    </row>
    <row r="62" spans="1:62">
      <c r="A62" s="35" t="s">
        <v>496</v>
      </c>
      <c r="B62" s="35"/>
      <c r="C62" s="156" t="s">
        <v>326</v>
      </c>
      <c r="D62" s="35" t="s">
        <v>110</v>
      </c>
      <c r="E62" s="152" t="s">
        <v>604</v>
      </c>
      <c r="F62" s="154">
        <v>6</v>
      </c>
      <c r="G62" s="154">
        <v>20</v>
      </c>
      <c r="H62" s="154">
        <v>204.8</v>
      </c>
      <c r="I62" s="31">
        <v>16384</v>
      </c>
      <c r="J62" s="154" t="s">
        <v>581</v>
      </c>
      <c r="K62" s="156" t="s">
        <v>579</v>
      </c>
      <c r="L62" s="152">
        <v>2.6</v>
      </c>
      <c r="M62" s="35"/>
      <c r="N62" s="35"/>
      <c r="O62" s="35"/>
      <c r="P62" s="35"/>
      <c r="Q62" s="35"/>
      <c r="R62" s="35"/>
      <c r="S62" s="35"/>
      <c r="T62" s="35"/>
      <c r="U62" s="35"/>
      <c r="V62" s="35"/>
      <c r="W62" s="35"/>
      <c r="X62" s="35"/>
      <c r="Y62" s="35"/>
      <c r="Z62" s="35"/>
      <c r="AA62" s="35"/>
      <c r="AB62" s="35"/>
      <c r="AC62" s="35"/>
      <c r="AD62" s="35"/>
      <c r="AE62" s="35"/>
      <c r="AF62" s="35"/>
      <c r="AG62" s="154">
        <f t="shared" si="1"/>
        <v>409.6</v>
      </c>
      <c r="AH62" s="154" t="s">
        <v>581</v>
      </c>
      <c r="AI62" s="156" t="s">
        <v>579</v>
      </c>
      <c r="AJ62" s="152" t="s">
        <v>575</v>
      </c>
      <c r="AK62" s="35"/>
      <c r="AL62" s="35"/>
      <c r="AM62" s="35"/>
      <c r="AN62" s="35"/>
      <c r="AO62" s="35"/>
      <c r="AP62" s="35"/>
      <c r="AQ62" s="35"/>
      <c r="AR62" s="35"/>
      <c r="AS62" s="35"/>
      <c r="AT62" s="35"/>
      <c r="AU62" s="35"/>
      <c r="AV62" s="35"/>
      <c r="AW62" s="154">
        <v>2</v>
      </c>
      <c r="AX62" s="154" t="s">
        <v>329</v>
      </c>
      <c r="AY62" s="154"/>
      <c r="AZ62" s="154"/>
      <c r="BA62" s="154">
        <v>2</v>
      </c>
      <c r="BB62" s="154"/>
      <c r="BC62" s="154" t="s">
        <v>329</v>
      </c>
      <c r="BD62" s="154" t="s">
        <v>329</v>
      </c>
      <c r="BE62" s="154"/>
      <c r="BF62" s="154"/>
      <c r="BG62" s="154"/>
      <c r="BH62" s="154"/>
      <c r="BI62" s="35"/>
      <c r="BJ62" s="35"/>
    </row>
    <row r="63" spans="1:62">
      <c r="A63" s="35" t="s">
        <v>497</v>
      </c>
      <c r="B63" s="35"/>
      <c r="C63" s="156" t="s">
        <v>326</v>
      </c>
      <c r="D63" s="35" t="s">
        <v>110</v>
      </c>
      <c r="E63" s="152" t="s">
        <v>604</v>
      </c>
      <c r="F63" s="154">
        <v>6</v>
      </c>
      <c r="G63" s="154">
        <v>20</v>
      </c>
      <c r="H63" s="154">
        <v>204.8</v>
      </c>
      <c r="I63" s="31">
        <v>16384</v>
      </c>
      <c r="J63" s="154" t="s">
        <v>581</v>
      </c>
      <c r="K63" s="156" t="s">
        <v>579</v>
      </c>
      <c r="L63" s="152">
        <v>2.6</v>
      </c>
      <c r="M63" s="35"/>
      <c r="N63" s="35"/>
      <c r="O63" s="35"/>
      <c r="P63" s="35"/>
      <c r="Q63" s="35"/>
      <c r="R63" s="35"/>
      <c r="S63" s="35"/>
      <c r="T63" s="35"/>
      <c r="U63" s="35"/>
      <c r="V63" s="35"/>
      <c r="W63" s="35"/>
      <c r="X63" s="35"/>
      <c r="Y63" s="35"/>
      <c r="Z63" s="35"/>
      <c r="AA63" s="35"/>
      <c r="AB63" s="35"/>
      <c r="AC63" s="35"/>
      <c r="AD63" s="35"/>
      <c r="AE63" s="35"/>
      <c r="AF63" s="35"/>
      <c r="AG63" s="154">
        <f t="shared" si="1"/>
        <v>409.6</v>
      </c>
      <c r="AH63" s="154" t="s">
        <v>581</v>
      </c>
      <c r="AI63" s="156" t="s">
        <v>579</v>
      </c>
      <c r="AJ63" s="152" t="s">
        <v>575</v>
      </c>
      <c r="AK63" s="35"/>
      <c r="AL63" s="35"/>
      <c r="AM63" s="35"/>
      <c r="AN63" s="35"/>
      <c r="AO63" s="35"/>
      <c r="AP63" s="35"/>
      <c r="AQ63" s="35"/>
      <c r="AR63" s="35"/>
      <c r="AS63" s="35"/>
      <c r="AT63" s="35"/>
      <c r="AU63" s="35"/>
      <c r="AV63" s="35"/>
      <c r="AW63" s="154">
        <v>2</v>
      </c>
      <c r="AX63" s="154" t="s">
        <v>329</v>
      </c>
      <c r="AY63" s="154"/>
      <c r="AZ63" s="154"/>
      <c r="BA63" s="154">
        <v>2</v>
      </c>
      <c r="BB63" s="154"/>
      <c r="BC63" s="154" t="s">
        <v>329</v>
      </c>
      <c r="BD63" s="154" t="s">
        <v>329</v>
      </c>
      <c r="BE63" s="154"/>
      <c r="BF63" s="154"/>
      <c r="BG63" s="154"/>
      <c r="BH63" s="154"/>
      <c r="BI63" s="35"/>
      <c r="BJ63" s="35"/>
    </row>
    <row r="64" spans="1:62">
      <c r="A64" s="35" t="s">
        <v>388</v>
      </c>
      <c r="B64" s="35"/>
      <c r="C64" s="156" t="s">
        <v>326</v>
      </c>
      <c r="D64" s="35" t="s">
        <v>30</v>
      </c>
      <c r="E64" s="154" t="s">
        <v>605</v>
      </c>
      <c r="F64" s="154">
        <v>4</v>
      </c>
      <c r="G64" s="154">
        <v>4</v>
      </c>
      <c r="H64" s="78">
        <v>40.96</v>
      </c>
      <c r="I64" s="31">
        <v>4096</v>
      </c>
      <c r="J64" s="154" t="s">
        <v>581</v>
      </c>
      <c r="K64" s="156" t="s">
        <v>579</v>
      </c>
      <c r="L64" s="152">
        <v>2.6</v>
      </c>
      <c r="M64" s="35"/>
      <c r="N64" s="35"/>
      <c r="O64" s="35"/>
      <c r="P64" s="35"/>
      <c r="Q64" s="35"/>
      <c r="R64" s="35"/>
      <c r="S64" s="35"/>
      <c r="T64" s="35"/>
      <c r="U64" s="35"/>
      <c r="V64" s="35"/>
      <c r="W64" s="35"/>
      <c r="X64" s="35"/>
      <c r="Y64" s="35"/>
      <c r="Z64" s="35"/>
      <c r="AA64" s="35"/>
      <c r="AB64" s="35"/>
      <c r="AC64" s="35"/>
      <c r="AD64" s="35"/>
      <c r="AE64" s="35"/>
      <c r="AF64" s="35"/>
      <c r="AG64" s="154">
        <f t="shared" si="1"/>
        <v>81.92</v>
      </c>
      <c r="AH64" s="154" t="s">
        <v>581</v>
      </c>
      <c r="AI64" s="156" t="s">
        <v>579</v>
      </c>
      <c r="AJ64" s="152" t="s">
        <v>575</v>
      </c>
      <c r="AK64" s="35"/>
      <c r="AL64" s="35"/>
      <c r="AM64" s="35"/>
      <c r="AN64" s="35"/>
      <c r="AO64" s="35"/>
      <c r="AP64" s="35"/>
      <c r="AQ64" s="35"/>
      <c r="AR64" s="35"/>
      <c r="AS64" s="35"/>
      <c r="AT64" s="35"/>
      <c r="AU64" s="35"/>
      <c r="AV64" s="35"/>
      <c r="AW64" s="154">
        <v>2</v>
      </c>
      <c r="AX64" s="154" t="s">
        <v>329</v>
      </c>
      <c r="AY64" s="154"/>
      <c r="AZ64" s="154"/>
      <c r="BA64" s="154">
        <v>2</v>
      </c>
      <c r="BB64" s="154"/>
      <c r="BC64" s="154" t="s">
        <v>329</v>
      </c>
      <c r="BD64" s="154" t="s">
        <v>329</v>
      </c>
      <c r="BE64" s="154"/>
      <c r="BF64" s="154"/>
      <c r="BG64" s="154"/>
      <c r="BH64" s="154"/>
      <c r="BI64" s="35"/>
      <c r="BJ64" s="35"/>
    </row>
    <row r="65" spans="1:62">
      <c r="A65" s="35" t="s">
        <v>389</v>
      </c>
      <c r="B65" s="35"/>
      <c r="C65" s="156" t="s">
        <v>326</v>
      </c>
      <c r="D65" s="35" t="s">
        <v>22</v>
      </c>
      <c r="E65" s="154" t="s">
        <v>605</v>
      </c>
      <c r="F65" s="154">
        <v>4</v>
      </c>
      <c r="G65" s="154">
        <v>4</v>
      </c>
      <c r="H65" s="78">
        <v>30.72</v>
      </c>
      <c r="I65" s="31">
        <v>4096</v>
      </c>
      <c r="J65" s="154" t="s">
        <v>581</v>
      </c>
      <c r="K65" s="156" t="s">
        <v>579</v>
      </c>
      <c r="L65" s="152">
        <v>2.6</v>
      </c>
      <c r="M65" s="35"/>
      <c r="N65" s="35"/>
      <c r="O65" s="35"/>
      <c r="P65" s="35"/>
      <c r="Q65" s="35"/>
      <c r="R65" s="35"/>
      <c r="S65" s="35"/>
      <c r="T65" s="35"/>
      <c r="U65" s="35"/>
      <c r="V65" s="35"/>
      <c r="W65" s="35"/>
      <c r="X65" s="35"/>
      <c r="Y65" s="35"/>
      <c r="Z65" s="35"/>
      <c r="AA65" s="35"/>
      <c r="AB65" s="35"/>
      <c r="AC65" s="35"/>
      <c r="AD65" s="35"/>
      <c r="AE65" s="35"/>
      <c r="AF65" s="35"/>
      <c r="AG65" s="154">
        <f t="shared" si="1"/>
        <v>61.44</v>
      </c>
      <c r="AH65" s="154" t="s">
        <v>581</v>
      </c>
      <c r="AI65" s="156" t="s">
        <v>579</v>
      </c>
      <c r="AJ65" s="152" t="s">
        <v>575</v>
      </c>
      <c r="AK65" s="35"/>
      <c r="AL65" s="35"/>
      <c r="AM65" s="35"/>
      <c r="AN65" s="35"/>
      <c r="AO65" s="35"/>
      <c r="AP65" s="35"/>
      <c r="AQ65" s="35"/>
      <c r="AR65" s="35"/>
      <c r="AS65" s="35"/>
      <c r="AT65" s="35"/>
      <c r="AU65" s="35"/>
      <c r="AV65" s="35"/>
      <c r="AW65" s="154">
        <v>2</v>
      </c>
      <c r="AX65" s="154" t="s">
        <v>329</v>
      </c>
      <c r="AY65" s="154"/>
      <c r="AZ65" s="154"/>
      <c r="BA65" s="154">
        <v>2</v>
      </c>
      <c r="BB65" s="154"/>
      <c r="BC65" s="154" t="s">
        <v>329</v>
      </c>
      <c r="BD65" s="154" t="s">
        <v>329</v>
      </c>
      <c r="BE65" s="154"/>
      <c r="BF65" s="154"/>
      <c r="BG65" s="154"/>
      <c r="BH65" s="154"/>
      <c r="BI65" s="35"/>
      <c r="BJ65" s="35"/>
    </row>
    <row r="66" spans="1:62">
      <c r="A66" s="35" t="s">
        <v>390</v>
      </c>
      <c r="B66" s="35"/>
      <c r="C66" s="156" t="s">
        <v>326</v>
      </c>
      <c r="D66" s="35" t="s">
        <v>26</v>
      </c>
      <c r="E66" s="154" t="s">
        <v>605</v>
      </c>
      <c r="F66" s="154">
        <v>4</v>
      </c>
      <c r="G66" s="154">
        <v>4</v>
      </c>
      <c r="H66" s="78">
        <v>30.72</v>
      </c>
      <c r="I66" s="31">
        <v>4096</v>
      </c>
      <c r="J66" s="154" t="s">
        <v>581</v>
      </c>
      <c r="K66" s="156" t="s">
        <v>579</v>
      </c>
      <c r="L66" s="152">
        <v>2.6</v>
      </c>
      <c r="M66" s="35"/>
      <c r="N66" s="35"/>
      <c r="O66" s="35"/>
      <c r="P66" s="35"/>
      <c r="Q66" s="35"/>
      <c r="R66" s="35"/>
      <c r="S66" s="35"/>
      <c r="T66" s="35"/>
      <c r="U66" s="35"/>
      <c r="V66" s="35"/>
      <c r="W66" s="35"/>
      <c r="X66" s="35"/>
      <c r="Y66" s="35"/>
      <c r="Z66" s="35"/>
      <c r="AA66" s="35"/>
      <c r="AB66" s="35"/>
      <c r="AC66" s="35"/>
      <c r="AD66" s="35"/>
      <c r="AE66" s="35"/>
      <c r="AF66" s="35"/>
      <c r="AG66" s="154">
        <f t="shared" si="1"/>
        <v>61.44</v>
      </c>
      <c r="AH66" s="154" t="s">
        <v>581</v>
      </c>
      <c r="AI66" s="156" t="s">
        <v>579</v>
      </c>
      <c r="AJ66" s="152" t="s">
        <v>575</v>
      </c>
      <c r="AK66" s="35"/>
      <c r="AL66" s="35"/>
      <c r="AM66" s="35"/>
      <c r="AN66" s="35"/>
      <c r="AO66" s="35"/>
      <c r="AP66" s="35"/>
      <c r="AQ66" s="35"/>
      <c r="AR66" s="35"/>
      <c r="AS66" s="35"/>
      <c r="AT66" s="35"/>
      <c r="AU66" s="35"/>
      <c r="AV66" s="35"/>
      <c r="AW66" s="154">
        <v>2</v>
      </c>
      <c r="AX66" s="154" t="s">
        <v>329</v>
      </c>
      <c r="AY66" s="154"/>
      <c r="AZ66" s="154"/>
      <c r="BA66" s="154">
        <v>2</v>
      </c>
      <c r="BB66" s="154"/>
      <c r="BC66" s="154" t="s">
        <v>329</v>
      </c>
      <c r="BD66" s="154" t="s">
        <v>329</v>
      </c>
      <c r="BE66" s="154"/>
      <c r="BF66" s="154"/>
      <c r="BG66" s="154"/>
      <c r="BH66" s="154"/>
      <c r="BI66" s="35"/>
      <c r="BJ66" s="35"/>
    </row>
    <row r="67" spans="1:62" ht="15">
      <c r="A67" s="35" t="s">
        <v>391</v>
      </c>
      <c r="B67" s="35"/>
      <c r="C67" s="156" t="s">
        <v>326</v>
      </c>
      <c r="D67" s="35" t="s">
        <v>38</v>
      </c>
      <c r="E67" s="154" t="s">
        <v>606</v>
      </c>
      <c r="F67" s="154">
        <v>6</v>
      </c>
      <c r="G67" s="154">
        <v>7</v>
      </c>
      <c r="H67" s="154">
        <v>112.64</v>
      </c>
      <c r="I67" s="31">
        <v>4096</v>
      </c>
      <c r="J67" s="154" t="s">
        <v>581</v>
      </c>
      <c r="K67" s="156" t="s">
        <v>579</v>
      </c>
      <c r="L67" s="152">
        <v>2.6</v>
      </c>
      <c r="M67" s="154"/>
      <c r="N67" s="154"/>
      <c r="O67" s="154"/>
      <c r="P67" s="154"/>
      <c r="Q67" s="40"/>
      <c r="R67" s="40"/>
      <c r="S67" s="40"/>
      <c r="T67" s="40"/>
      <c r="U67" s="154"/>
      <c r="V67" s="154"/>
      <c r="W67" s="154"/>
      <c r="X67" s="154"/>
      <c r="Y67" s="154"/>
      <c r="Z67" s="154"/>
      <c r="AA67" s="154"/>
      <c r="AB67" s="154"/>
      <c r="AC67" s="154"/>
      <c r="AD67" s="154"/>
      <c r="AE67" s="154"/>
      <c r="AF67" s="154"/>
      <c r="AG67" s="154">
        <f t="shared" si="1"/>
        <v>225.28</v>
      </c>
      <c r="AH67" s="154" t="s">
        <v>581</v>
      </c>
      <c r="AI67" s="156" t="s">
        <v>579</v>
      </c>
      <c r="AJ67" s="152" t="s">
        <v>575</v>
      </c>
      <c r="AK67" s="154"/>
      <c r="AL67" s="154"/>
      <c r="AM67" s="154"/>
      <c r="AN67" s="154"/>
      <c r="AO67" s="154"/>
      <c r="AP67" s="154"/>
      <c r="AQ67" s="154"/>
      <c r="AR67" s="154"/>
      <c r="AS67" s="154"/>
      <c r="AT67" s="154"/>
      <c r="AU67" s="154"/>
      <c r="AV67" s="154"/>
      <c r="AW67" s="154">
        <v>2</v>
      </c>
      <c r="AX67" s="154" t="s">
        <v>329</v>
      </c>
      <c r="AY67" s="154" t="s">
        <v>329</v>
      </c>
      <c r="AZ67" s="154"/>
      <c r="BA67" s="154">
        <v>2</v>
      </c>
      <c r="BB67" s="154"/>
      <c r="BC67" s="154" t="s">
        <v>329</v>
      </c>
      <c r="BD67" s="154" t="s">
        <v>329</v>
      </c>
      <c r="BE67" s="154"/>
      <c r="BF67" s="154"/>
      <c r="BG67" s="154"/>
      <c r="BH67" s="154"/>
      <c r="BI67" s="35"/>
      <c r="BJ67" s="35"/>
    </row>
    <row r="68" spans="1:62" ht="15">
      <c r="A68" s="35" t="s">
        <v>517</v>
      </c>
      <c r="B68" s="35"/>
      <c r="C68" s="156" t="s">
        <v>326</v>
      </c>
      <c r="D68" s="35" t="s">
        <v>38</v>
      </c>
      <c r="E68" s="154" t="s">
        <v>606</v>
      </c>
      <c r="F68" s="154">
        <v>6</v>
      </c>
      <c r="G68" s="154">
        <v>7</v>
      </c>
      <c r="H68" s="154">
        <v>112.64</v>
      </c>
      <c r="I68" s="31">
        <v>4096</v>
      </c>
      <c r="J68" s="154" t="s">
        <v>581</v>
      </c>
      <c r="K68" s="156" t="s">
        <v>579</v>
      </c>
      <c r="L68" s="152">
        <v>2.6</v>
      </c>
      <c r="M68" s="154"/>
      <c r="N68" s="154"/>
      <c r="O68" s="154"/>
      <c r="P68" s="154"/>
      <c r="Q68" s="40"/>
      <c r="R68" s="40"/>
      <c r="S68" s="40"/>
      <c r="T68" s="40"/>
      <c r="U68" s="154"/>
      <c r="V68" s="154"/>
      <c r="W68" s="154"/>
      <c r="X68" s="154"/>
      <c r="Y68" s="154"/>
      <c r="Z68" s="154"/>
      <c r="AA68" s="154"/>
      <c r="AB68" s="154"/>
      <c r="AC68" s="154"/>
      <c r="AD68" s="154"/>
      <c r="AE68" s="154"/>
      <c r="AF68" s="154"/>
      <c r="AG68" s="154">
        <f t="shared" si="1"/>
        <v>225.28</v>
      </c>
      <c r="AH68" s="154" t="s">
        <v>581</v>
      </c>
      <c r="AI68" s="156" t="s">
        <v>579</v>
      </c>
      <c r="AJ68" s="152" t="s">
        <v>575</v>
      </c>
      <c r="AK68" s="154"/>
      <c r="AL68" s="154"/>
      <c r="AM68" s="154"/>
      <c r="AN68" s="154"/>
      <c r="AO68" s="154"/>
      <c r="AP68" s="154"/>
      <c r="AQ68" s="154"/>
      <c r="AR68" s="154"/>
      <c r="AS68" s="154"/>
      <c r="AT68" s="154"/>
      <c r="AU68" s="154"/>
      <c r="AV68" s="154"/>
      <c r="AW68" s="154">
        <v>2</v>
      </c>
      <c r="AX68" s="154" t="s">
        <v>329</v>
      </c>
      <c r="AY68" s="154"/>
      <c r="AZ68" s="154"/>
      <c r="BA68" s="154">
        <v>2</v>
      </c>
      <c r="BB68" s="154"/>
      <c r="BC68" s="154" t="s">
        <v>329</v>
      </c>
      <c r="BD68" s="154" t="s">
        <v>329</v>
      </c>
      <c r="BE68" s="154"/>
      <c r="BF68" s="154"/>
      <c r="BG68" s="154"/>
      <c r="BH68" s="154"/>
      <c r="BI68" s="35"/>
      <c r="BJ68" s="35"/>
    </row>
    <row r="69" spans="1:62" ht="15">
      <c r="A69" s="156" t="s">
        <v>392</v>
      </c>
      <c r="B69" s="156"/>
      <c r="C69" s="156" t="s">
        <v>326</v>
      </c>
      <c r="D69" s="156" t="s">
        <v>49</v>
      </c>
      <c r="E69" s="152" t="s">
        <v>607</v>
      </c>
      <c r="F69" s="152">
        <v>2</v>
      </c>
      <c r="G69" s="152">
        <v>2</v>
      </c>
      <c r="H69" s="154">
        <v>15.36</v>
      </c>
      <c r="I69" s="31">
        <v>4096</v>
      </c>
      <c r="J69" s="152" t="s">
        <v>581</v>
      </c>
      <c r="K69" s="156" t="s">
        <v>579</v>
      </c>
      <c r="L69" s="152">
        <v>2.6</v>
      </c>
      <c r="M69" s="152"/>
      <c r="N69" s="152"/>
      <c r="O69" s="152"/>
      <c r="P69" s="152"/>
      <c r="Q69" s="1"/>
      <c r="R69" s="1"/>
      <c r="S69" s="1"/>
      <c r="T69" s="1"/>
      <c r="U69" s="152"/>
      <c r="V69" s="152"/>
      <c r="W69" s="152"/>
      <c r="X69" s="152"/>
      <c r="Y69" s="152"/>
      <c r="Z69" s="152"/>
      <c r="AA69" s="152"/>
      <c r="AB69" s="152"/>
      <c r="AC69" s="152"/>
      <c r="AD69" s="152"/>
      <c r="AE69" s="152"/>
      <c r="AF69" s="152"/>
      <c r="AG69" s="78">
        <f t="shared" si="1"/>
        <v>30.72</v>
      </c>
      <c r="AH69" s="152" t="s">
        <v>581</v>
      </c>
      <c r="AI69" s="156" t="s">
        <v>579</v>
      </c>
      <c r="AJ69" s="152" t="s">
        <v>575</v>
      </c>
      <c r="AK69" s="156"/>
      <c r="AL69" s="156"/>
      <c r="AM69" s="156"/>
      <c r="AN69" s="156"/>
      <c r="AO69" s="156"/>
      <c r="AP69" s="156"/>
      <c r="AQ69" s="156"/>
      <c r="AR69" s="156"/>
      <c r="AS69" s="156"/>
      <c r="AT69" s="156"/>
      <c r="AU69" s="156"/>
      <c r="AV69" s="156"/>
      <c r="AW69" s="152">
        <v>2</v>
      </c>
      <c r="AX69" s="152" t="s">
        <v>329</v>
      </c>
      <c r="AY69" s="152"/>
      <c r="AZ69" s="152"/>
      <c r="BA69" s="152">
        <v>2</v>
      </c>
      <c r="BB69" s="152"/>
      <c r="BC69" s="152" t="s">
        <v>329</v>
      </c>
      <c r="BD69" s="152" t="s">
        <v>329</v>
      </c>
      <c r="BE69" s="152"/>
      <c r="BF69" s="152"/>
      <c r="BG69" s="152"/>
      <c r="BH69" s="156"/>
      <c r="BI69" s="35"/>
      <c r="BJ69" s="35"/>
    </row>
    <row r="70" spans="1:62" ht="15">
      <c r="A70" s="156" t="s">
        <v>393</v>
      </c>
      <c r="B70" s="156"/>
      <c r="C70" s="156" t="s">
        <v>326</v>
      </c>
      <c r="D70" s="156" t="s">
        <v>49</v>
      </c>
      <c r="E70" s="152" t="s">
        <v>607</v>
      </c>
      <c r="F70" s="152">
        <v>2</v>
      </c>
      <c r="G70" s="152">
        <v>2</v>
      </c>
      <c r="H70" s="154">
        <v>15.36</v>
      </c>
      <c r="I70" s="31">
        <v>4096</v>
      </c>
      <c r="J70" s="152" t="s">
        <v>581</v>
      </c>
      <c r="K70" s="156" t="s">
        <v>579</v>
      </c>
      <c r="L70" s="152">
        <v>2.6</v>
      </c>
      <c r="M70" s="152"/>
      <c r="N70" s="152"/>
      <c r="O70" s="152"/>
      <c r="P70" s="152"/>
      <c r="Q70" s="1"/>
      <c r="R70" s="1"/>
      <c r="S70" s="1"/>
      <c r="T70" s="1"/>
      <c r="U70" s="152"/>
      <c r="V70" s="152"/>
      <c r="W70" s="152"/>
      <c r="X70" s="152"/>
      <c r="Y70" s="152"/>
      <c r="Z70" s="152"/>
      <c r="AA70" s="152"/>
      <c r="AB70" s="152"/>
      <c r="AC70" s="152"/>
      <c r="AD70" s="152"/>
      <c r="AE70" s="152"/>
      <c r="AF70" s="152"/>
      <c r="AG70" s="78">
        <f t="shared" si="1"/>
        <v>30.72</v>
      </c>
      <c r="AH70" s="152" t="s">
        <v>581</v>
      </c>
      <c r="AI70" s="156" t="s">
        <v>579</v>
      </c>
      <c r="AJ70" s="152" t="s">
        <v>575</v>
      </c>
      <c r="AK70" s="156"/>
      <c r="AL70" s="156"/>
      <c r="AM70" s="156"/>
      <c r="AN70" s="156"/>
      <c r="AO70" s="156"/>
      <c r="AP70" s="156"/>
      <c r="AQ70" s="156"/>
      <c r="AR70" s="156"/>
      <c r="AS70" s="156"/>
      <c r="AT70" s="156"/>
      <c r="AU70" s="156"/>
      <c r="AV70" s="156"/>
      <c r="AW70" s="152">
        <v>2</v>
      </c>
      <c r="AX70" s="152" t="s">
        <v>329</v>
      </c>
      <c r="AY70" s="152"/>
      <c r="AZ70" s="152"/>
      <c r="BA70" s="152">
        <v>2</v>
      </c>
      <c r="BB70" s="152"/>
      <c r="BC70" s="152" t="s">
        <v>329</v>
      </c>
      <c r="BD70" s="152" t="s">
        <v>329</v>
      </c>
      <c r="BE70" s="152"/>
      <c r="BF70" s="152"/>
      <c r="BG70" s="152"/>
      <c r="BH70" s="156"/>
      <c r="BI70" s="35"/>
      <c r="BJ70" s="35"/>
    </row>
    <row r="71" spans="1:62" ht="15">
      <c r="A71" s="156" t="s">
        <v>394</v>
      </c>
      <c r="B71" s="156"/>
      <c r="C71" s="156" t="s">
        <v>326</v>
      </c>
      <c r="D71" s="156" t="s">
        <v>53</v>
      </c>
      <c r="E71" s="152" t="s">
        <v>619</v>
      </c>
      <c r="F71" s="152">
        <v>6</v>
      </c>
      <c r="G71" s="152">
        <v>5</v>
      </c>
      <c r="H71" s="154">
        <v>40.96</v>
      </c>
      <c r="I71" s="31">
        <v>4096</v>
      </c>
      <c r="J71" s="152" t="s">
        <v>581</v>
      </c>
      <c r="K71" s="156" t="s">
        <v>579</v>
      </c>
      <c r="L71" s="152">
        <v>2.6</v>
      </c>
      <c r="M71" s="152"/>
      <c r="N71" s="152"/>
      <c r="O71" s="152"/>
      <c r="P71" s="152"/>
      <c r="Q71" s="1"/>
      <c r="R71" s="1"/>
      <c r="S71" s="1"/>
      <c r="T71" s="1"/>
      <c r="U71" s="152"/>
      <c r="V71" s="152"/>
      <c r="W71" s="152"/>
      <c r="X71" s="152"/>
      <c r="Y71" s="152"/>
      <c r="Z71" s="152"/>
      <c r="AA71" s="152"/>
      <c r="AB71" s="152"/>
      <c r="AC71" s="152"/>
      <c r="AD71" s="152"/>
      <c r="AE71" s="152"/>
      <c r="AF71" s="152"/>
      <c r="AG71" s="78">
        <f t="shared" si="1"/>
        <v>81.92</v>
      </c>
      <c r="AH71" s="152" t="s">
        <v>581</v>
      </c>
      <c r="AI71" s="156" t="s">
        <v>579</v>
      </c>
      <c r="AJ71" s="152" t="s">
        <v>575</v>
      </c>
      <c r="AK71" s="156"/>
      <c r="AL71" s="156"/>
      <c r="AM71" s="156"/>
      <c r="AN71" s="156"/>
      <c r="AO71" s="156"/>
      <c r="AP71" s="156"/>
      <c r="AQ71" s="156"/>
      <c r="AR71" s="156"/>
      <c r="AS71" s="156"/>
      <c r="AT71" s="156"/>
      <c r="AU71" s="156"/>
      <c r="AV71" s="156"/>
      <c r="AW71" s="152">
        <v>2</v>
      </c>
      <c r="AX71" s="152" t="s">
        <v>329</v>
      </c>
      <c r="AY71" s="152"/>
      <c r="AZ71" s="152"/>
      <c r="BA71" s="152">
        <v>2</v>
      </c>
      <c r="BB71" s="152"/>
      <c r="BC71" s="152" t="s">
        <v>329</v>
      </c>
      <c r="BD71" s="152" t="s">
        <v>329</v>
      </c>
      <c r="BE71" s="152"/>
      <c r="BF71" s="152"/>
      <c r="BG71" s="152"/>
      <c r="BH71" s="156"/>
      <c r="BI71" s="35"/>
      <c r="BJ71" s="35"/>
    </row>
    <row r="72" spans="1:62" ht="15">
      <c r="A72" s="156" t="s">
        <v>395</v>
      </c>
      <c r="B72" s="156"/>
      <c r="C72" s="156" t="s">
        <v>326</v>
      </c>
      <c r="D72" s="156" t="s">
        <v>57</v>
      </c>
      <c r="E72" s="13" t="s">
        <v>609</v>
      </c>
      <c r="F72" s="152">
        <v>2</v>
      </c>
      <c r="G72" s="152">
        <v>2</v>
      </c>
      <c r="H72" s="78">
        <v>30.72</v>
      </c>
      <c r="I72" s="31">
        <v>4096</v>
      </c>
      <c r="J72" s="152" t="s">
        <v>581</v>
      </c>
      <c r="K72" s="156" t="s">
        <v>579</v>
      </c>
      <c r="L72" s="152">
        <v>2.6</v>
      </c>
      <c r="M72" s="152"/>
      <c r="N72" s="152"/>
      <c r="O72" s="152"/>
      <c r="P72" s="152"/>
      <c r="Q72" s="1"/>
      <c r="R72" s="1"/>
      <c r="S72" s="1"/>
      <c r="T72" s="1"/>
      <c r="U72" s="152"/>
      <c r="V72" s="152"/>
      <c r="W72" s="152"/>
      <c r="X72" s="152"/>
      <c r="Y72" s="152"/>
      <c r="Z72" s="152"/>
      <c r="AA72" s="152"/>
      <c r="AB72" s="152"/>
      <c r="AC72" s="152"/>
      <c r="AD72" s="152"/>
      <c r="AE72" s="152"/>
      <c r="AF72" s="152"/>
      <c r="AG72" s="78">
        <f t="shared" si="1"/>
        <v>61.44</v>
      </c>
      <c r="AH72" s="152" t="s">
        <v>581</v>
      </c>
      <c r="AI72" s="13" t="s">
        <v>579</v>
      </c>
      <c r="AJ72" s="8" t="s">
        <v>575</v>
      </c>
      <c r="AK72" s="13"/>
      <c r="AL72" s="13"/>
      <c r="AM72" s="13"/>
      <c r="AN72" s="13"/>
      <c r="AO72" s="13"/>
      <c r="AP72" s="13"/>
      <c r="AQ72" s="13"/>
      <c r="AR72" s="13"/>
      <c r="AS72" s="13"/>
      <c r="AT72" s="13"/>
      <c r="AU72" s="13"/>
      <c r="AV72" s="13"/>
      <c r="AW72" s="8">
        <v>2</v>
      </c>
      <c r="AX72" s="8" t="s">
        <v>329</v>
      </c>
      <c r="AY72" s="8"/>
      <c r="AZ72" s="8"/>
      <c r="BA72" s="8">
        <v>2</v>
      </c>
      <c r="BB72" s="8"/>
      <c r="BC72" s="8" t="s">
        <v>329</v>
      </c>
      <c r="BD72" s="8" t="s">
        <v>329</v>
      </c>
      <c r="BE72" s="8"/>
      <c r="BF72" s="8"/>
      <c r="BG72" s="8"/>
      <c r="BH72" s="13"/>
      <c r="BI72" s="35"/>
      <c r="BJ72" s="35"/>
    </row>
    <row r="73" spans="1:62">
      <c r="A73" s="43"/>
      <c r="B73" s="43"/>
      <c r="C73" s="43"/>
      <c r="D73" s="43"/>
      <c r="E73" s="152"/>
      <c r="F73" s="44">
        <f>SUM(F49:F72)+F44</f>
        <v>357</v>
      </c>
      <c r="G73" s="44">
        <f>SUM(G49:G72)+G44</f>
        <v>1068</v>
      </c>
      <c r="H73" s="88">
        <f>SUM(H49:H72)+H44</f>
        <v>5600.59</v>
      </c>
      <c r="I73" s="91"/>
      <c r="J73" s="44"/>
      <c r="K73" s="44"/>
      <c r="L73" s="44">
        <f>L44+SUM(L49:L72)</f>
        <v>1517.599999999999</v>
      </c>
      <c r="M73" s="88">
        <f>SUM(M49:M72)+M44</f>
        <v>471.04</v>
      </c>
      <c r="N73" s="44"/>
      <c r="O73" s="44"/>
      <c r="P73" s="44">
        <f>P44+SUM(P49:P72)</f>
        <v>0.05</v>
      </c>
      <c r="Q73" s="88">
        <f>SUM(Q49:Q72)+Q44</f>
        <v>15564.8</v>
      </c>
      <c r="R73" s="44"/>
      <c r="S73" s="44"/>
      <c r="T73" s="44">
        <f>T44+SUM(T49:T72)</f>
        <v>0.05</v>
      </c>
      <c r="U73" s="88">
        <f>SUM(U49:U72)+U44</f>
        <v>16998.400000000001</v>
      </c>
      <c r="V73" s="44"/>
      <c r="W73" s="44"/>
      <c r="X73" s="44">
        <f>X44+SUM(X49:X72)</f>
        <v>0.05</v>
      </c>
      <c r="Y73" s="88">
        <f>SUM(Y49:Y72)+Y44</f>
        <v>1280</v>
      </c>
      <c r="Z73" s="44"/>
      <c r="AA73" s="44"/>
      <c r="AB73" s="44">
        <f>AB44+SUM(AB49:AB72)</f>
        <v>0.1</v>
      </c>
      <c r="AC73" s="88">
        <f>AC44+SUM(AC49:AC72)</f>
        <v>276.48</v>
      </c>
      <c r="AD73" s="44"/>
      <c r="AE73" s="44"/>
      <c r="AF73" s="44">
        <f>AF44+SUM(AF49:AF72)</f>
        <v>0</v>
      </c>
      <c r="AG73" s="88">
        <f>SUM(AG49:AG72)+AG44</f>
        <v>43581.020000000011</v>
      </c>
      <c r="AH73" s="44"/>
      <c r="AI73" s="154"/>
      <c r="AJ73" s="154"/>
      <c r="AK73" s="82">
        <f>SUM(AK49:AK72)+AK44</f>
        <v>307.2</v>
      </c>
      <c r="AL73" s="154"/>
      <c r="AM73" s="154"/>
      <c r="AN73" s="154">
        <f>AN44+SUM(AN49:AN72)</f>
        <v>0.2</v>
      </c>
      <c r="AO73" s="154"/>
      <c r="AP73" s="154"/>
      <c r="AQ73" s="154"/>
      <c r="AR73" s="154"/>
      <c r="AS73" s="154"/>
      <c r="AT73" s="154"/>
      <c r="AU73" s="154"/>
      <c r="AV73" s="154"/>
      <c r="AW73" s="154">
        <f>AW44+SUM(AW49:AW72)</f>
        <v>175</v>
      </c>
      <c r="AX73" s="154">
        <f>AX44+COUNTIF(AX49:AX72,"x")</f>
        <v>59</v>
      </c>
      <c r="AY73" s="154">
        <f>3</f>
        <v>3</v>
      </c>
      <c r="AZ73" s="154">
        <v>1</v>
      </c>
      <c r="BA73" s="154">
        <f>BA44+SUM(BA49:BA72)</f>
        <v>118</v>
      </c>
      <c r="BB73" s="154">
        <v>1</v>
      </c>
      <c r="BC73" s="154">
        <f>BC44+COUNTIF(BC49:BC72,"x")</f>
        <v>24</v>
      </c>
      <c r="BD73" s="154">
        <f>BD44+COUNTIF(BD49:BD72,"x")</f>
        <v>59</v>
      </c>
      <c r="BE73" s="152" t="s">
        <v>601</v>
      </c>
      <c r="BF73" s="152">
        <v>2</v>
      </c>
      <c r="BG73" s="152">
        <v>4</v>
      </c>
      <c r="BH73" s="152">
        <v>2</v>
      </c>
      <c r="BI73" s="35"/>
      <c r="BJ73" s="35"/>
    </row>
    <row r="74" spans="1:62" ht="15">
      <c r="A74" s="35"/>
      <c r="B74" s="35"/>
      <c r="C74" s="35"/>
      <c r="D74" s="35"/>
      <c r="E74" s="1"/>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154"/>
      <c r="AX74" s="35"/>
      <c r="AY74" s="35"/>
      <c r="AZ74" s="35"/>
      <c r="BA74" s="35"/>
      <c r="BB74" s="35"/>
      <c r="BC74" s="35"/>
      <c r="BD74" s="35"/>
      <c r="BE74" s="35"/>
      <c r="BF74" s="35"/>
      <c r="BG74" s="35"/>
      <c r="BH74" s="35"/>
      <c r="BI74" s="35"/>
      <c r="BJ74" s="35"/>
    </row>
    <row r="75" spans="1:62" ht="15">
      <c r="A75" s="7" t="s">
        <v>624</v>
      </c>
      <c r="B75" s="35"/>
      <c r="C75" s="35"/>
      <c r="D75" s="35"/>
      <c r="E75" s="1"/>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154"/>
      <c r="AX75" s="35"/>
      <c r="AY75" s="35"/>
      <c r="AZ75" s="35"/>
      <c r="BA75" s="35"/>
      <c r="BB75" s="35"/>
      <c r="BC75" s="35"/>
      <c r="BD75" s="35"/>
      <c r="BE75" s="35"/>
      <c r="BF75" s="35"/>
      <c r="BG75" s="35"/>
      <c r="BH75" s="35"/>
      <c r="BI75" s="35"/>
      <c r="BJ75" s="35"/>
    </row>
    <row r="76" spans="1:62" ht="15">
      <c r="A76" s="35"/>
      <c r="B76" s="35"/>
      <c r="C76" s="35"/>
      <c r="D76" s="35"/>
      <c r="E76" s="1"/>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154"/>
      <c r="AX76" s="35"/>
      <c r="AY76" s="35"/>
      <c r="AZ76" s="35"/>
      <c r="BA76" s="35"/>
      <c r="BB76" s="35"/>
      <c r="BC76" s="154" t="s">
        <v>329</v>
      </c>
      <c r="BD76" s="154" t="s">
        <v>329</v>
      </c>
      <c r="BE76" s="35"/>
      <c r="BF76" s="35"/>
      <c r="BG76" s="35"/>
      <c r="BH76" s="35"/>
      <c r="BI76" s="35"/>
      <c r="BJ76" s="35"/>
    </row>
    <row r="77" spans="1:62">
      <c r="A77" s="156" t="s">
        <v>425</v>
      </c>
      <c r="B77" s="156"/>
      <c r="C77" s="156" t="s">
        <v>326</v>
      </c>
      <c r="D77" s="156" t="s">
        <v>8</v>
      </c>
      <c r="E77" s="152" t="s">
        <v>611</v>
      </c>
      <c r="F77" s="152">
        <v>2</v>
      </c>
      <c r="G77" s="152">
        <v>4</v>
      </c>
      <c r="H77" s="154">
        <v>71.900000000000006</v>
      </c>
      <c r="I77" s="31">
        <v>4096</v>
      </c>
      <c r="J77" s="152" t="s">
        <v>581</v>
      </c>
      <c r="K77" s="156" t="s">
        <v>579</v>
      </c>
      <c r="L77" s="152">
        <v>2.6</v>
      </c>
      <c r="M77" s="152"/>
      <c r="N77" s="152"/>
      <c r="O77" s="152"/>
      <c r="P77" s="152"/>
      <c r="Q77" s="152"/>
      <c r="R77" s="152"/>
      <c r="S77" s="152"/>
      <c r="T77" s="152"/>
      <c r="U77" s="152"/>
      <c r="V77" s="152"/>
      <c r="W77" s="152"/>
      <c r="X77" s="152"/>
      <c r="Y77" s="152"/>
      <c r="Z77" s="152"/>
      <c r="AA77" s="152"/>
      <c r="AB77" s="154"/>
      <c r="AC77" s="154"/>
      <c r="AD77" s="154"/>
      <c r="AE77" s="154"/>
      <c r="AF77" s="154"/>
      <c r="AG77" s="154">
        <f>2*H77</f>
        <v>143.80000000000001</v>
      </c>
      <c r="AH77" s="154" t="s">
        <v>581</v>
      </c>
      <c r="AI77" s="156" t="s">
        <v>579</v>
      </c>
      <c r="AJ77" s="152" t="s">
        <v>575</v>
      </c>
      <c r="AK77" s="154"/>
      <c r="AL77" s="154"/>
      <c r="AM77" s="154"/>
      <c r="AN77" s="154"/>
      <c r="AO77" s="154"/>
      <c r="AP77" s="154"/>
      <c r="AQ77" s="154"/>
      <c r="AR77" s="154"/>
      <c r="AS77" s="154"/>
      <c r="AT77" s="154"/>
      <c r="AU77" s="154"/>
      <c r="AV77" s="154"/>
      <c r="AW77" s="154">
        <v>2</v>
      </c>
      <c r="AX77" s="154" t="s">
        <v>329</v>
      </c>
      <c r="AY77" s="154"/>
      <c r="AZ77" s="154"/>
      <c r="BA77" s="154">
        <v>2</v>
      </c>
      <c r="BB77" s="154"/>
      <c r="BC77" s="154" t="s">
        <v>329</v>
      </c>
      <c r="BD77" s="154" t="s">
        <v>329</v>
      </c>
      <c r="BE77" s="154"/>
      <c r="BF77" s="154"/>
      <c r="BG77" s="154"/>
      <c r="BH77" s="154"/>
      <c r="BI77" s="35"/>
      <c r="BJ77" s="35"/>
    </row>
    <row r="78" spans="1:62">
      <c r="A78" s="156" t="s">
        <v>429</v>
      </c>
      <c r="B78" s="156"/>
      <c r="C78" s="156" t="s">
        <v>326</v>
      </c>
      <c r="D78" s="156" t="s">
        <v>430</v>
      </c>
      <c r="E78" s="152" t="s">
        <v>612</v>
      </c>
      <c r="F78" s="152">
        <v>6</v>
      </c>
      <c r="G78" s="152">
        <v>10</v>
      </c>
      <c r="H78" s="78">
        <v>102.4</v>
      </c>
      <c r="I78" s="31">
        <v>16384</v>
      </c>
      <c r="J78" s="152" t="s">
        <v>581</v>
      </c>
      <c r="K78" s="156" t="s">
        <v>579</v>
      </c>
      <c r="L78" s="152">
        <v>2.6</v>
      </c>
      <c r="M78" s="152"/>
      <c r="N78" s="152"/>
      <c r="O78" s="152"/>
      <c r="P78" s="152"/>
      <c r="Q78" s="154">
        <v>204.8</v>
      </c>
      <c r="R78" s="154" t="s">
        <v>581</v>
      </c>
      <c r="S78" s="156" t="s">
        <v>579</v>
      </c>
      <c r="T78" s="154" t="s">
        <v>575</v>
      </c>
      <c r="U78" s="154"/>
      <c r="V78" s="154"/>
      <c r="W78" s="154"/>
      <c r="X78" s="154"/>
      <c r="Y78" s="156"/>
      <c r="Z78" s="156"/>
      <c r="AA78" s="156"/>
      <c r="AB78" s="154" t="s">
        <v>575</v>
      </c>
      <c r="AC78" s="154"/>
      <c r="AD78" s="154"/>
      <c r="AE78" s="154"/>
      <c r="AF78" s="154"/>
      <c r="AG78" s="154">
        <f>2*H78+Q78*2</f>
        <v>614.40000000000009</v>
      </c>
      <c r="AH78" s="154" t="s">
        <v>581</v>
      </c>
      <c r="AI78" s="156" t="s">
        <v>579</v>
      </c>
      <c r="AJ78" s="152" t="s">
        <v>575</v>
      </c>
      <c r="AK78" s="154"/>
      <c r="AL78" s="154"/>
      <c r="AM78" s="154"/>
      <c r="AN78" s="154"/>
      <c r="AO78" s="154"/>
      <c r="AP78" s="154"/>
      <c r="AQ78" s="154"/>
      <c r="AR78" s="154"/>
      <c r="AS78" s="154"/>
      <c r="AT78" s="154"/>
      <c r="AU78" s="154"/>
      <c r="AV78" s="154"/>
      <c r="AW78" s="154">
        <v>3</v>
      </c>
      <c r="AX78" s="154" t="s">
        <v>329</v>
      </c>
      <c r="AY78" s="154"/>
      <c r="AZ78" s="154"/>
      <c r="BA78" s="154">
        <v>2</v>
      </c>
      <c r="BB78" s="154"/>
      <c r="BC78" s="154" t="s">
        <v>329</v>
      </c>
      <c r="BD78" s="154" t="s">
        <v>329</v>
      </c>
      <c r="BE78" s="154"/>
      <c r="BF78" s="154"/>
      <c r="BG78" s="154"/>
      <c r="BH78" s="154"/>
      <c r="BI78" s="35"/>
      <c r="BJ78" s="35"/>
    </row>
    <row r="79" spans="1:62">
      <c r="A79" s="156" t="s">
        <v>432</v>
      </c>
      <c r="B79" s="156"/>
      <c r="C79" s="156" t="s">
        <v>326</v>
      </c>
      <c r="D79" s="156" t="s">
        <v>433</v>
      </c>
      <c r="E79" s="152" t="s">
        <v>613</v>
      </c>
      <c r="F79" s="152">
        <v>8</v>
      </c>
      <c r="G79" s="152">
        <v>16</v>
      </c>
      <c r="H79" s="154">
        <v>61.44</v>
      </c>
      <c r="I79" s="31">
        <v>4096</v>
      </c>
      <c r="J79" s="152" t="s">
        <v>581</v>
      </c>
      <c r="K79" s="156" t="s">
        <v>579</v>
      </c>
      <c r="L79" s="152">
        <v>2.6</v>
      </c>
      <c r="M79" s="152"/>
      <c r="N79" s="152"/>
      <c r="O79" s="152"/>
      <c r="P79" s="152"/>
      <c r="Q79" s="154"/>
      <c r="R79" s="154"/>
      <c r="S79" s="154"/>
      <c r="T79" s="154"/>
      <c r="U79" s="154"/>
      <c r="V79" s="154"/>
      <c r="W79" s="154"/>
      <c r="X79" s="154"/>
      <c r="Y79" s="154"/>
      <c r="Z79" s="154"/>
      <c r="AA79" s="154"/>
      <c r="AB79" s="154"/>
      <c r="AC79" s="154"/>
      <c r="AD79" s="154"/>
      <c r="AE79" s="154"/>
      <c r="AF79" s="154"/>
      <c r="AG79" s="154">
        <f>2*H79</f>
        <v>122.88</v>
      </c>
      <c r="AH79" s="154" t="s">
        <v>581</v>
      </c>
      <c r="AI79" s="156" t="s">
        <v>579</v>
      </c>
      <c r="AJ79" s="152" t="s">
        <v>575</v>
      </c>
      <c r="AK79" s="154"/>
      <c r="AL79" s="154"/>
      <c r="AM79" s="154"/>
      <c r="AN79" s="154"/>
      <c r="AO79" s="154"/>
      <c r="AP79" s="154"/>
      <c r="AQ79" s="154"/>
      <c r="AR79" s="154"/>
      <c r="AS79" s="154"/>
      <c r="AT79" s="154"/>
      <c r="AU79" s="154"/>
      <c r="AV79" s="154"/>
      <c r="AW79" s="154">
        <v>2</v>
      </c>
      <c r="AX79" s="154" t="s">
        <v>329</v>
      </c>
      <c r="AY79" s="154"/>
      <c r="AZ79" s="154"/>
      <c r="BA79" s="154">
        <v>2</v>
      </c>
      <c r="BB79" s="154"/>
      <c r="BC79" s="154" t="s">
        <v>329</v>
      </c>
      <c r="BD79" s="154" t="s">
        <v>329</v>
      </c>
      <c r="BE79" s="154"/>
      <c r="BF79" s="154"/>
      <c r="BG79" s="154"/>
      <c r="BH79" s="154"/>
      <c r="BI79" s="35"/>
      <c r="BJ79" s="35"/>
    </row>
    <row r="80" spans="1:62">
      <c r="A80" s="156" t="s">
        <v>435</v>
      </c>
      <c r="B80" s="156"/>
      <c r="C80" s="156" t="s">
        <v>326</v>
      </c>
      <c r="D80" s="156" t="s">
        <v>436</v>
      </c>
      <c r="E80" s="152" t="s">
        <v>614</v>
      </c>
      <c r="F80" s="152">
        <v>10</v>
      </c>
      <c r="G80" s="152">
        <v>10</v>
      </c>
      <c r="H80" s="78">
        <v>30.72</v>
      </c>
      <c r="I80" s="31">
        <v>4096</v>
      </c>
      <c r="J80" s="152" t="s">
        <v>581</v>
      </c>
      <c r="K80" s="156" t="s">
        <v>579</v>
      </c>
      <c r="L80" s="152">
        <v>2.6</v>
      </c>
      <c r="M80" s="152"/>
      <c r="N80" s="152"/>
      <c r="O80" s="152"/>
      <c r="P80" s="152"/>
      <c r="Q80" s="154"/>
      <c r="R80" s="154"/>
      <c r="S80" s="154"/>
      <c r="T80" s="154"/>
      <c r="U80" s="154"/>
      <c r="V80" s="154"/>
      <c r="W80" s="154"/>
      <c r="X80" s="154"/>
      <c r="Y80" s="154"/>
      <c r="Z80" s="154"/>
      <c r="AA80" s="154"/>
      <c r="AB80" s="154"/>
      <c r="AC80" s="154"/>
      <c r="AD80" s="154"/>
      <c r="AE80" s="154"/>
      <c r="AF80" s="154"/>
      <c r="AG80" s="154">
        <f>2*H80</f>
        <v>61.44</v>
      </c>
      <c r="AH80" s="154" t="s">
        <v>581</v>
      </c>
      <c r="AI80" s="156" t="s">
        <v>579</v>
      </c>
      <c r="AJ80" s="152" t="s">
        <v>575</v>
      </c>
      <c r="AK80" s="154"/>
      <c r="AL80" s="154"/>
      <c r="AM80" s="154"/>
      <c r="AN80" s="154"/>
      <c r="AO80" s="154"/>
      <c r="AP80" s="154"/>
      <c r="AQ80" s="154"/>
      <c r="AR80" s="154"/>
      <c r="AS80" s="154"/>
      <c r="AT80" s="154"/>
      <c r="AU80" s="154"/>
      <c r="AV80" s="154"/>
      <c r="AW80" s="154">
        <v>2</v>
      </c>
      <c r="AX80" s="154" t="s">
        <v>329</v>
      </c>
      <c r="AY80" s="154"/>
      <c r="AZ80" s="154"/>
      <c r="BA80" s="154">
        <v>2</v>
      </c>
      <c r="BB80" s="154"/>
      <c r="BC80" s="154" t="s">
        <v>329</v>
      </c>
      <c r="BD80" s="154" t="s">
        <v>329</v>
      </c>
      <c r="BE80" s="154"/>
      <c r="BF80" s="154"/>
      <c r="BG80" s="154"/>
      <c r="BH80" s="154"/>
      <c r="BI80" s="35"/>
      <c r="BJ80" s="35"/>
    </row>
    <row r="81" spans="1:62">
      <c r="A81" s="156" t="s">
        <v>437</v>
      </c>
      <c r="B81" s="156"/>
      <c r="C81" s="156" t="s">
        <v>326</v>
      </c>
      <c r="D81" s="156" t="s">
        <v>438</v>
      </c>
      <c r="E81" s="152" t="s">
        <v>615</v>
      </c>
      <c r="F81" s="152">
        <v>4</v>
      </c>
      <c r="G81" s="152">
        <v>16</v>
      </c>
      <c r="H81" s="154">
        <v>563.20000000000005</v>
      </c>
      <c r="I81" s="31">
        <v>4096</v>
      </c>
      <c r="J81" s="152" t="s">
        <v>581</v>
      </c>
      <c r="K81" s="156" t="s">
        <v>579</v>
      </c>
      <c r="L81" s="152">
        <v>2.6</v>
      </c>
      <c r="M81" s="152"/>
      <c r="N81" s="152"/>
      <c r="O81" s="152"/>
      <c r="P81" s="152"/>
      <c r="Q81" s="156"/>
      <c r="R81" s="154"/>
      <c r="S81" s="156"/>
      <c r="T81" s="154"/>
      <c r="U81" s="154"/>
      <c r="V81" s="154"/>
      <c r="W81" s="154"/>
      <c r="X81" s="154"/>
      <c r="Y81" s="154"/>
      <c r="Z81" s="154"/>
      <c r="AA81" s="154"/>
      <c r="AB81" s="154"/>
      <c r="AC81" s="154"/>
      <c r="AD81" s="154"/>
      <c r="AE81" s="154"/>
      <c r="AF81" s="154"/>
      <c r="AG81" s="154">
        <f>2*H81+Q81</f>
        <v>1126.4000000000001</v>
      </c>
      <c r="AH81" s="154" t="s">
        <v>581</v>
      </c>
      <c r="AI81" s="156" t="s">
        <v>579</v>
      </c>
      <c r="AJ81" s="152" t="s">
        <v>575</v>
      </c>
      <c r="AK81" s="154"/>
      <c r="AL81" s="154"/>
      <c r="AM81" s="154"/>
      <c r="AN81" s="154"/>
      <c r="AO81" s="154"/>
      <c r="AP81" s="154"/>
      <c r="AQ81" s="154"/>
      <c r="AR81" s="154"/>
      <c r="AS81" s="154"/>
      <c r="AT81" s="154"/>
      <c r="AU81" s="154"/>
      <c r="AV81" s="154"/>
      <c r="AW81" s="154">
        <v>2</v>
      </c>
      <c r="AX81" s="154" t="s">
        <v>329</v>
      </c>
      <c r="AY81" s="154"/>
      <c r="AZ81" s="154"/>
      <c r="BA81" s="154">
        <v>2</v>
      </c>
      <c r="BB81" s="154"/>
      <c r="BC81" s="154" t="s">
        <v>329</v>
      </c>
      <c r="BD81" s="154" t="s">
        <v>329</v>
      </c>
      <c r="BE81" s="154"/>
      <c r="BF81" s="154"/>
      <c r="BG81" s="154"/>
      <c r="BH81" s="154"/>
      <c r="BI81" s="35"/>
      <c r="BJ81" s="35"/>
    </row>
    <row r="82" spans="1:62">
      <c r="A82" s="156" t="s">
        <v>440</v>
      </c>
      <c r="B82" s="156"/>
      <c r="C82" s="156" t="s">
        <v>326</v>
      </c>
      <c r="D82" s="156" t="s">
        <v>441</v>
      </c>
      <c r="E82" s="152" t="s">
        <v>616</v>
      </c>
      <c r="F82" s="152">
        <v>2</v>
      </c>
      <c r="G82" s="152">
        <v>4</v>
      </c>
      <c r="H82" s="78">
        <v>40.96</v>
      </c>
      <c r="I82" s="31">
        <v>4096</v>
      </c>
      <c r="J82" s="152" t="s">
        <v>581</v>
      </c>
      <c r="K82" s="156" t="s">
        <v>579</v>
      </c>
      <c r="L82" s="152">
        <v>2.6</v>
      </c>
      <c r="M82" s="152"/>
      <c r="N82" s="152"/>
      <c r="O82" s="152"/>
      <c r="P82" s="152"/>
      <c r="Q82" s="154"/>
      <c r="R82" s="154"/>
      <c r="S82" s="156"/>
      <c r="T82" s="154"/>
      <c r="U82" s="154"/>
      <c r="V82" s="154"/>
      <c r="W82" s="154"/>
      <c r="X82" s="154"/>
      <c r="Y82" s="154">
        <v>51.2</v>
      </c>
      <c r="Z82" s="154" t="s">
        <v>581</v>
      </c>
      <c r="AA82" s="156" t="s">
        <v>579</v>
      </c>
      <c r="AB82" s="154"/>
      <c r="AC82" s="154"/>
      <c r="AD82" s="154"/>
      <c r="AE82" s="154"/>
      <c r="AF82" s="154"/>
      <c r="AG82" s="154">
        <f>H82*2+Y82*2</f>
        <v>184.32</v>
      </c>
      <c r="AH82" s="154" t="s">
        <v>581</v>
      </c>
      <c r="AI82" s="156" t="s">
        <v>579</v>
      </c>
      <c r="AJ82" s="152" t="s">
        <v>575</v>
      </c>
      <c r="AK82" s="154"/>
      <c r="AL82" s="154"/>
      <c r="AM82" s="154"/>
      <c r="AN82" s="154"/>
      <c r="AO82" s="154"/>
      <c r="AP82" s="154"/>
      <c r="AQ82" s="154"/>
      <c r="AR82" s="154"/>
      <c r="AS82" s="154"/>
      <c r="AT82" s="154"/>
      <c r="AU82" s="154"/>
      <c r="AV82" s="154"/>
      <c r="AW82" s="154">
        <v>3</v>
      </c>
      <c r="AX82" s="154" t="s">
        <v>329</v>
      </c>
      <c r="AY82" s="154"/>
      <c r="AZ82" s="154"/>
      <c r="BA82" s="154">
        <v>2</v>
      </c>
      <c r="BB82" s="154"/>
      <c r="BC82" s="154" t="s">
        <v>329</v>
      </c>
      <c r="BD82" s="154" t="s">
        <v>329</v>
      </c>
      <c r="BE82" s="154"/>
      <c r="BF82" s="154"/>
      <c r="BG82" s="154"/>
      <c r="BH82" s="154"/>
      <c r="BI82" s="35"/>
      <c r="BJ82" s="35"/>
    </row>
    <row r="83" spans="1:62">
      <c r="A83" s="35"/>
      <c r="B83" s="35"/>
      <c r="C83" s="35"/>
      <c r="D83" s="35"/>
      <c r="E83" s="156"/>
      <c r="F83" s="154">
        <f>F73+SUM(F77:F82)</f>
        <v>389</v>
      </c>
      <c r="G83" s="154">
        <f>G73+SUM(G77:G82)</f>
        <v>1128</v>
      </c>
      <c r="H83" s="154">
        <f>H73+SUM(H77:H82)</f>
        <v>6471.21</v>
      </c>
      <c r="I83" s="154"/>
      <c r="J83" s="154"/>
      <c r="K83" s="154"/>
      <c r="L83" s="154">
        <f>L73+SUM(L77:L82)</f>
        <v>1533.1999999999989</v>
      </c>
      <c r="M83" s="82">
        <f>M73+SUM(M77:M82)</f>
        <v>471.04</v>
      </c>
      <c r="N83" s="154"/>
      <c r="O83" s="154"/>
      <c r="P83" s="154">
        <f>P73+SUM(P77:P82)</f>
        <v>0.05</v>
      </c>
      <c r="Q83" s="82">
        <f>Q73+SUM(Q77:Q82)</f>
        <v>15769.599999999999</v>
      </c>
      <c r="R83" s="154"/>
      <c r="S83" s="154"/>
      <c r="T83" s="154">
        <f>T73+SUM(T77:T82)</f>
        <v>0.05</v>
      </c>
      <c r="U83" s="82">
        <f>U73+SUM(U77:U82)</f>
        <v>16998.400000000001</v>
      </c>
      <c r="V83" s="154"/>
      <c r="W83" s="154"/>
      <c r="X83" s="154">
        <f>X73+SUM(X77:X82)</f>
        <v>0.05</v>
      </c>
      <c r="Y83" s="82">
        <f>Y73+SUM(Y77:Y82)</f>
        <v>1331.2</v>
      </c>
      <c r="Z83" s="154"/>
      <c r="AA83" s="154"/>
      <c r="AB83" s="154">
        <f>AB73+SUM(AB77:AB82)</f>
        <v>0.1</v>
      </c>
      <c r="AC83" s="82">
        <f>AC73+SUM(AC77:AC82)</f>
        <v>276.48</v>
      </c>
      <c r="AD83" s="154"/>
      <c r="AE83" s="154"/>
      <c r="AF83" s="154">
        <f>AF73+SUM(AF77:AF82)</f>
        <v>0</v>
      </c>
      <c r="AG83" s="82">
        <f>AG73+SUM(AG77:AG82)</f>
        <v>45834.260000000009</v>
      </c>
      <c r="AH83" s="154"/>
      <c r="AI83" s="154"/>
      <c r="AJ83" s="154"/>
      <c r="AK83" s="82">
        <f>AK73+SUM(AK77:AK82)</f>
        <v>307.2</v>
      </c>
      <c r="AL83" s="154"/>
      <c r="AM83" s="154"/>
      <c r="AN83" s="154">
        <f>AN73+SUM(AN77:AN82)</f>
        <v>0.2</v>
      </c>
      <c r="AO83" s="154"/>
      <c r="AP83" s="154"/>
      <c r="AQ83" s="154"/>
      <c r="AR83" s="154"/>
      <c r="AS83" s="154"/>
      <c r="AT83" s="154"/>
      <c r="AU83" s="154"/>
      <c r="AV83" s="154"/>
      <c r="AW83" s="154">
        <f>AW73+SUM(AW77:AW82)</f>
        <v>189</v>
      </c>
      <c r="AX83" s="154">
        <f>AX73+COUNTIF(AX77:AX82,"x")</f>
        <v>65</v>
      </c>
      <c r="AY83" s="154">
        <v>3</v>
      </c>
      <c r="AZ83" s="154">
        <v>1</v>
      </c>
      <c r="BA83" s="154">
        <f>BA73+SUM(BA77:BA82)</f>
        <v>130</v>
      </c>
      <c r="BB83" s="154">
        <v>1</v>
      </c>
      <c r="BC83" s="154">
        <f>BC73+COUNTIF(BC77:BC82,"x")</f>
        <v>30</v>
      </c>
      <c r="BD83" s="154">
        <f>BD73+COUNTIF(BD77:BD82,"x")</f>
        <v>65</v>
      </c>
      <c r="BE83" s="152" t="s">
        <v>601</v>
      </c>
      <c r="BF83" s="152">
        <v>2</v>
      </c>
      <c r="BG83" s="152">
        <v>4</v>
      </c>
      <c r="BH83" s="152">
        <v>2</v>
      </c>
      <c r="BI83" s="35"/>
      <c r="BJ83" s="35"/>
    </row>
    <row r="85" spans="1:62">
      <c r="A85" s="156"/>
      <c r="B85" s="156"/>
      <c r="C85" s="156"/>
      <c r="D85" s="156"/>
      <c r="E85" s="156"/>
      <c r="F85" s="11"/>
      <c r="G85" s="156"/>
      <c r="H85" s="152"/>
      <c r="I85" s="152"/>
      <c r="J85" s="152"/>
      <c r="K85" s="152"/>
      <c r="L85" s="152"/>
      <c r="M85" s="152"/>
      <c r="N85" s="152"/>
      <c r="O85" s="152"/>
      <c r="P85" s="152"/>
      <c r="Q85" s="152"/>
      <c r="R85" s="152"/>
      <c r="S85" s="152"/>
      <c r="T85" s="152"/>
      <c r="U85" s="156"/>
      <c r="V85" s="156"/>
      <c r="W85" s="156"/>
      <c r="X85" s="156"/>
      <c r="Y85" s="156"/>
      <c r="Z85" s="156"/>
      <c r="AA85" s="156"/>
      <c r="AB85" s="156"/>
      <c r="AC85" s="156"/>
      <c r="AD85" s="156"/>
      <c r="AE85" s="156"/>
      <c r="AF85" s="156"/>
      <c r="AG85" s="156"/>
      <c r="AH85" s="156"/>
      <c r="AI85" s="156"/>
      <c r="AJ85" s="156"/>
      <c r="AK85" s="156"/>
      <c r="AL85" s="156"/>
      <c r="AM85" s="156"/>
      <c r="AN85" s="156"/>
      <c r="AO85" s="156"/>
      <c r="AP85" s="156"/>
      <c r="AQ85" s="156"/>
      <c r="AR85" s="156"/>
      <c r="AS85" s="156"/>
      <c r="AT85" s="156"/>
      <c r="AU85" s="156"/>
      <c r="AV85" s="156"/>
      <c r="AW85" s="156"/>
      <c r="AX85" s="156"/>
      <c r="AY85" s="156"/>
      <c r="AZ85" s="156"/>
      <c r="BA85" s="156"/>
      <c r="BB85" s="156"/>
      <c r="BC85" s="156"/>
      <c r="BD85" s="156"/>
      <c r="BE85" s="156"/>
      <c r="BF85" s="156"/>
      <c r="BG85" s="156"/>
      <c r="BH85" s="156"/>
      <c r="BI85" s="156"/>
      <c r="BJ85" s="156"/>
    </row>
  </sheetData>
  <mergeCells count="5">
    <mergeCell ref="A1:D1"/>
    <mergeCell ref="A3:B3"/>
    <mergeCell ref="F3:G3"/>
    <mergeCell ref="A4:B4"/>
    <mergeCell ref="A5:B5"/>
  </mergeCells>
  <hyperlinks>
    <hyperlink ref="F3:G3" location="Shortcuts!A1" display="Back to shortcuts" xr:uid="{C6F6A666-1B48-4A77-9C56-ED27FCD3AAA6}"/>
  </hyperlink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wner xmlns="71c5aaf6-e6ce-465b-b873-5148d2a4c105" xsi:nil="true"/>
    <DocumentType xmlns="71c5aaf6-e6ce-465b-b873-5148d2a4c105">Description</DocumentType>
    <NokiaConfidentiality xmlns="71c5aaf6-e6ce-465b-b873-5148d2a4c105">Nokia Internal Use</NokiaConfidentiality>
    <HideFromDelve xmlns="71c5aaf6-e6ce-465b-b873-5148d2a4c105">false</HideFromDelve>
    <_dlc_DocId xmlns="71c5aaf6-e6ce-465b-b873-5148d2a4c105">UQI4PLNILP2N-1772880183-177544</_dlc_DocId>
    <_dlc_DocIdUrl xmlns="71c5aaf6-e6ce-465b-b873-5148d2a4c105">
      <Url>https://nokia.sharepoint.com/sites/DSS_team_site/_layouts/15/DocIdRedir.aspx?ID=UQI4PLNILP2N-1772880183-177544</Url>
      <Description>UQI4PLNILP2N-1772880183-177544</Description>
    </_dlc_DocIdUrl>
  </documentManagement>
</p:properties>
</file>

<file path=customXml/item4.xml><?xml version="1.0" encoding="utf-8"?>
<?mso-contentType ?>
<SharedContentType xmlns="Microsoft.SharePoint.Taxonomy.ContentTypeSync" SourceId="34c87397-5fc1-491e-85e7-d6110dbe9cbd" ContentTypeId="0x010100CE50E52E7543470BBDD3827FE50C59CB"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Nokia Document" ma:contentTypeID="0x010100CE50E52E7543470BBDD3827FE50C59CB000E58D7000A8E4A4DBBE7E818CFFA5976" ma:contentTypeVersion="22" ma:contentTypeDescription="Create Nokia Word Document" ma:contentTypeScope="" ma:versionID="2d5c3b5f2d01f8eee191812de9684afe">
  <xsd:schema xmlns:xsd="http://www.w3.org/2001/XMLSchema" xmlns:xs="http://www.w3.org/2001/XMLSchema" xmlns:p="http://schemas.microsoft.com/office/2006/metadata/properties" xmlns:ns2="71c5aaf6-e6ce-465b-b873-5148d2a4c105" targetNamespace="http://schemas.microsoft.com/office/2006/metadata/properties" ma:root="true" ma:fieldsID="0043c8f4dbc20e66a651380752cd078a" ns2:_="">
    <xsd:import namespace="71c5aaf6-e6ce-465b-b873-5148d2a4c105"/>
    <xsd:element name="properties">
      <xsd:complexType>
        <xsd:sequence>
          <xsd:element name="documentManagement">
            <xsd:complexType>
              <xsd:all>
                <xsd:element ref="ns2:DocumentType" minOccurs="0"/>
                <xsd:element ref="ns2:NokiaConfidentiality" minOccurs="0"/>
                <xsd:element ref="ns2:Owner" minOccurs="0"/>
                <xsd:element ref="ns2:_dlc_DocId" minOccurs="0"/>
                <xsd:element ref="ns2:_dlc_DocIdUrl" minOccurs="0"/>
                <xsd:element ref="ns2:_dlc_DocIdPersistId" minOccurs="0"/>
                <xsd:element ref="ns2:HideFromDelv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DocumentType" ma:index="8" nillable="true" ma:displayName="Document Type" ma:default="Description" ma:description="Document type specifies the content of the document" ma:format="Dropdown" ma:internalName="DocumentType" ma:readOnly="false">
      <xsd:simpleType>
        <xsd:restriction base="dms:Choice">
          <xsd:enumeration value="Policy"/>
          <xsd:enumeration value="Strategy"/>
          <xsd:enumeration value="Objectives / Targets"/>
          <xsd:enumeration value="Plan / Schedule"/>
          <xsd:enumeration value="Governance"/>
          <xsd:enumeration value="Organization"/>
          <xsd:enumeration value="Review Material"/>
          <xsd:enumeration value="Communication"/>
          <xsd:enumeration value="Minutes"/>
          <xsd:enumeration value="Training"/>
          <xsd:enumeration value="Standard Operating Procedure"/>
          <xsd:enumeration value="Process / Procedure / Standard"/>
          <xsd:enumeration value="Guideline / Manual / Instruction"/>
          <xsd:enumeration value="Description"/>
          <xsd:enumeration value="Form / Template"/>
          <xsd:enumeration value="Checklist"/>
          <xsd:enumeration value="Bid / Offer"/>
          <xsd:enumeration value="Contract / Order"/>
          <xsd:enumeration value="List"/>
          <xsd:enumeration value="Roadmap"/>
          <xsd:enumeration value="Requirement / Specification"/>
          <xsd:enumeration value="Design"/>
          <xsd:enumeration value="Concept / Proposal"/>
          <xsd:enumeration value="Measurement / KPI"/>
          <xsd:enumeration value="Report"/>
          <xsd:enumeration value="Best Practice / Lessons Learnt"/>
          <xsd:enumeration value="Analysis / Assessment"/>
          <xsd:enumeration value="Survey"/>
        </xsd:restriction>
      </xsd:simpleType>
    </xsd:element>
    <xsd:element name="NokiaConfidentiality" ma:index="9" nillable="true" ma:displayName="Nokia Confidentiality" ma:default="Nokia Internal Use" ma:format="Dropdown" ma:internalName="NokiaConfidentiality" ma:readOnly="false">
      <xsd:simpleType>
        <xsd:restriction base="dms:Choice">
          <xsd:enumeration value="Nokia Internal Use"/>
          <xsd:enumeration value="Confidential"/>
          <xsd:enumeration value="Secret"/>
          <xsd:enumeration value="Public"/>
        </xsd:restriction>
      </xsd:simpleType>
    </xsd:element>
    <xsd:element name="Owner" ma:index="10" nillable="true" ma:displayName="Owner" ma:description="Owner identifies the person or group who owns the document (default value is the same as the Creator of the document)" ma:internalName="Owner">
      <xsd:simpleType>
        <xsd:restriction base="dms:Text"/>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element name="HideFromDelve" ma:index="14" nillable="true" ma:displayName="HideFromDelve" ma:default="0" ma:internalName="HideFromDel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C2E552-67B9-497D-BF86-458875F3D89D}">
  <ds:schemaRefs>
    <ds:schemaRef ds:uri="http://schemas.microsoft.com/office/2006/metadata/customXsn"/>
  </ds:schemaRefs>
</ds:datastoreItem>
</file>

<file path=customXml/itemProps2.xml><?xml version="1.0" encoding="utf-8"?>
<ds:datastoreItem xmlns:ds="http://schemas.openxmlformats.org/officeDocument/2006/customXml" ds:itemID="{97AFF2E7-3B79-4D93-BB1A-3B92915569B0}">
  <ds:schemaRefs>
    <ds:schemaRef ds:uri="http://schemas.microsoft.com/sharepoint/v3/contenttype/forms"/>
  </ds:schemaRefs>
</ds:datastoreItem>
</file>

<file path=customXml/itemProps3.xml><?xml version="1.0" encoding="utf-8"?>
<ds:datastoreItem xmlns:ds="http://schemas.openxmlformats.org/officeDocument/2006/customXml" ds:itemID="{D6AC0134-1107-46DF-BE7A-7854C6F045ED}">
  <ds:schemaRefs>
    <ds:schemaRef ds:uri="http://schemas.microsoft.com/office/2006/metadata/properties"/>
    <ds:schemaRef ds:uri="http://schemas.microsoft.com/office/infopath/2007/PartnerControls"/>
    <ds:schemaRef ds:uri="71c5aaf6-e6ce-465b-b873-5148d2a4c105"/>
  </ds:schemaRefs>
</ds:datastoreItem>
</file>

<file path=customXml/itemProps4.xml><?xml version="1.0" encoding="utf-8"?>
<ds:datastoreItem xmlns:ds="http://schemas.openxmlformats.org/officeDocument/2006/customXml" ds:itemID="{6CE5B627-8FA0-4923-B51D-60526B80C237}">
  <ds:schemaRefs>
    <ds:schemaRef ds:uri="Microsoft.SharePoint.Taxonomy.ContentTypeSync"/>
  </ds:schemaRefs>
</ds:datastoreItem>
</file>

<file path=customXml/itemProps5.xml><?xml version="1.0" encoding="utf-8"?>
<ds:datastoreItem xmlns:ds="http://schemas.openxmlformats.org/officeDocument/2006/customXml" ds:itemID="{8AB9A665-47C9-48FD-ADC9-CB7FECE00BE1}">
  <ds:schemaRefs>
    <ds:schemaRef ds:uri="http://schemas.microsoft.com/sharepoint/events"/>
  </ds:schemaRefs>
</ds:datastoreItem>
</file>

<file path=customXml/itemProps6.xml><?xml version="1.0" encoding="utf-8"?>
<ds:datastoreItem xmlns:ds="http://schemas.openxmlformats.org/officeDocument/2006/customXml" ds:itemID="{AB363071-D48F-49C0-91F8-CE91EE72B1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134</vt:i4>
      </vt:variant>
    </vt:vector>
  </HeadingPairs>
  <TitlesOfParts>
    <vt:vector size="153" baseType="lpstr">
      <vt:lpstr>Front Page</vt:lpstr>
      <vt:lpstr>Change history</vt:lpstr>
      <vt:lpstr>Virtual Machines</vt:lpstr>
      <vt:lpstr>Cloud Configuration</vt:lpstr>
      <vt:lpstr>Number of Servers Required</vt:lpstr>
      <vt:lpstr>Small 22</vt:lpstr>
      <vt:lpstr>Mainstream 22</vt:lpstr>
      <vt:lpstr>Large 22</vt:lpstr>
      <vt:lpstr>XXL 22</vt:lpstr>
      <vt:lpstr>3XL 22</vt:lpstr>
      <vt:lpstr>Small 22 SW on VMware</vt:lpstr>
      <vt:lpstr>Small 22 SW on OpenStack</vt:lpstr>
      <vt:lpstr>Mainstream 22 SW on VMware</vt:lpstr>
      <vt:lpstr>Mainstream 22 SW on OpenStack</vt:lpstr>
      <vt:lpstr>Large 22 SW on VMware</vt:lpstr>
      <vt:lpstr>Large 22 SW on OpenStack</vt:lpstr>
      <vt:lpstr>XXL 22 SW on VMware</vt:lpstr>
      <vt:lpstr>XXL 22 SW on OpenStack</vt:lpstr>
      <vt:lpstr>3XL 22 SW on OpenStack</vt:lpstr>
      <vt:lpstr>'Cloud Configuration'!BTSMediationOpenStack</vt:lpstr>
      <vt:lpstr>'Cloud Configuration'!BTSMediationVMware</vt:lpstr>
      <vt:lpstr>LargeADM22OpenStack</vt:lpstr>
      <vt:lpstr>LargeADM22Vmware</vt:lpstr>
      <vt:lpstr>LargeCustomer22OpenStack</vt:lpstr>
      <vt:lpstr>LargeCustomer22VMware</vt:lpstr>
      <vt:lpstr>'Cloud Configuration'!LargeDatabase2304Arc</vt:lpstr>
      <vt:lpstr>LargeDatabase2304BackupOpenStack22</vt:lpstr>
      <vt:lpstr>'Cloud Configuration'!LargeDatabase2304Redo</vt:lpstr>
      <vt:lpstr>'Cloud Configuration'!LargeDatabase2304vRAM</vt:lpstr>
      <vt:lpstr>'Cloud Configuration'!LargeDatabase2500Arc</vt:lpstr>
      <vt:lpstr>LargeDatabase2500BackupVMware22</vt:lpstr>
      <vt:lpstr>'Cloud Configuration'!LargeDatabase2500Redo</vt:lpstr>
      <vt:lpstr>'Cloud Configuration'!LargeDatabase2500vRAM</vt:lpstr>
      <vt:lpstr>'Cloud Configuration'!LargeDatabase3150Arc</vt:lpstr>
      <vt:lpstr>LargeDatabase3150BackupOpenStack22</vt:lpstr>
      <vt:lpstr>'Cloud Configuration'!LargeDatabase3150Redo</vt:lpstr>
      <vt:lpstr>'Cloud Configuration'!LargeDatabase3150vRAM</vt:lpstr>
      <vt:lpstr>'Cloud Configuration'!LargeDatabase3418Arc</vt:lpstr>
      <vt:lpstr>LargeDatabase3418BackupVMware22</vt:lpstr>
      <vt:lpstr>'Cloud Configuration'!LargeDatabase3418Redo</vt:lpstr>
      <vt:lpstr>'Cloud Configuration'!LargeDatabase3418vRAM</vt:lpstr>
      <vt:lpstr>'Cloud Configuration'!LargeDatabase4147Arc</vt:lpstr>
      <vt:lpstr>LargeDatabase4147BackupOpenStack22</vt:lpstr>
      <vt:lpstr>'Cloud Configuration'!LargeDatabase4147Redo</vt:lpstr>
      <vt:lpstr>'Cloud Configuration'!LargeDatabase4147vRAM</vt:lpstr>
      <vt:lpstr>'Cloud Configuration'!LargeDatabase4500Arc</vt:lpstr>
      <vt:lpstr>'Cloud Configuration'!LargeDatabase4500Redo</vt:lpstr>
      <vt:lpstr>'Cloud Configuration'!LargeDatabase4500vRAM</vt:lpstr>
      <vt:lpstr>'Cloud Configuration'!LargeDatabaseOpenStack</vt:lpstr>
      <vt:lpstr>'Cloud Configuration'!LargeDatabaseVMware</vt:lpstr>
      <vt:lpstr>LargeExtRep22OpenStack</vt:lpstr>
      <vt:lpstr>LargeExtRep22VMware</vt:lpstr>
      <vt:lpstr>LargeGlobal22OpenStack</vt:lpstr>
      <vt:lpstr>LargeGlobal22VMware</vt:lpstr>
      <vt:lpstr>LargeISDK22OpenStack</vt:lpstr>
      <vt:lpstr>LargeISDK22Vmware</vt:lpstr>
      <vt:lpstr>'Cloud Configuration'!LargeUsers</vt:lpstr>
      <vt:lpstr>MainstreamADM22OpenStack</vt:lpstr>
      <vt:lpstr>MainstreamADM22Vmware</vt:lpstr>
      <vt:lpstr>MainstreamCustomer22OpenStack</vt:lpstr>
      <vt:lpstr>MainstreamCustomer22VMware</vt:lpstr>
      <vt:lpstr>'Cloud Configuration'!MainstreamDatabase1382Arc</vt:lpstr>
      <vt:lpstr>MainstreamDatabase1382BackupOpenStack22</vt:lpstr>
      <vt:lpstr>'Cloud Configuration'!MainstreamDatabase1382Redo</vt:lpstr>
      <vt:lpstr>'Cloud Configuration'!MainstreamDatabase1382vRAM</vt:lpstr>
      <vt:lpstr>'Cloud Configuration'!MainstreamDatabase1500Arc</vt:lpstr>
      <vt:lpstr>MainstreamDatabase1500BackupVMware22</vt:lpstr>
      <vt:lpstr>'Cloud Configuration'!MainstreamDatabase1500Redo</vt:lpstr>
      <vt:lpstr>'Cloud Configuration'!MainstreamDatabase1500vRAM</vt:lpstr>
      <vt:lpstr>'Cloud Configuration'!MainstreamDatabase1900Arc</vt:lpstr>
      <vt:lpstr>MainstreamDatabase1900BackupOpenStack22</vt:lpstr>
      <vt:lpstr>'Cloud Configuration'!MainstreamDatabase1900Redo</vt:lpstr>
      <vt:lpstr>'Cloud Configuration'!MainstreamDatabase1900vRAM</vt:lpstr>
      <vt:lpstr>'Cloud Configuration'!MainstreamDatabase2062Arc</vt:lpstr>
      <vt:lpstr>MainstreamDatabase2062BackupVMware22</vt:lpstr>
      <vt:lpstr>'Cloud Configuration'!MainstreamDatabase2062Redo</vt:lpstr>
      <vt:lpstr>'Cloud Configuration'!MainstreamDatabase2062vRAM</vt:lpstr>
      <vt:lpstr>'Cloud Configuration'!MainstreamDatabaseOpenStack</vt:lpstr>
      <vt:lpstr>'Cloud Configuration'!MainstreamDatabaseVMware</vt:lpstr>
      <vt:lpstr>MainstreamExtRep22OpenStack</vt:lpstr>
      <vt:lpstr>MainstreamExtRep22VMware</vt:lpstr>
      <vt:lpstr>MainstreamGlobal22OpenStack</vt:lpstr>
      <vt:lpstr>MainstreamGlobal22VMware</vt:lpstr>
      <vt:lpstr>MainstreamISDK22OpenStack</vt:lpstr>
      <vt:lpstr>MainstreamISDK22Vmware</vt:lpstr>
      <vt:lpstr>'Cloud Configuration'!MainstreamUsers</vt:lpstr>
      <vt:lpstr>OpenStack</vt:lpstr>
      <vt:lpstr>OpenStack22</vt:lpstr>
      <vt:lpstr>OpenStackConfigurationType</vt:lpstr>
      <vt:lpstr>SmallADM22OpenStack</vt:lpstr>
      <vt:lpstr>SmallADM22Vmware</vt:lpstr>
      <vt:lpstr>SmallCustomer22OpenStack</vt:lpstr>
      <vt:lpstr>SmallCustomer22VMware</vt:lpstr>
      <vt:lpstr>'Cloud Configuration'!SmallDatabase1100Arc</vt:lpstr>
      <vt:lpstr>SmallDatabase1100BackupOpenStack22</vt:lpstr>
      <vt:lpstr>'Cloud Configuration'!SmallDatabase1100Redo</vt:lpstr>
      <vt:lpstr>'Cloud Configuration'!SmallDatabase1100vRAM</vt:lpstr>
      <vt:lpstr>'Cloud Configuration'!SmallDatabase1194Arc</vt:lpstr>
      <vt:lpstr>SmallDatabase1194BackupVMware22</vt:lpstr>
      <vt:lpstr>'Cloud Configuration'!SmallDatabase1194Redo</vt:lpstr>
      <vt:lpstr>'Cloud Configuration'!SmallDatabase1194vRAM</vt:lpstr>
      <vt:lpstr>'Cloud Configuration'!SmallDatabase691Arc</vt:lpstr>
      <vt:lpstr>SmallDatabase691BackupOpenStack22</vt:lpstr>
      <vt:lpstr>'Cloud Configuration'!SmallDatabase691Redo</vt:lpstr>
      <vt:lpstr>'Cloud Configuration'!SmallDatabase691vRAM</vt:lpstr>
      <vt:lpstr>'Cloud Configuration'!SmallDatabase750Arc</vt:lpstr>
      <vt:lpstr>SmallDatabase750BackupVMware22</vt:lpstr>
      <vt:lpstr>'Cloud Configuration'!SmallDatabase750Redo</vt:lpstr>
      <vt:lpstr>'Cloud Configuration'!SmallDatabase750vRAM</vt:lpstr>
      <vt:lpstr>'Cloud Configuration'!SmallDatabaseOpenStack</vt:lpstr>
      <vt:lpstr>'Cloud Configuration'!SmallDatabaseVMware</vt:lpstr>
      <vt:lpstr>SmallExtRep22OpenStack</vt:lpstr>
      <vt:lpstr>SmallExtRep22VMware</vt:lpstr>
      <vt:lpstr>SmallGlobal22OpenStack</vt:lpstr>
      <vt:lpstr>SmallGlobal22VMware</vt:lpstr>
      <vt:lpstr>SmallISDK22OpenStack</vt:lpstr>
      <vt:lpstr>SmallISDK22Vmware</vt:lpstr>
      <vt:lpstr>'Cloud Configuration'!SmallUsers</vt:lpstr>
      <vt:lpstr>Vmware</vt:lpstr>
      <vt:lpstr>Vmware22</vt:lpstr>
      <vt:lpstr>VMWareConfigurationType</vt:lpstr>
      <vt:lpstr>XXLADM22OpenStack</vt:lpstr>
      <vt:lpstr>XXLADM22Vmware</vt:lpstr>
      <vt:lpstr>XXLCustomer22OpenStack</vt:lpstr>
      <vt:lpstr>XXLCustomer22VMWare</vt:lpstr>
      <vt:lpstr>'Cloud Configuration'!XXLDatabase8294Arc</vt:lpstr>
      <vt:lpstr>XXLDatabase8294BackupOpenStack22</vt:lpstr>
      <vt:lpstr>'Cloud Configuration'!XXLDatabase8294Redo</vt:lpstr>
      <vt:lpstr>'Cloud Configuration'!XXLDatabase8294vRAM</vt:lpstr>
      <vt:lpstr>'Cloud Configuration'!XXLDatabase9000Arc</vt:lpstr>
      <vt:lpstr>XXLDatabase9000BackupVMware22</vt:lpstr>
      <vt:lpstr>'Cloud Configuration'!XXLDatabase9000Redo</vt:lpstr>
      <vt:lpstr>'Cloud Configuration'!XXLDatabase9000vRAM</vt:lpstr>
      <vt:lpstr>'Cloud Configuration'!XXLDatabaseOpenStack</vt:lpstr>
      <vt:lpstr>'Cloud Configuration'!XXLDatabaseVMware</vt:lpstr>
      <vt:lpstr>XXLExtRep22OpenStack</vt:lpstr>
      <vt:lpstr>XXLExtRep22VMware</vt:lpstr>
      <vt:lpstr>XXLGlobal22OpenStack</vt:lpstr>
      <vt:lpstr>XXLGlobal22VMware</vt:lpstr>
      <vt:lpstr>XXLISDK22OpenStack</vt:lpstr>
      <vt:lpstr>XXLISDK22Vmware</vt:lpstr>
      <vt:lpstr>'Cloud Configuration'!XXLUsers</vt:lpstr>
      <vt:lpstr>XXXLADM22OpenStack</vt:lpstr>
      <vt:lpstr>XXXLCustomer22OpenStack</vt:lpstr>
      <vt:lpstr>XXXLDatabase15565Arc</vt:lpstr>
      <vt:lpstr>XXXLDatabase15565BackupOpenStack22</vt:lpstr>
      <vt:lpstr>XXXLDatabase15565Redo</vt:lpstr>
      <vt:lpstr>XXXLDatabase15565vRAM</vt:lpstr>
      <vt:lpstr>XXXLDatabaseOpenstack</vt:lpstr>
      <vt:lpstr>XXXLExtRep22OpenStack</vt:lpstr>
      <vt:lpstr>XXXLGlobal22OpenStack</vt:lpstr>
      <vt:lpstr>XXXLISDK22OpenStack</vt:lpstr>
      <vt:lpstr>XXXLUsers</vt:lpstr>
    </vt:vector>
  </TitlesOfParts>
  <Manager/>
  <Company>Nokia Siemens Networks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NetAct 19A Node Architecture and Resource Plan Customer version</dc:title>
  <dc:subject/>
  <dc:creator>jarmylly</dc:creator>
  <cp:keywords/>
  <dc:description/>
  <cp:lastModifiedBy>Mehar, Dayanand (Nokia - IN/Bangalore)</cp:lastModifiedBy>
  <cp:revision/>
  <dcterms:created xsi:type="dcterms:W3CDTF">2013-01-13T09:29:29Z</dcterms:created>
  <dcterms:modified xsi:type="dcterms:W3CDTF">2021-03-26T04:53:55Z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0x010100CE50E52E7543470BBDD3827FE50C59CB000E58D7000A8E4A4DBBE7E818CFFA5976</vt:lpwstr>
  </property>
  <property fmtid="{D5CDD505-2E9C-101B-9397-08002B2CF9AE}" pid="3" name="_dlc_DocIdItemGuid">
    <vt:lpwstr>8065ba66-0b86-45f6-b20c-8ead77980e5e</vt:lpwstr>
  </property>
  <property fmtid="{D5CDD505-2E9C-101B-9397-08002B2CF9AE}" pid="4" name="AuthorIds_UIVersion_513">
    <vt:lpwstr>45</vt:lpwstr>
  </property>
</Properties>
</file>