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carbontrust-my.sharepoint.com/personal/dayan_rodriguez_carbontrust_com/Documents/Documents/Financial Reports/2024/"/>
    </mc:Choice>
  </mc:AlternateContent>
  <xr:revisionPtr revIDLastSave="253" documentId="8_{33B8F2FB-D245-4A6A-B904-95CEF59A70DC}" xr6:coauthVersionLast="47" xr6:coauthVersionMax="47" xr10:uidLastSave="{AEA97190-AF91-45E8-A95A-2BA10CDE0EE3}"/>
  <bookViews>
    <workbookView xWindow="28680" yWindow="-120" windowWidth="29040" windowHeight="15720" xr2:uid="{C23F71B2-8538-42A3-B98A-EE468968249E}"/>
  </bookViews>
  <sheets>
    <sheet name="GeneralPipelineProgress" sheetId="69" r:id="rId1"/>
    <sheet name="Currency MXN" sheetId="70" r:id="rId2"/>
    <sheet name="Currency GBP" sheetId="71" r:id="rId3"/>
  </sheets>
  <externalReferences>
    <externalReference r:id="rId4"/>
  </externalReferences>
  <definedNames>
    <definedName name="QTR">[1]Index!$B$2:$B$28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69" l="1"/>
  <c r="L3" i="69"/>
  <c r="L4" i="69"/>
  <c r="Q4" i="69" s="1"/>
  <c r="L5" i="69"/>
  <c r="L6" i="69"/>
  <c r="L7" i="69"/>
  <c r="Q7" i="69" s="1"/>
  <c r="L8" i="69"/>
  <c r="Q8" i="69" s="1"/>
  <c r="L9" i="69"/>
  <c r="Q9" i="69" s="1"/>
  <c r="L10" i="69"/>
  <c r="L11" i="69"/>
  <c r="L12" i="69"/>
  <c r="L13" i="69"/>
  <c r="L14" i="69"/>
  <c r="L15" i="69"/>
  <c r="Q15" i="69" s="1"/>
  <c r="L16" i="69"/>
  <c r="Q16" i="69" s="1"/>
  <c r="L17" i="69"/>
  <c r="Q17" i="69" s="1"/>
  <c r="L18" i="69"/>
  <c r="L19" i="69"/>
  <c r="Q19" i="69" s="1"/>
  <c r="L20" i="69"/>
  <c r="Q20" i="69" s="1"/>
  <c r="L21" i="69"/>
  <c r="L22" i="69"/>
  <c r="L23" i="69"/>
  <c r="L24" i="69"/>
  <c r="Q24" i="69" s="1"/>
  <c r="L25" i="69"/>
  <c r="Q25" i="69" s="1"/>
  <c r="L26" i="69"/>
  <c r="L27" i="69"/>
  <c r="Q27" i="69" s="1"/>
  <c r="L28" i="69"/>
  <c r="L29" i="69"/>
  <c r="L30" i="69"/>
  <c r="L31" i="69"/>
  <c r="Q31" i="69" s="1"/>
  <c r="L32" i="69"/>
  <c r="Q32" i="69" s="1"/>
  <c r="L33" i="69"/>
  <c r="Q33" i="69" s="1"/>
  <c r="L34" i="69"/>
  <c r="L35" i="69"/>
  <c r="L36" i="69"/>
  <c r="Q36" i="69" s="1"/>
  <c r="L37" i="69"/>
  <c r="L38" i="69"/>
  <c r="L39" i="69"/>
  <c r="Q39" i="69" s="1"/>
  <c r="L40" i="69"/>
  <c r="Q40" i="69" s="1"/>
  <c r="L41" i="69"/>
  <c r="L42" i="69"/>
  <c r="L43" i="69"/>
  <c r="L44" i="69"/>
  <c r="Q44" i="69" s="1"/>
  <c r="L45" i="69"/>
  <c r="L46" i="69"/>
  <c r="L47" i="69"/>
  <c r="L48" i="69"/>
  <c r="Q48" i="69" s="1"/>
  <c r="L49" i="69"/>
  <c r="Q49" i="69" s="1"/>
  <c r="L50" i="69"/>
  <c r="L51" i="69"/>
  <c r="L52" i="69"/>
  <c r="L53" i="69"/>
  <c r="L54" i="69"/>
  <c r="L55" i="69"/>
  <c r="Q55" i="69" s="1"/>
  <c r="L56" i="69"/>
  <c r="Q56" i="69" s="1"/>
  <c r="L57" i="69"/>
  <c r="L58" i="69"/>
  <c r="L59" i="69"/>
  <c r="L60" i="69"/>
  <c r="Q60" i="69" s="1"/>
  <c r="L61" i="69"/>
  <c r="L62" i="69"/>
  <c r="L63" i="69"/>
  <c r="Q63" i="69" s="1"/>
  <c r="L64" i="69"/>
  <c r="Q64" i="69" s="1"/>
  <c r="L65" i="69"/>
  <c r="L66" i="69"/>
  <c r="L67" i="69"/>
  <c r="Q67" i="69" s="1"/>
  <c r="L68" i="69"/>
  <c r="L69" i="69"/>
  <c r="L70" i="69"/>
  <c r="L71" i="69"/>
  <c r="Q71" i="69" s="1"/>
  <c r="L72" i="69"/>
  <c r="Q72" i="69" s="1"/>
  <c r="L73" i="69"/>
  <c r="Q73" i="69" s="1"/>
  <c r="L74" i="69"/>
  <c r="Q74" i="69" s="1"/>
  <c r="L75" i="69"/>
  <c r="L76" i="69"/>
  <c r="Q76" i="69" s="1"/>
  <c r="L77" i="69"/>
  <c r="L78" i="69"/>
  <c r="L79" i="69"/>
  <c r="L80" i="69"/>
  <c r="L81" i="69"/>
  <c r="Q81" i="69" s="1"/>
  <c r="L82" i="69"/>
  <c r="Q82" i="69" s="1"/>
  <c r="L83" i="69"/>
  <c r="Q83" i="69" s="1"/>
  <c r="L84" i="69"/>
  <c r="L85" i="69"/>
  <c r="L86" i="69"/>
  <c r="L87" i="69"/>
  <c r="Q87" i="69" s="1"/>
  <c r="L88" i="69"/>
  <c r="Q88" i="69" s="1"/>
  <c r="L89" i="69"/>
  <c r="Q89" i="69" s="1"/>
  <c r="L90" i="69"/>
  <c r="L91" i="69"/>
  <c r="Q91" i="69" s="1"/>
  <c r="L92" i="69"/>
  <c r="Q92" i="69" s="1"/>
  <c r="L93" i="69"/>
  <c r="L94" i="69"/>
  <c r="L95" i="69"/>
  <c r="Q95" i="69" s="1"/>
  <c r="L96" i="69"/>
  <c r="L97" i="69"/>
  <c r="Q97" i="69" s="1"/>
  <c r="L98" i="69"/>
  <c r="Q98" i="69" s="1"/>
  <c r="L99" i="69"/>
  <c r="Q99" i="69" s="1"/>
  <c r="L100" i="69"/>
  <c r="L101" i="69"/>
  <c r="L102" i="69"/>
  <c r="L103" i="69"/>
  <c r="Q103" i="69" s="1"/>
  <c r="L104" i="69"/>
  <c r="L105" i="69"/>
  <c r="Q105" i="69" s="1"/>
  <c r="L106" i="69"/>
  <c r="Q106" i="69" s="1"/>
  <c r="L107" i="69"/>
  <c r="Q107" i="69" s="1"/>
  <c r="L108" i="69"/>
  <c r="Q108" i="69" s="1"/>
  <c r="L109" i="69"/>
  <c r="L110" i="69"/>
  <c r="L111" i="69"/>
  <c r="L112" i="69"/>
  <c r="L113" i="69"/>
  <c r="Q113" i="69" s="1"/>
  <c r="L114" i="69"/>
  <c r="L115" i="69"/>
  <c r="O115" i="69"/>
  <c r="P115" i="69" s="1"/>
  <c r="J115" i="69"/>
  <c r="G115" i="69"/>
  <c r="O114" i="69"/>
  <c r="P114" i="69" s="1"/>
  <c r="H114" i="69"/>
  <c r="J114" i="69" s="1"/>
  <c r="G114" i="69"/>
  <c r="O113" i="69"/>
  <c r="P113" i="69" s="1"/>
  <c r="H113" i="69"/>
  <c r="J113" i="69" s="1"/>
  <c r="G113" i="69"/>
  <c r="O112" i="69"/>
  <c r="P112" i="69" s="1"/>
  <c r="J112" i="69"/>
  <c r="G112" i="69"/>
  <c r="O111" i="69"/>
  <c r="P111" i="69" s="1"/>
  <c r="H111" i="69"/>
  <c r="J111" i="69" s="1"/>
  <c r="O110" i="69"/>
  <c r="P110" i="69" s="1"/>
  <c r="H110" i="69"/>
  <c r="J110" i="69" s="1"/>
  <c r="G110" i="69"/>
  <c r="O109" i="69"/>
  <c r="P109" i="69" s="1"/>
  <c r="Q109" i="69"/>
  <c r="H109" i="69"/>
  <c r="J109" i="69" s="1"/>
  <c r="G109" i="69"/>
  <c r="O108" i="69"/>
  <c r="P108" i="69" s="1"/>
  <c r="H108" i="69"/>
  <c r="J108" i="69" s="1"/>
  <c r="G108" i="69"/>
  <c r="O107" i="69"/>
  <c r="H107" i="69"/>
  <c r="J107" i="69" s="1"/>
  <c r="G107" i="69"/>
  <c r="O106" i="69"/>
  <c r="H106" i="69"/>
  <c r="J106" i="69" s="1"/>
  <c r="G106" i="69"/>
  <c r="O105" i="69"/>
  <c r="H105" i="69"/>
  <c r="J105" i="69" s="1"/>
  <c r="G105" i="69"/>
  <c r="O104" i="69"/>
  <c r="P104" i="69" s="1"/>
  <c r="H104" i="69"/>
  <c r="J104" i="69" s="1"/>
  <c r="G104" i="69"/>
  <c r="O103" i="69"/>
  <c r="P103" i="69" s="1"/>
  <c r="H103" i="69"/>
  <c r="J103" i="69" s="1"/>
  <c r="G103" i="69"/>
  <c r="O102" i="69"/>
  <c r="P102" i="69" s="1"/>
  <c r="H102" i="69"/>
  <c r="J102" i="69" s="1"/>
  <c r="G102" i="69"/>
  <c r="O101" i="69"/>
  <c r="Q101" i="69"/>
  <c r="H101" i="69"/>
  <c r="J101" i="69" s="1"/>
  <c r="G101" i="69"/>
  <c r="O100" i="69"/>
  <c r="Q100" i="69"/>
  <c r="H100" i="69"/>
  <c r="J100" i="69" s="1"/>
  <c r="G100" i="69"/>
  <c r="O99" i="69"/>
  <c r="H99" i="69"/>
  <c r="J99" i="69" s="1"/>
  <c r="G99" i="69"/>
  <c r="O98" i="69"/>
  <c r="P98" i="69" s="1"/>
  <c r="H98" i="69"/>
  <c r="J98" i="69" s="1"/>
  <c r="G98" i="69"/>
  <c r="O97" i="69"/>
  <c r="H97" i="69"/>
  <c r="J97" i="69" s="1"/>
  <c r="G97" i="69"/>
  <c r="O96" i="69"/>
  <c r="P96" i="69" s="1"/>
  <c r="H96" i="69"/>
  <c r="J96" i="69" s="1"/>
  <c r="G96" i="69"/>
  <c r="O95" i="69"/>
  <c r="P95" i="69" s="1"/>
  <c r="H95" i="69"/>
  <c r="J95" i="69" s="1"/>
  <c r="G95" i="69"/>
  <c r="O94" i="69"/>
  <c r="P94" i="69" s="1"/>
  <c r="H94" i="69"/>
  <c r="J94" i="69" s="1"/>
  <c r="G94" i="69"/>
  <c r="Q93" i="69"/>
  <c r="O93" i="69"/>
  <c r="H93" i="69"/>
  <c r="J93" i="69" s="1"/>
  <c r="G93" i="69"/>
  <c r="O92" i="69"/>
  <c r="H92" i="69"/>
  <c r="J92" i="69" s="1"/>
  <c r="G92" i="69"/>
  <c r="O91" i="69"/>
  <c r="H91" i="69"/>
  <c r="J91" i="69" s="1"/>
  <c r="G91" i="69"/>
  <c r="O90" i="69"/>
  <c r="Q90" i="69"/>
  <c r="H90" i="69"/>
  <c r="J90" i="69" s="1"/>
  <c r="G90" i="69"/>
  <c r="O89" i="69"/>
  <c r="J89" i="69"/>
  <c r="G89" i="69"/>
  <c r="O88" i="69"/>
  <c r="J88" i="69"/>
  <c r="G88" i="69"/>
  <c r="O87" i="69"/>
  <c r="J87" i="69"/>
  <c r="G87" i="69"/>
  <c r="O86" i="69"/>
  <c r="P86" i="69" s="1"/>
  <c r="J86" i="69"/>
  <c r="G86" i="69"/>
  <c r="O85" i="69"/>
  <c r="Q85" i="69"/>
  <c r="J85" i="69"/>
  <c r="G85" i="69"/>
  <c r="O84" i="69"/>
  <c r="R84" i="69" s="1"/>
  <c r="J84" i="69"/>
  <c r="G84" i="69"/>
  <c r="O83" i="69"/>
  <c r="H83" i="69"/>
  <c r="J83" i="69" s="1"/>
  <c r="G83" i="69"/>
  <c r="O82" i="69"/>
  <c r="H82" i="69"/>
  <c r="J82" i="69" s="1"/>
  <c r="G82" i="69"/>
  <c r="O81" i="69"/>
  <c r="H81" i="69"/>
  <c r="J81" i="69" s="1"/>
  <c r="G81" i="69"/>
  <c r="O80" i="69"/>
  <c r="P80" i="69" s="1"/>
  <c r="H80" i="69"/>
  <c r="J80" i="69" s="1"/>
  <c r="G80" i="69"/>
  <c r="O79" i="69"/>
  <c r="P79" i="69" s="1"/>
  <c r="J79" i="69"/>
  <c r="G79" i="69"/>
  <c r="O78" i="69"/>
  <c r="Q78" i="69"/>
  <c r="J78" i="69"/>
  <c r="G78" i="69"/>
  <c r="O77" i="69"/>
  <c r="P77" i="69" s="1"/>
  <c r="R77" i="69"/>
  <c r="H77" i="69"/>
  <c r="J77" i="69" s="1"/>
  <c r="G77" i="69"/>
  <c r="O76" i="69"/>
  <c r="P76" i="69" s="1"/>
  <c r="H76" i="69"/>
  <c r="J76" i="69" s="1"/>
  <c r="G76" i="69"/>
  <c r="O75" i="69"/>
  <c r="Q75" i="69"/>
  <c r="H75" i="69"/>
  <c r="J75" i="69" s="1"/>
  <c r="G75" i="69"/>
  <c r="O74" i="69"/>
  <c r="H74" i="69"/>
  <c r="J74" i="69" s="1"/>
  <c r="G74" i="69"/>
  <c r="O73" i="69"/>
  <c r="H73" i="69"/>
  <c r="J73" i="69" s="1"/>
  <c r="G73" i="69"/>
  <c r="O72" i="69"/>
  <c r="H72" i="69"/>
  <c r="J72" i="69" s="1"/>
  <c r="G72" i="69"/>
  <c r="O71" i="69"/>
  <c r="P71" i="69" s="1"/>
  <c r="H71" i="69"/>
  <c r="J71" i="69" s="1"/>
  <c r="G71" i="69"/>
  <c r="O70" i="69"/>
  <c r="P70" i="69" s="1"/>
  <c r="J70" i="69"/>
  <c r="G70" i="69"/>
  <c r="Q69" i="69"/>
  <c r="O69" i="69"/>
  <c r="P69" i="69" s="1"/>
  <c r="H69" i="69"/>
  <c r="J69" i="69" s="1"/>
  <c r="G69" i="69"/>
  <c r="O68" i="69"/>
  <c r="Q68" i="69"/>
  <c r="H68" i="69"/>
  <c r="J68" i="69" s="1"/>
  <c r="G68" i="69"/>
  <c r="O67" i="69"/>
  <c r="H67" i="69"/>
  <c r="J67" i="69" s="1"/>
  <c r="G67" i="69"/>
  <c r="O66" i="69"/>
  <c r="P66" i="69" s="1"/>
  <c r="Q66" i="69"/>
  <c r="H66" i="69"/>
  <c r="J66" i="69" s="1"/>
  <c r="G66" i="69"/>
  <c r="O65" i="69"/>
  <c r="P65" i="69" s="1"/>
  <c r="J65" i="69"/>
  <c r="G65" i="69"/>
  <c r="O64" i="69"/>
  <c r="P64" i="69" s="1"/>
  <c r="H64" i="69"/>
  <c r="J64" i="69" s="1"/>
  <c r="G64" i="69"/>
  <c r="O63" i="69"/>
  <c r="H63" i="69"/>
  <c r="J63" i="69" s="1"/>
  <c r="G63" i="69"/>
  <c r="O62" i="69"/>
  <c r="R62" i="69" s="1"/>
  <c r="Q62" i="69"/>
  <c r="J62" i="69"/>
  <c r="G62" i="69"/>
  <c r="O61" i="69"/>
  <c r="Q61" i="69"/>
  <c r="H61" i="69"/>
  <c r="J61" i="69" s="1"/>
  <c r="G61" i="69"/>
  <c r="O60" i="69"/>
  <c r="H60" i="69"/>
  <c r="J60" i="69" s="1"/>
  <c r="G60" i="69"/>
  <c r="O59" i="69"/>
  <c r="P59" i="69" s="1"/>
  <c r="H59" i="69"/>
  <c r="J59" i="69" s="1"/>
  <c r="G59" i="69"/>
  <c r="Q58" i="69"/>
  <c r="O58" i="69"/>
  <c r="J58" i="69"/>
  <c r="G58" i="69"/>
  <c r="O57" i="69"/>
  <c r="P57" i="69" s="1"/>
  <c r="H57" i="69"/>
  <c r="J57" i="69" s="1"/>
  <c r="G57" i="69"/>
  <c r="O56" i="69"/>
  <c r="P56" i="69" s="1"/>
  <c r="J56" i="69"/>
  <c r="G56" i="69"/>
  <c r="O55" i="69"/>
  <c r="J55" i="69"/>
  <c r="G55" i="69"/>
  <c r="O54" i="69"/>
  <c r="R54" i="69" s="1"/>
  <c r="Q54" i="69"/>
  <c r="J54" i="69"/>
  <c r="G54" i="69"/>
  <c r="O53" i="69"/>
  <c r="P53" i="69" s="1"/>
  <c r="Q53" i="69"/>
  <c r="J53" i="69"/>
  <c r="G53" i="69"/>
  <c r="O52" i="69"/>
  <c r="P52" i="69" s="1"/>
  <c r="Q52" i="69"/>
  <c r="H52" i="69"/>
  <c r="J52" i="69" s="1"/>
  <c r="G52" i="69"/>
  <c r="Q51" i="69"/>
  <c r="O51" i="69"/>
  <c r="P51" i="69" s="1"/>
  <c r="H51" i="69"/>
  <c r="J51" i="69" s="1"/>
  <c r="G51" i="69"/>
  <c r="R50" i="69"/>
  <c r="Q50" i="69"/>
  <c r="O50" i="69"/>
  <c r="P50" i="69" s="1"/>
  <c r="H50" i="69"/>
  <c r="J50" i="69" s="1"/>
  <c r="G50" i="69"/>
  <c r="O49" i="69"/>
  <c r="P49" i="69" s="1"/>
  <c r="H49" i="69"/>
  <c r="J49" i="69" s="1"/>
  <c r="G49" i="69"/>
  <c r="O48" i="69"/>
  <c r="P48" i="69" s="1"/>
  <c r="J48" i="69"/>
  <c r="O47" i="69"/>
  <c r="P47" i="69" s="1"/>
  <c r="J47" i="69"/>
  <c r="Q46" i="69"/>
  <c r="O46" i="69"/>
  <c r="P46" i="69" s="1"/>
  <c r="J46" i="69"/>
  <c r="G46" i="69"/>
  <c r="O45" i="69"/>
  <c r="P45" i="69" s="1"/>
  <c r="J45" i="69"/>
  <c r="G45" i="69"/>
  <c r="O44" i="69"/>
  <c r="P44" i="69" s="1"/>
  <c r="J44" i="69"/>
  <c r="G44" i="69"/>
  <c r="O43" i="69"/>
  <c r="Q43" i="69"/>
  <c r="J43" i="69"/>
  <c r="G43" i="69"/>
  <c r="O42" i="69"/>
  <c r="R42" i="69" s="1"/>
  <c r="Q42" i="69"/>
  <c r="J42" i="69"/>
  <c r="G42" i="69"/>
  <c r="O41" i="69"/>
  <c r="P41" i="69" s="1"/>
  <c r="J41" i="69"/>
  <c r="G41" i="69"/>
  <c r="O40" i="69"/>
  <c r="H40" i="69"/>
  <c r="J40" i="69" s="1"/>
  <c r="G40" i="69"/>
  <c r="O39" i="69"/>
  <c r="P39" i="69" s="1"/>
  <c r="J39" i="69"/>
  <c r="G39" i="69"/>
  <c r="Q38" i="69"/>
  <c r="O38" i="69"/>
  <c r="P38" i="69" s="1"/>
  <c r="J38" i="69"/>
  <c r="G38" i="69"/>
  <c r="O37" i="69"/>
  <c r="P37" i="69" s="1"/>
  <c r="Q37" i="69"/>
  <c r="J37" i="69"/>
  <c r="G37" i="69"/>
  <c r="O36" i="69"/>
  <c r="P36" i="69" s="1"/>
  <c r="J36" i="69"/>
  <c r="O35" i="69"/>
  <c r="P35" i="69" s="1"/>
  <c r="H35" i="69"/>
  <c r="J35" i="69" s="1"/>
  <c r="G35" i="69"/>
  <c r="O34" i="69"/>
  <c r="P34" i="69" s="1"/>
  <c r="Q34" i="69"/>
  <c r="H34" i="69"/>
  <c r="J34" i="69" s="1"/>
  <c r="G34" i="69"/>
  <c r="O33" i="69"/>
  <c r="H33" i="69"/>
  <c r="J33" i="69" s="1"/>
  <c r="G33" i="69"/>
  <c r="O32" i="69"/>
  <c r="H32" i="69"/>
  <c r="J32" i="69" s="1"/>
  <c r="G32" i="69"/>
  <c r="O31" i="69"/>
  <c r="H31" i="69"/>
  <c r="J31" i="69" s="1"/>
  <c r="G31" i="69"/>
  <c r="O30" i="69"/>
  <c r="P30" i="69" s="1"/>
  <c r="Q30" i="69"/>
  <c r="H30" i="69"/>
  <c r="J30" i="69" s="1"/>
  <c r="G30" i="69"/>
  <c r="O29" i="69"/>
  <c r="P29" i="69" s="1"/>
  <c r="H29" i="69"/>
  <c r="J29" i="69" s="1"/>
  <c r="G29" i="69"/>
  <c r="O28" i="69"/>
  <c r="P28" i="69" s="1"/>
  <c r="Q28" i="69"/>
  <c r="H28" i="69"/>
  <c r="J28" i="69" s="1"/>
  <c r="G28" i="69"/>
  <c r="O27" i="69"/>
  <c r="H27" i="69"/>
  <c r="J27" i="69" s="1"/>
  <c r="O26" i="69"/>
  <c r="P26" i="69" s="1"/>
  <c r="Q26" i="69"/>
  <c r="J26" i="69"/>
  <c r="G26" i="69"/>
  <c r="O25" i="69"/>
  <c r="J25" i="69"/>
  <c r="G25" i="69"/>
  <c r="O24" i="69"/>
  <c r="J24" i="69"/>
  <c r="G24" i="69"/>
  <c r="O23" i="69"/>
  <c r="P23" i="69" s="1"/>
  <c r="H23" i="69"/>
  <c r="J23" i="69" s="1"/>
  <c r="G23" i="69"/>
  <c r="O22" i="69"/>
  <c r="Q22" i="69"/>
  <c r="H22" i="69"/>
  <c r="J22" i="69" s="1"/>
  <c r="G22" i="69"/>
  <c r="O21" i="69"/>
  <c r="Q21" i="69"/>
  <c r="J21" i="69"/>
  <c r="G21" i="69"/>
  <c r="O20" i="69"/>
  <c r="J20" i="69"/>
  <c r="G20" i="69"/>
  <c r="O19" i="69"/>
  <c r="H19" i="69"/>
  <c r="J19" i="69" s="1"/>
  <c r="G19" i="69"/>
  <c r="O18" i="69"/>
  <c r="Q18" i="69"/>
  <c r="H18" i="69"/>
  <c r="J18" i="69" s="1"/>
  <c r="G18" i="69"/>
  <c r="O17" i="69"/>
  <c r="P17" i="69" s="1"/>
  <c r="J17" i="69"/>
  <c r="G17" i="69"/>
  <c r="O16" i="69"/>
  <c r="J16" i="69"/>
  <c r="G16" i="69"/>
  <c r="O15" i="69"/>
  <c r="P15" i="69" s="1"/>
  <c r="J15" i="69"/>
  <c r="G15" i="69"/>
  <c r="Q14" i="69"/>
  <c r="O14" i="69"/>
  <c r="P14" i="69" s="1"/>
  <c r="H14" i="69"/>
  <c r="J14" i="69" s="1"/>
  <c r="G14" i="69"/>
  <c r="O13" i="69"/>
  <c r="Q13" i="69"/>
  <c r="J13" i="69"/>
  <c r="H13" i="69"/>
  <c r="G13" i="69"/>
  <c r="O12" i="69"/>
  <c r="P12" i="69" s="1"/>
  <c r="H12" i="69"/>
  <c r="J12" i="69" s="1"/>
  <c r="G12" i="69"/>
  <c r="O11" i="69"/>
  <c r="Q11" i="69"/>
  <c r="H11" i="69"/>
  <c r="J11" i="69" s="1"/>
  <c r="G11" i="69"/>
  <c r="O10" i="69"/>
  <c r="Q10" i="69"/>
  <c r="H10" i="69"/>
  <c r="J10" i="69" s="1"/>
  <c r="G10" i="69"/>
  <c r="O9" i="69"/>
  <c r="P9" i="69" s="1"/>
  <c r="H9" i="69"/>
  <c r="J9" i="69" s="1"/>
  <c r="G9" i="69"/>
  <c r="O8" i="69"/>
  <c r="J8" i="69"/>
  <c r="G8" i="69"/>
  <c r="O7" i="69"/>
  <c r="J7" i="69"/>
  <c r="G7" i="69"/>
  <c r="O6" i="69"/>
  <c r="Q6" i="69"/>
  <c r="J6" i="69"/>
  <c r="G6" i="69"/>
  <c r="O5" i="69"/>
  <c r="P5" i="69" s="1"/>
  <c r="J5" i="69"/>
  <c r="G5" i="69"/>
  <c r="O4" i="69"/>
  <c r="J4" i="69"/>
  <c r="G4" i="69"/>
  <c r="O3" i="69"/>
  <c r="P3" i="69" s="1"/>
  <c r="H3" i="69"/>
  <c r="J3" i="69" s="1"/>
  <c r="G3" i="69"/>
  <c r="O2" i="69"/>
  <c r="Q2" i="69"/>
  <c r="J2" i="69"/>
  <c r="G2" i="69"/>
  <c r="R47" i="69" l="1"/>
  <c r="R108" i="69"/>
  <c r="S108" i="69" s="1"/>
  <c r="R20" i="69"/>
  <c r="R92" i="69"/>
  <c r="R19" i="69"/>
  <c r="R86" i="69"/>
  <c r="R100" i="69"/>
  <c r="R11" i="69"/>
  <c r="R16" i="69"/>
  <c r="S16" i="69" s="1"/>
  <c r="R36" i="69"/>
  <c r="S36" i="69" s="1"/>
  <c r="P54" i="69"/>
  <c r="P92" i="69"/>
  <c r="R46" i="69"/>
  <c r="S46" i="69" s="1"/>
  <c r="R56" i="69"/>
  <c r="R64" i="69"/>
  <c r="S64" i="69" s="1"/>
  <c r="P100" i="69"/>
  <c r="P84" i="69"/>
  <c r="R57" i="69"/>
  <c r="R40" i="69"/>
  <c r="R29" i="69"/>
  <c r="R115" i="69"/>
  <c r="R59" i="69"/>
  <c r="Q47" i="69"/>
  <c r="R51" i="69"/>
  <c r="S51" i="69" s="1"/>
  <c r="R43" i="69"/>
  <c r="S43" i="69" s="1"/>
  <c r="Q115" i="69"/>
  <c r="S115" i="69" s="1"/>
  <c r="Q57" i="69"/>
  <c r="P6" i="69"/>
  <c r="R6" i="69"/>
  <c r="S6" i="69" s="1"/>
  <c r="R10" i="69"/>
  <c r="S10" i="69" s="1"/>
  <c r="R93" i="69"/>
  <c r="S93" i="69" s="1"/>
  <c r="P93" i="69"/>
  <c r="R25" i="69"/>
  <c r="S25" i="69" s="1"/>
  <c r="P25" i="69"/>
  <c r="R90" i="69"/>
  <c r="S90" i="69" s="1"/>
  <c r="P16" i="69"/>
  <c r="P19" i="69"/>
  <c r="R5" i="69"/>
  <c r="Q5" i="69"/>
  <c r="R13" i="69"/>
  <c r="S13" i="69" s="1"/>
  <c r="R18" i="69"/>
  <c r="S18" i="69" s="1"/>
  <c r="R12" i="69"/>
  <c r="R15" i="69"/>
  <c r="R17" i="69"/>
  <c r="P18" i="69"/>
  <c r="R23" i="69"/>
  <c r="Q23" i="69"/>
  <c r="R38" i="69"/>
  <c r="S38" i="69" s="1"/>
  <c r="P43" i="69"/>
  <c r="P74" i="69"/>
  <c r="R74" i="69"/>
  <c r="R106" i="69"/>
  <c r="S106" i="69" s="1"/>
  <c r="Q111" i="69"/>
  <c r="R111" i="69"/>
  <c r="P40" i="69"/>
  <c r="P10" i="69"/>
  <c r="R61" i="69"/>
  <c r="S61" i="69" s="1"/>
  <c r="P61" i="69"/>
  <c r="R76" i="69"/>
  <c r="P4" i="69"/>
  <c r="R4" i="69"/>
  <c r="S4" i="69" s="1"/>
  <c r="P8" i="69"/>
  <c r="R8" i="69"/>
  <c r="S8" i="69" s="1"/>
  <c r="R41" i="69"/>
  <c r="Q41" i="69"/>
  <c r="Q59" i="69"/>
  <c r="S59" i="69" s="1"/>
  <c r="R69" i="69"/>
  <c r="R79" i="69"/>
  <c r="R101" i="69"/>
  <c r="S101" i="69" s="1"/>
  <c r="P101" i="69"/>
  <c r="R82" i="69"/>
  <c r="S88" i="69"/>
  <c r="P32" i="69"/>
  <c r="R32" i="69"/>
  <c r="S32" i="69" s="1"/>
  <c r="R52" i="69"/>
  <c r="S52" i="69" s="1"/>
  <c r="R3" i="69"/>
  <c r="Q3" i="69"/>
  <c r="S3" i="69" s="1"/>
  <c r="R7" i="69"/>
  <c r="S7" i="69" s="1"/>
  <c r="P7" i="69"/>
  <c r="S11" i="69"/>
  <c r="Q12" i="69"/>
  <c r="R21" i="69"/>
  <c r="S21" i="69" s="1"/>
  <c r="R26" i="69"/>
  <c r="S26" i="69" s="1"/>
  <c r="R27" i="69"/>
  <c r="S27" i="69" s="1"/>
  <c r="P27" i="69"/>
  <c r="R88" i="69"/>
  <c r="P88" i="69"/>
  <c r="R98" i="69"/>
  <c r="S98" i="69" s="1"/>
  <c r="R22" i="69"/>
  <c r="S22" i="69" s="1"/>
  <c r="R31" i="69"/>
  <c r="S31" i="69" s="1"/>
  <c r="R81" i="69"/>
  <c r="S81" i="69" s="1"/>
  <c r="S92" i="69"/>
  <c r="P21" i="69"/>
  <c r="R24" i="69"/>
  <c r="S24" i="69" s="1"/>
  <c r="R33" i="69"/>
  <c r="S33" i="69" s="1"/>
  <c r="R49" i="69"/>
  <c r="S49" i="69" s="1"/>
  <c r="S56" i="69"/>
  <c r="P81" i="69"/>
  <c r="P90" i="69"/>
  <c r="P106" i="69"/>
  <c r="R2" i="69"/>
  <c r="S2" i="69" s="1"/>
  <c r="S54" i="69"/>
  <c r="R66" i="69"/>
  <c r="S66" i="69" s="1"/>
  <c r="R14" i="69"/>
  <c r="S14" i="69" s="1"/>
  <c r="S15" i="69"/>
  <c r="S17" i="69"/>
  <c r="S19" i="69"/>
  <c r="S20" i="69"/>
  <c r="R30" i="69"/>
  <c r="S30" i="69" s="1"/>
  <c r="R34" i="69"/>
  <c r="S34" i="69" s="1"/>
  <c r="R35" i="69"/>
  <c r="S62" i="69"/>
  <c r="R71" i="69"/>
  <c r="S71" i="69" s="1"/>
  <c r="R72" i="69"/>
  <c r="S72" i="69" s="1"/>
  <c r="R44" i="69"/>
  <c r="S44" i="69" s="1"/>
  <c r="R45" i="69"/>
  <c r="R109" i="69"/>
  <c r="S109" i="69" s="1"/>
  <c r="R9" i="69"/>
  <c r="S9" i="69" s="1"/>
  <c r="S42" i="69"/>
  <c r="P20" i="69"/>
  <c r="R39" i="69"/>
  <c r="S39" i="69" s="1"/>
  <c r="R48" i="69"/>
  <c r="S48" i="69" s="1"/>
  <c r="R55" i="69"/>
  <c r="S55" i="69" s="1"/>
  <c r="P55" i="69"/>
  <c r="S76" i="69"/>
  <c r="R85" i="69"/>
  <c r="S85" i="69" s="1"/>
  <c r="P85" i="69"/>
  <c r="R104" i="69"/>
  <c r="Q104" i="69"/>
  <c r="R94" i="69"/>
  <c r="Q94" i="69"/>
  <c r="P2" i="69"/>
  <c r="P11" i="69"/>
  <c r="P13" i="69"/>
  <c r="P22" i="69"/>
  <c r="P24" i="69"/>
  <c r="P31" i="69"/>
  <c r="P33" i="69"/>
  <c r="R37" i="69"/>
  <c r="S37" i="69" s="1"/>
  <c r="P42" i="69"/>
  <c r="R73" i="69"/>
  <c r="S73" i="69" s="1"/>
  <c r="P73" i="69"/>
  <c r="R75" i="69"/>
  <c r="S75" i="69" s="1"/>
  <c r="P75" i="69"/>
  <c r="R96" i="69"/>
  <c r="Q96" i="69"/>
  <c r="R105" i="69"/>
  <c r="S105" i="69" s="1"/>
  <c r="P105" i="69"/>
  <c r="R107" i="69"/>
  <c r="S107" i="69" s="1"/>
  <c r="P107" i="69"/>
  <c r="Q29" i="69"/>
  <c r="R70" i="69"/>
  <c r="Q70" i="69"/>
  <c r="S74" i="69"/>
  <c r="R87" i="69"/>
  <c r="S87" i="69" s="1"/>
  <c r="P87" i="69"/>
  <c r="R97" i="69"/>
  <c r="S97" i="69" s="1"/>
  <c r="P97" i="69"/>
  <c r="R99" i="69"/>
  <c r="S99" i="69" s="1"/>
  <c r="P99" i="69"/>
  <c r="S100" i="69"/>
  <c r="Q35" i="69"/>
  <c r="Q45" i="69"/>
  <c r="R89" i="69"/>
  <c r="S89" i="69" s="1"/>
  <c r="P89" i="69"/>
  <c r="R91" i="69"/>
  <c r="S91" i="69" s="1"/>
  <c r="P91" i="69"/>
  <c r="R112" i="69"/>
  <c r="Q112" i="69"/>
  <c r="R114" i="69"/>
  <c r="Q114" i="69"/>
  <c r="S40" i="69"/>
  <c r="R65" i="69"/>
  <c r="Q65" i="69"/>
  <c r="R68" i="69"/>
  <c r="S68" i="69" s="1"/>
  <c r="P68" i="69"/>
  <c r="R28" i="69"/>
  <c r="S28" i="69" s="1"/>
  <c r="R53" i="69"/>
  <c r="S53" i="69" s="1"/>
  <c r="R58" i="69"/>
  <c r="S58" i="69" s="1"/>
  <c r="P58" i="69"/>
  <c r="R60" i="69"/>
  <c r="S60" i="69" s="1"/>
  <c r="P60" i="69"/>
  <c r="R67" i="69"/>
  <c r="S67" i="69" s="1"/>
  <c r="S69" i="69"/>
  <c r="R78" i="69"/>
  <c r="S78" i="69" s="1"/>
  <c r="P78" i="69"/>
  <c r="S50" i="69"/>
  <c r="R63" i="69"/>
  <c r="S63" i="69" s="1"/>
  <c r="P63" i="69"/>
  <c r="R80" i="69"/>
  <c r="Q80" i="69"/>
  <c r="S80" i="69" s="1"/>
  <c r="S82" i="69"/>
  <c r="R83" i="69"/>
  <c r="S83" i="69" s="1"/>
  <c r="P83" i="69"/>
  <c r="R102" i="69"/>
  <c r="Q102" i="69"/>
  <c r="R110" i="69"/>
  <c r="Q110" i="69"/>
  <c r="R95" i="69"/>
  <c r="S95" i="69" s="1"/>
  <c r="R103" i="69"/>
  <c r="S103" i="69" s="1"/>
  <c r="R113" i="69"/>
  <c r="S113" i="69" s="1"/>
  <c r="P62" i="69"/>
  <c r="P67" i="69"/>
  <c r="P72" i="69"/>
  <c r="P82" i="69"/>
  <c r="Q77" i="69"/>
  <c r="S77" i="69" s="1"/>
  <c r="Q79" i="69"/>
  <c r="S79" i="69" s="1"/>
  <c r="Q84" i="69"/>
  <c r="S84" i="69" s="1"/>
  <c r="Q86" i="69"/>
  <c r="S86" i="69" s="1"/>
  <c r="S47" i="69" l="1"/>
  <c r="S45" i="69"/>
  <c r="S57" i="69"/>
  <c r="S29" i="69"/>
  <c r="S41" i="69"/>
  <c r="S35" i="69"/>
  <c r="S5" i="69"/>
  <c r="S102" i="69"/>
  <c r="S111" i="69"/>
  <c r="S23" i="69"/>
  <c r="S114" i="69"/>
  <c r="S110" i="69"/>
  <c r="S112" i="69"/>
  <c r="S12" i="69"/>
  <c r="S65" i="69"/>
  <c r="S70" i="69"/>
  <c r="S94" i="69"/>
  <c r="S96" i="69"/>
  <c r="S104" i="6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tc={CAE80194-CA45-46DF-ADEA-9C0C60F5EB1A}</author>
  </authors>
  <commentList>
    <comment ref="D1" authorId="0" shapeId="0" xr:uid="{CAE80194-CA45-46DF-ADEA-9C0C60F5EB1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Client - Year signed - Total number of payments - Payment number.
If contract not yet signed use X instead of numbers: FCO_001-XXXX-XX-XX
</t>
      </text>
    </comment>
  </commentList>
</comments>
</file>

<file path=xl/sharedStrings.xml><?xml version="1.0" encoding="utf-8"?>
<sst xmlns="http://schemas.openxmlformats.org/spreadsheetml/2006/main" count="722" uniqueCount="220">
  <si>
    <t>GBP</t>
  </si>
  <si>
    <t>Workorder</t>
  </si>
  <si>
    <t>Account</t>
  </si>
  <si>
    <t>Sales Tax</t>
  </si>
  <si>
    <t>Status</t>
  </si>
  <si>
    <t>Contract currency</t>
  </si>
  <si>
    <t>Invoiced</t>
  </si>
  <si>
    <t>MXN</t>
  </si>
  <si>
    <t>Not invoiced</t>
  </si>
  <si>
    <t>Payment date/
Expected Payment Date</t>
  </si>
  <si>
    <t>Milestone Payment ID</t>
  </si>
  <si>
    <t>AFD_001_2023-02-08</t>
  </si>
  <si>
    <t>FCDO001_2023-01-05</t>
  </si>
  <si>
    <t>AFD_002_2023-02-04</t>
  </si>
  <si>
    <t>SA_001_2023-02-02</t>
  </si>
  <si>
    <t>BIO_001_2023-04-05</t>
  </si>
  <si>
    <t>INCH_001-2023-01-02</t>
  </si>
  <si>
    <t>VE_001_2023-01-24</t>
  </si>
  <si>
    <t>VE_001_2023-02-24</t>
  </si>
  <si>
    <t>VE_001_2023-03-24</t>
  </si>
  <si>
    <t>VE_001_2023-04-24</t>
  </si>
  <si>
    <t>VE_001_2023-05-24</t>
  </si>
  <si>
    <t>Project Description</t>
  </si>
  <si>
    <t>Invoice No.</t>
  </si>
  <si>
    <t>Invoice date/
Expected Invoice date</t>
  </si>
  <si>
    <t>Paid/
Not Paid</t>
  </si>
  <si>
    <t>Delayed</t>
  </si>
  <si>
    <t>Exchange
Rate £</t>
  </si>
  <si>
    <t>Net amount,
contract currency</t>
  </si>
  <si>
    <t>Tax amount, contract currency</t>
  </si>
  <si>
    <t>Total amount,
contract currency</t>
  </si>
  <si>
    <t>Net amount, £</t>
  </si>
  <si>
    <t>Tax amount, £</t>
  </si>
  <si>
    <t>Total amount, £</t>
  </si>
  <si>
    <t>P202056W424</t>
  </si>
  <si>
    <t>Grupo Bimbo - Assurance Services - Dec22</t>
  </si>
  <si>
    <t>GBI_001_2023-01-01</t>
  </si>
  <si>
    <t>Paid</t>
  </si>
  <si>
    <t>EUR</t>
  </si>
  <si>
    <t>GBI_001_2023-01-02</t>
  </si>
  <si>
    <t>Not Paid</t>
  </si>
  <si>
    <t>USD</t>
  </si>
  <si>
    <t>P202056W425</t>
  </si>
  <si>
    <t>Del Pacífico Seafoods - PCF, certification and labelling - Oct22</t>
  </si>
  <si>
    <t>DPS_001_2023-01-02</t>
  </si>
  <si>
    <t>P202056W426</t>
  </si>
  <si>
    <t>Grupo Bimbo - Value Chain Footprinting - Feb23</t>
  </si>
  <si>
    <t>P202056W427</t>
  </si>
  <si>
    <t>GIZ- Economic analysis of the Mexican ETS - Jan23</t>
  </si>
  <si>
    <t>GIZ_001_2023-01-01</t>
  </si>
  <si>
    <t>CHF</t>
  </si>
  <si>
    <t>P202056W428</t>
  </si>
  <si>
    <t>AFD - FIRA Vulnerability Credit Line Technical Assistance - May22</t>
  </si>
  <si>
    <t>AFD_001_2023-01-08</t>
  </si>
  <si>
    <t>AFD_001_2023-03-08</t>
  </si>
  <si>
    <t>AFD_001_2023-04-08</t>
  </si>
  <si>
    <t>AFD_001_2023-05-08</t>
  </si>
  <si>
    <t>Date</t>
  </si>
  <si>
    <t>AFD_001_2023-06-08</t>
  </si>
  <si>
    <t>n/a</t>
  </si>
  <si>
    <t>AFD_001_2023-07-08</t>
  </si>
  <si>
    <t>AFD_001_2023-08-08</t>
  </si>
  <si>
    <t>P202056W429</t>
  </si>
  <si>
    <t>GGGI - Delivery of 5 SPOs for Thematic Bonds in Colombia, Ecuador, Paraguay, and Peru - Dec 22</t>
  </si>
  <si>
    <t>GGGI_001_2023-01-05</t>
  </si>
  <si>
    <t>GGGI_001_2023-02-05</t>
  </si>
  <si>
    <t>GGGI_001_2023-03-05</t>
  </si>
  <si>
    <t>GGGI_001_2023-04-05</t>
  </si>
  <si>
    <t>GGGI_001_2023-05-05</t>
  </si>
  <si>
    <t>P202056W430</t>
  </si>
  <si>
    <t>AFD – Mexico – FIRA Green Portfolio Development additional contract – Jul22</t>
  </si>
  <si>
    <t>AFD_002_2023-01-04</t>
  </si>
  <si>
    <t>AFD_002_2023-03-04</t>
  </si>
  <si>
    <t>AFD_002_2023-04-04</t>
  </si>
  <si>
    <t>P202056W431</t>
  </si>
  <si>
    <t>Grupo Bimbo - CDP Support - Feb23</t>
  </si>
  <si>
    <t>GB_001_2023-01-01</t>
  </si>
  <si>
    <t>P202056W433</t>
  </si>
  <si>
    <t>AFD - Banco do Brasil Climate Strategy</t>
  </si>
  <si>
    <t>AFD_002_2023-01-11</t>
  </si>
  <si>
    <t>AFD_002_2023-02-11</t>
  </si>
  <si>
    <t>AFD_002_2023-03-11</t>
  </si>
  <si>
    <t>AFD_002_2023-04-11</t>
  </si>
  <si>
    <t>AFD_002_2023-05-11</t>
  </si>
  <si>
    <t>AFD_002_2023-06-11</t>
  </si>
  <si>
    <t>AFD_002_2023-07-11</t>
  </si>
  <si>
    <t>AFD_002_2023-08-11</t>
  </si>
  <si>
    <t>AFD_002_2023-09-11</t>
  </si>
  <si>
    <t>AFD_002_2023-10-11</t>
  </si>
  <si>
    <t>AFD_002_2023-11-11</t>
  </si>
  <si>
    <t>P202056W434</t>
  </si>
  <si>
    <t>BioPappel - Scope 3 Calculation and SBT - Apr 23</t>
  </si>
  <si>
    <t>BIO_001_2023-01-05</t>
  </si>
  <si>
    <t>BIO_001_2023-02-05</t>
  </si>
  <si>
    <t>BIO_001_2023-03-05</t>
  </si>
  <si>
    <t>BIO_001_2023-05-05</t>
  </si>
  <si>
    <t>P202056W435</t>
  </si>
  <si>
    <t>Sigma Alimentos - ISO 14064-3 Verification - Apr 23</t>
  </si>
  <si>
    <t>SA_001_2023-01-02</t>
  </si>
  <si>
    <t>P202056W436</t>
  </si>
  <si>
    <t>Iberdrola Mexico - Footprinting course - Mar23</t>
  </si>
  <si>
    <t>IM_001_2023-01-02</t>
  </si>
  <si>
    <t>IM_001_2023-02-02</t>
  </si>
  <si>
    <t>P202056W437</t>
  </si>
  <si>
    <t>MEXICO2 - ANIQ ETS 11th Ed - May2023</t>
  </si>
  <si>
    <t>ANIQ001_2023-01-01</t>
  </si>
  <si>
    <t>P202056W438</t>
  </si>
  <si>
    <t>Verde Valle - Org. Carbon Footprint Scopes 1&amp;2 -Feb23</t>
  </si>
  <si>
    <t>VV001_2023-01-01</t>
  </si>
  <si>
    <t>VV001_2023-01-02</t>
  </si>
  <si>
    <t>P202056W439</t>
  </si>
  <si>
    <t>FCDO - PACT - GRCF MRV in Bolivia and Ecuador - May 22</t>
  </si>
  <si>
    <t>FCDO001_2023-02-05</t>
  </si>
  <si>
    <t>FCDO001_2023-03-05</t>
  </si>
  <si>
    <t>FCDO001_2023-04-05</t>
  </si>
  <si>
    <t>FCDO001_2023-05-05</t>
  </si>
  <si>
    <t>P202056W440</t>
  </si>
  <si>
    <t>Horeb-ZWL Recertification-May23</t>
  </si>
  <si>
    <t>HOR_001_2023-01-01</t>
  </si>
  <si>
    <t>P202056W442</t>
  </si>
  <si>
    <t>WB - Carbon footprint reduction for Instituto Tecnologico de Monterrey (TdM) - Jun23</t>
  </si>
  <si>
    <t>WB001-2023-01-04</t>
  </si>
  <si>
    <t>WB001-2023-02-04</t>
  </si>
  <si>
    <t>WB001-2023-03-04</t>
  </si>
  <si>
    <t>WB001-2023-04-04</t>
  </si>
  <si>
    <t>P202056W443</t>
  </si>
  <si>
    <t>The Global FoodBanking Network (GFN)  – Metholody partner avoided emissions- RFP  – May 2023</t>
  </si>
  <si>
    <t>TGF001-2023-01-04</t>
  </si>
  <si>
    <t>TGF001-2023-02-04</t>
  </si>
  <si>
    <t>TGF001-2023-03-04</t>
  </si>
  <si>
    <t>TGF001-2023-04-04</t>
  </si>
  <si>
    <t>P202056W444</t>
  </si>
  <si>
    <t>Avianca Group- Value Chain Footprinting-July 23</t>
  </si>
  <si>
    <t>AV_002-2023-01-03</t>
  </si>
  <si>
    <t>AV_002-2023-02-03</t>
  </si>
  <si>
    <t>AV_002-2023-03-03</t>
  </si>
  <si>
    <t>P202056W445</t>
  </si>
  <si>
    <t>Inchcape LatAm - Shadowing on carbon footprint calculation - Jul23</t>
  </si>
  <si>
    <t>INCH_001-2023-02-02</t>
  </si>
  <si>
    <t>P202056W446</t>
  </si>
  <si>
    <t>CBC - ZWL Certification Guayaquil-Apr23</t>
  </si>
  <si>
    <t>CBC_001-2023-01-01</t>
  </si>
  <si>
    <t>P202056W447</t>
  </si>
  <si>
    <t>CBC- ZWL Certification Machachi-Apr23</t>
  </si>
  <si>
    <t>CBC_002-2023-01-01</t>
  </si>
  <si>
    <t>P202056W448</t>
  </si>
  <si>
    <t>CBC - ZWL Certification Huachipa-Jul23</t>
  </si>
  <si>
    <t>CBC_003-2023-01-01</t>
  </si>
  <si>
    <t>P202056W449</t>
  </si>
  <si>
    <t>Clase Azul-Review and Verification Scopes 1&amp;2-Sept23</t>
  </si>
  <si>
    <t>CA_001-2023-01-02</t>
  </si>
  <si>
    <t>CA_001-2023-02-02</t>
  </si>
  <si>
    <t>P202056W450</t>
  </si>
  <si>
    <t>Grupo Bimbo - 2023 Full Value Chain Footprint - Jul23</t>
  </si>
  <si>
    <t>GB_001-2023-01-03</t>
  </si>
  <si>
    <t>GB_001-2023-02-03</t>
  </si>
  <si>
    <t>GB_001-2023-03-03</t>
  </si>
  <si>
    <t>P202056W451</t>
  </si>
  <si>
    <t>CBC - ZWL Certification El Salvador -Apr23</t>
  </si>
  <si>
    <t>P202056W452</t>
  </si>
  <si>
    <t>Coca-Cola Company Latam - Advisory services retainer- 2023</t>
  </si>
  <si>
    <t>CCC_001-2023-01-02</t>
  </si>
  <si>
    <t>CCC_001-2023-02-02</t>
  </si>
  <si>
    <t>P202056W453</t>
  </si>
  <si>
    <t>IDB - Carbon markets workshop for Paraguay's Industry Union - Sep 23</t>
  </si>
  <si>
    <t>IDB_001_2023-01-01</t>
  </si>
  <si>
    <t>P202056W454</t>
  </si>
  <si>
    <t>GIZ - Interactions of carbon pricing instruments in Mexico - Sep23</t>
  </si>
  <si>
    <t>GIZ_001_2023-01-03</t>
  </si>
  <si>
    <t>GIZ_001_2023-02-03</t>
  </si>
  <si>
    <t>GIZ_001_2023-03-03</t>
  </si>
  <si>
    <t>P202056W455</t>
  </si>
  <si>
    <t>GIZ - Analysis of the nitrous oxide emissions mitigation as offsets in the Mexican ETS - Sep23</t>
  </si>
  <si>
    <t>GIZ_001_2023-01-02</t>
  </si>
  <si>
    <t>GIZ_001_2023-02-02</t>
  </si>
  <si>
    <t>P202056W456</t>
  </si>
  <si>
    <t>CG Roxane Water - Org Carbon Footprint Verification Scopes 1 2 &amp;3 - May23</t>
  </si>
  <si>
    <t>CG_001_2023-01-01</t>
  </si>
  <si>
    <t>P202056W457</t>
  </si>
  <si>
    <t>Valia Energía - Scope 1, 2 and 3 footprinting - Jul23</t>
  </si>
  <si>
    <t>VE_001_2023-06-24</t>
  </si>
  <si>
    <t>VE_001_2023-07-24</t>
  </si>
  <si>
    <t>VE_001_2023-08-24</t>
  </si>
  <si>
    <t>VE_001_2023-09-24</t>
  </si>
  <si>
    <t>VE_001_2023-10-24</t>
  </si>
  <si>
    <t>VE_001_2023-11-24</t>
  </si>
  <si>
    <t>VE_001_2023-12-24</t>
  </si>
  <si>
    <t>VE_001_2023-13-24</t>
  </si>
  <si>
    <t>VE_001_2023-14-24</t>
  </si>
  <si>
    <t>VE_001_2023-15-24</t>
  </si>
  <si>
    <t>VE_001_2023-16-24</t>
  </si>
  <si>
    <t>VE_001_2023-17-24</t>
  </si>
  <si>
    <t>VE_001_2023-18-24</t>
  </si>
  <si>
    <t>VE_001_2023-19-24</t>
  </si>
  <si>
    <t>VE_001_2023-20-24</t>
  </si>
  <si>
    <t>VE_001_2023-21-24</t>
  </si>
  <si>
    <t>VE_001_2023-22-24</t>
  </si>
  <si>
    <t>VE_001_2023-23-24</t>
  </si>
  <si>
    <t>VE_001_2023-24-24</t>
  </si>
  <si>
    <t>P202056W459</t>
  </si>
  <si>
    <t>SDC - CEELA Phase II - Jul23</t>
  </si>
  <si>
    <t>SDC_001-2024-01-01</t>
  </si>
  <si>
    <t>P202056W460</t>
  </si>
  <si>
    <t>AFD - Bolivia Plan de Accion de Mitigacion APMT Aug23</t>
  </si>
  <si>
    <t>AFD_001-2024-01-01</t>
  </si>
  <si>
    <t>P202056W461</t>
  </si>
  <si>
    <t>BBVA Mexico - Sustainability assessment of agri loans - May 23</t>
  </si>
  <si>
    <t>BBVA_001-2024-01-01</t>
  </si>
  <si>
    <t>P202056W462</t>
  </si>
  <si>
    <t>Sigma Alimentos  Value chain Verification - Jun 23</t>
  </si>
  <si>
    <t>SA_001-2024-01-02</t>
  </si>
  <si>
    <t>SA_001-2024-02-02</t>
  </si>
  <si>
    <t>P202056W463</t>
  </si>
  <si>
    <t>CBC - ZWL Certification Mariposa -Apr23</t>
  </si>
  <si>
    <t>CBC_001-2024-01-01</t>
  </si>
  <si>
    <t>P202056W464</t>
  </si>
  <si>
    <t>Sigma Alimentos S3 Verification 2019 - Jun23</t>
  </si>
  <si>
    <t>SA_001-2024-01-01</t>
  </si>
  <si>
    <t>Manifesto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</si>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</sst>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 * #,##0.00_ ;_ * \-#,##0.00_ ;_ * &quot;-&quot;??_ ;_ @_ "/>
    <numFmt numFmtId="165" formatCode="_ * #,##0_ ;_ * \-#,##0_ ;_ * &quot;-&quot;??_ ;_ @_ "/>
    <numFmt numFmtId="166" formatCode="[$-409]mmm\-yy;@"/>
    <numFmt numFmtId="167" formatCode="[$-409]d\-mmm\-yy;@"/>
    <numFmt numFmtId="168" formatCode="0.0000"/>
    <numFmt numFmtId="169" formatCode="0.000"/>
    <numFmt numFmtId="170" formatCode="_-[$£-809]* #,##0_-;\-[$£-809]* #,##0_-;_-[$£-809]* &quot;-&quot;??_-;_-@_-"/>
  </numFmts>
  <fonts count="1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name val="Calibri"/>
      <family val="2"/>
    </font>
    <font>
      <sz val="10"/>
      <color theme="1"/>
      <name val="Verdana"/>
      <family val="2"/>
    </font>
    <font>
      <sz val="11"/>
      <name val="Calibri"/>
      <family val="2"/>
    </font>
    <font>
      <b/>
      <sz val="11"/>
      <color rgb="FFFA7D00"/>
      <name val="Calibri"/>
      <family val="2"/>
      <scheme val="minor"/>
    </font>
    <font>
      <sz val="7"/>
      <color rgb="FF4C5358"/>
      <name val="Arial"/>
      <family val="2"/>
    </font>
    <font>
      <sz val="11"/>
      <color rgb="FF444444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16">
    <xf numFmtId="0" fontId="0" fillId="0" borderId="0">
      <alignment vertical="center"/>
    </xf>
    <xf numFmtId="16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/>
    <xf numFmtId="166" fontId="8" fillId="0" borderId="0"/>
    <xf numFmtId="166" fontId="6" fillId="0" borderId="0">
      <alignment vertical="center"/>
    </xf>
    <xf numFmtId="164" fontId="6" fillId="0" borderId="0" applyFont="0" applyFill="0" applyBorder="0" applyAlignment="0" applyProtection="0">
      <alignment vertical="center"/>
    </xf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9" fillId="0" borderId="0"/>
    <xf numFmtId="0" fontId="7" fillId="0" borderId="0"/>
    <xf numFmtId="0" fontId="10" fillId="4" borderId="1" applyNumberFormat="0" applyAlignment="0" applyProtection="0"/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67" fontId="0" fillId="0" borderId="0" xfId="0" applyNumberFormat="1">
      <alignment vertical="center"/>
    </xf>
    <xf numFmtId="167" fontId="0" fillId="0" borderId="0" xfId="0" applyNumberFormat="1" applyAlignment="1">
      <alignment vertical="center" wrapText="1"/>
    </xf>
    <xf numFmtId="0" fontId="10" fillId="4" borderId="1" xfId="15" applyNumberFormat="1" applyAlignment="1">
      <alignment vertical="center"/>
    </xf>
    <xf numFmtId="0" fontId="0" fillId="2" borderId="0" xfId="0" applyFill="1">
      <alignment vertical="center"/>
    </xf>
    <xf numFmtId="9" fontId="0" fillId="0" borderId="0" xfId="2" applyFont="1">
      <alignment vertical="center"/>
    </xf>
    <xf numFmtId="0" fontId="10" fillId="4" borderId="1" xfId="15" applyNumberFormat="1" applyAlignment="1">
      <alignment vertical="center" wrapText="1"/>
    </xf>
    <xf numFmtId="165" fontId="0" fillId="0" borderId="0" xfId="1" applyNumberFormat="1" applyFont="1" applyAlignment="1">
      <alignment vertical="center" wrapText="1"/>
    </xf>
    <xf numFmtId="169" fontId="10" fillId="4" borderId="1" xfId="15" applyNumberFormat="1" applyAlignment="1">
      <alignment vertical="center" wrapText="1"/>
    </xf>
    <xf numFmtId="170" fontId="10" fillId="4" borderId="1" xfId="15" applyNumberFormat="1" applyAlignment="1">
      <alignment vertical="center"/>
    </xf>
    <xf numFmtId="170" fontId="0" fillId="2" borderId="0" xfId="0" applyNumberFormat="1" applyFill="1">
      <alignment vertical="center"/>
    </xf>
    <xf numFmtId="0" fontId="0" fillId="0" borderId="0" xfId="0" applyAlignment="1">
      <alignment horizontal="left" vertical="center" indent="1"/>
    </xf>
    <xf numFmtId="167" fontId="0" fillId="0" borderId="0" xfId="0" applyNumberFormat="1" applyAlignment="1">
      <alignment horizontal="left" vertical="center" wrapText="1" indent="1"/>
    </xf>
    <xf numFmtId="167" fontId="0" fillId="0" borderId="0" xfId="0" applyNumberFormat="1" applyAlignment="1">
      <alignment horizontal="left" vertical="center" indent="1"/>
    </xf>
    <xf numFmtId="167" fontId="0" fillId="3" borderId="0" xfId="0" applyNumberFormat="1" applyFill="1">
      <alignment vertical="center"/>
    </xf>
    <xf numFmtId="165" fontId="0" fillId="0" borderId="0" xfId="1" applyNumberFormat="1" applyFont="1" applyAlignment="1">
      <alignment horizontal="left" vertical="center" indent="1"/>
    </xf>
    <xf numFmtId="168" fontId="0" fillId="2" borderId="0" xfId="0" applyNumberFormat="1" applyFill="1">
      <alignment vertical="center"/>
    </xf>
    <xf numFmtId="165" fontId="0" fillId="0" borderId="0" xfId="1" applyNumberFormat="1" applyFont="1" applyAlignment="1">
      <alignment horizontal="left" vertical="center" indent="3"/>
    </xf>
    <xf numFmtId="165" fontId="0" fillId="0" borderId="0" xfId="1" applyNumberFormat="1" applyFont="1" applyBorder="1" applyAlignment="1">
      <alignment horizontal="left" vertical="center" indent="2"/>
    </xf>
    <xf numFmtId="0" fontId="0" fillId="0" borderId="2" xfId="0" applyBorder="1">
      <alignment vertical="center"/>
    </xf>
    <xf numFmtId="167" fontId="0" fillId="0" borderId="4" xfId="0" applyNumberFormat="1" applyBorder="1">
      <alignment vertical="center"/>
    </xf>
    <xf numFmtId="0" fontId="0" fillId="0" borderId="4" xfId="0" applyBorder="1" applyAlignment="1">
      <alignment horizontal="center" vertical="center"/>
    </xf>
    <xf numFmtId="168" fontId="0" fillId="2" borderId="4" xfId="0" applyNumberFormat="1" applyFill="1" applyBorder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2" fillId="0" borderId="0" xfId="0" applyFont="1">
      <alignment vertical="center"/>
    </xf>
    <xf numFmtId="9" fontId="2" fillId="0" borderId="0" xfId="2" applyFont="1">
      <alignment vertical="center"/>
    </xf>
    <xf numFmtId="0" fontId="2" fillId="0" borderId="3" xfId="0" applyFont="1" applyBorder="1">
      <alignment vertical="center"/>
    </xf>
    <xf numFmtId="9" fontId="2" fillId="0" borderId="0" xfId="2" applyFont="1" applyBorder="1">
      <alignment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>
      <alignment vertical="center"/>
    </xf>
  </cellXfs>
  <cellStyles count="16">
    <cellStyle name="Calculation" xfId="15" builtinId="22"/>
    <cellStyle name="Comma" xfId="1" builtinId="3"/>
    <cellStyle name="Comma 2" xfId="6" xr:uid="{00000000-0005-0000-0000-000005000000}"/>
    <cellStyle name="Comma 3" xfId="8" xr:uid="{00000000-0005-0000-0000-000006000000}"/>
    <cellStyle name="Comma 3 2" xfId="3" xr:uid="{00000000-0005-0000-0000-000007000000}"/>
    <cellStyle name="Comma 4" xfId="10" xr:uid="{00000000-0005-0000-0000-000008000000}"/>
    <cellStyle name="Comma 5" xfId="12" xr:uid="{00000000-0005-0000-0000-000009000000}"/>
    <cellStyle name="Normal" xfId="0" builtinId="0" customBuiltin="1"/>
    <cellStyle name="Normal 2" xfId="5" xr:uid="{00000000-0005-0000-0000-00000F000000}"/>
    <cellStyle name="Normal 2 3" xfId="4" xr:uid="{00000000-0005-0000-0000-000010000000}"/>
    <cellStyle name="Normal 3" xfId="7" xr:uid="{00000000-0005-0000-0000-000011000000}"/>
    <cellStyle name="Normal 4" xfId="9" xr:uid="{00000000-0005-0000-0000-000012000000}"/>
    <cellStyle name="Normal 5" xfId="11" xr:uid="{00000000-0005-0000-0000-000013000000}"/>
    <cellStyle name="Normal 6" xfId="13" xr:uid="{00000000-0005-0000-0000-000014000000}"/>
    <cellStyle name="Normal 7" xfId="14" xr:uid="{00000000-0005-0000-0000-000015000000}"/>
    <cellStyle name="Percent" xfId="2" builtinId="5"/>
  </cellStyles>
  <dxfs count="44">
    <dxf>
      <numFmt numFmtId="171" formatCode="[$CHF]\ #,##0.00"/>
    </dxf>
    <dxf>
      <numFmt numFmtId="171" formatCode="[$CHF]\ #,##0.00"/>
    </dxf>
    <dxf>
      <numFmt numFmtId="171" formatCode="[$CHF]\ #,##0.00"/>
    </dxf>
    <dxf>
      <numFmt numFmtId="171" formatCode="[$CHF]\ #,##0.00"/>
    </dxf>
    <dxf>
      <numFmt numFmtId="171" formatCode="[$CHF]\ #,##0.00"/>
    </dxf>
    <dxf>
      <numFmt numFmtId="171" formatCode="[$CHF]\ #,##0.00"/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b/>
        <i val="0"/>
      </font>
      <fill>
        <patternFill patternType="gray0625">
          <fgColor rgb="FFFF0000"/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C000"/>
        </patternFill>
      </fill>
    </dxf>
    <dxf>
      <numFmt numFmtId="19" formatCode="dd/mm/yyyy"/>
    </dxf>
    <dxf>
      <numFmt numFmtId="19" formatCode="dd/mm/yyyy"/>
    </dxf>
    <dxf>
      <numFmt numFmtId="172" formatCode="&quot;£&quot;#,##0.00"/>
      <fill>
        <patternFill patternType="solid">
          <fgColor indexed="64"/>
          <bgColor theme="2" tint="-0.249977111117893"/>
        </patternFill>
      </fill>
    </dxf>
    <dxf>
      <numFmt numFmtId="170" formatCode="_-[$£-809]* #,##0_-;\-[$£-809]* #,##0_-;_-[$£-809]* &quot;-&quot;??_-;_-@_-"/>
      <fill>
        <patternFill patternType="solid">
          <fgColor indexed="64"/>
          <bgColor theme="2" tint="-0.249977111117893"/>
        </patternFill>
      </fill>
    </dxf>
    <dxf>
      <numFmt numFmtId="172" formatCode="&quot;£&quot;#,##0.00"/>
      <fill>
        <patternFill patternType="solid">
          <fgColor indexed="64"/>
          <bgColor theme="2" tint="-0.249977111117893"/>
        </patternFill>
      </fill>
    </dxf>
    <dxf>
      <numFmt numFmtId="170" formatCode="_-[$£-809]* #,##0_-;\-[$£-809]* #,##0_-;_-[$£-809]* &quot;-&quot;??_-;_-@_-"/>
      <fill>
        <patternFill patternType="solid">
          <fgColor indexed="64"/>
          <bgColor theme="2" tint="-0.249977111117893"/>
        </patternFill>
      </fill>
    </dxf>
    <dxf>
      <numFmt numFmtId="172" formatCode="&quot;£&quot;#,##0.00"/>
      <fill>
        <patternFill patternType="solid">
          <fgColor indexed="64"/>
          <bgColor theme="2" tint="-0.249977111117893"/>
        </patternFill>
      </fill>
    </dxf>
    <dxf>
      <numFmt numFmtId="170" formatCode="_-[$£-809]* #,##0_-;\-[$£-809]* #,##0_-;_-[$£-809]* &quot;-&quot;??_-;_-@_-"/>
      <fill>
        <patternFill patternType="solid">
          <fgColor indexed="64"/>
          <bgColor theme="2" tint="-0.249977111117893"/>
        </patternFill>
      </fill>
    </dxf>
    <dxf>
      <numFmt numFmtId="2" formatCode="0.00"/>
      <fill>
        <patternFill patternType="solid">
          <fgColor indexed="64"/>
          <bgColor theme="2" tint="-0.249977111117893"/>
        </patternFill>
      </fill>
    </dxf>
    <dxf>
      <numFmt numFmtId="0" formatCode="General"/>
      <fill>
        <patternFill patternType="solid">
          <fgColor indexed="64"/>
          <bgColor theme="2" tint="-0.249977111117893"/>
        </patternFill>
      </fill>
    </dxf>
    <dxf>
      <numFmt numFmtId="2" formatCode="0.00"/>
      <fill>
        <patternFill patternType="solid">
          <fgColor indexed="64"/>
          <bgColor theme="2" tint="-0.249977111117893"/>
        </patternFill>
      </fill>
    </dxf>
    <dxf>
      <numFmt numFmtId="0" formatCode="General"/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73" formatCode="_ * #,##0.0_ ;_ * \-#,##0.0_ ;_ * &quot;-&quot;??_ ;_ @_ "/>
      <alignment horizontal="left" vertical="center" textRotation="0" wrapText="0" indent="1" justifyLastLine="0" shrinkToFit="0" readingOrder="0"/>
    </dxf>
    <dxf>
      <numFmt numFmtId="165" formatCode="_ * #,##0_ ;_ * \-#,##0_ ;_ * &quot;-&quot;??_ ;_ @_ "/>
      <alignment horizontal="left" vertical="center" textRotation="0" wrapText="0" relativeIndent="1" justifyLastLine="0" shrinkToFit="0" readingOrder="0"/>
    </dxf>
    <dxf>
      <numFmt numFmtId="168" formatCode="0.0000"/>
      <fill>
        <patternFill patternType="solid">
          <fgColor indexed="64"/>
          <bgColor theme="2" tint="-0.249977111117893"/>
        </patternFill>
      </fill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67" formatCode="[$-409]d\-mmm\-yy;@"/>
      <fill>
        <patternFill patternType="solid">
          <fgColor indexed="64"/>
          <bgColor rgb="FFFFFF00"/>
        </patternFill>
      </fill>
    </dxf>
    <dxf>
      <numFmt numFmtId="167" formatCode="[$-409]d\-mmm\-yy;@"/>
      <fill>
        <patternFill patternType="none">
          <fgColor indexed="64"/>
          <bgColor indexed="65"/>
        </patternFill>
      </fill>
      <alignment horizontal="left" vertical="center" textRotation="0" relativeIndent="1" justifyLastLine="0" shrinkToFit="0" readingOrder="0"/>
    </dxf>
    <dxf>
      <numFmt numFmtId="167" formatCode="[$-409]d\-mmm\-yy;@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theme="2" tint="-0.249977111117893"/>
        </patternFill>
      </fill>
    </dxf>
    <dxf>
      <numFmt numFmtId="167" formatCode="[$-409]d\-mmm\-yy;@"/>
      <fill>
        <patternFill patternType="solid">
          <fgColor indexed="64"/>
          <bgColor rgb="FFFFFF00"/>
        </patternFill>
      </fill>
    </dxf>
    <dxf>
      <numFmt numFmtId="0" formatCode="General"/>
    </dxf>
    <dxf>
      <numFmt numFmtId="0" formatCode="General"/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C7CE"/>
      <color rgb="FFFFCCCC"/>
      <color rgb="FFFFFF99"/>
      <color rgb="FF9C0006"/>
      <color rgb="FFC6EFCE"/>
      <color rgb="FF006100"/>
      <color rgb="FF99FFCC"/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rbontrust.sharepoint.com/sites/LatinAmericaTeam/Shared%20Documents/ADMIN%20MX%20OFFICE/FINANZAS/CASHFLOW/Project%20Profitability%20Dashboard-10thDE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Sheet1"/>
      <sheetName val="Sold Day Rates"/>
      <sheetName val="Agresso Profitability Report"/>
      <sheetName val="Projects not being chased"/>
      <sheetName val="Project Summary"/>
      <sheetName val="BudgetSummary-WOOpendates"/>
      <sheetName val="BudgetSummary-WOCloseDates"/>
      <sheetName val="Budgeted Profitab. Dashboar (2)"/>
      <sheetName val="ActualSummary-WOCloseDates"/>
      <sheetName val="Forecasting Inputs"/>
      <sheetName val="Profitability"/>
      <sheetName val="Lookups"/>
      <sheetName val="Budgeted Day Rates Dashboard"/>
      <sheetName val="Budgeted Profitab. Dashboard "/>
      <sheetName val="Completed Projects Dashboar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Anastasia Harris" id="{2810A888-A714-431E-AED2-E283B93BA45D}" userId="Anastasia Harris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72EBDA9-E208-456B-98AD-68F81593C340}" name="RevenueByClient16" displayName="RevenueByClient16" ref="A1:S115" totalsRowShown="0" headerRowDxfId="43" dataDxfId="42">
  <autoFilter ref="A1:S115" xr:uid="{00000000-0009-0000-0100-000007000000}"/>
  <tableColumns count="19">
    <tableColumn id="1" xr3:uid="{CBB0A7E2-818D-4B31-B8AE-9DB1860E8EBC}" name="Workorder" dataDxfId="41" totalsRowDxfId="40"/>
    <tableColumn id="2" xr3:uid="{EACD2886-97BF-4DE2-AC6D-C1646F682EC8}" name="Account" dataDxfId="39" totalsRowDxfId="38"/>
    <tableColumn id="3" xr3:uid="{A03165D2-03AA-47B1-AB37-C8C5A26EFA70}" name="Project Description" dataDxfId="37"/>
    <tableColumn id="4" xr3:uid="{CAD7A151-109E-4A6D-B4FE-C2BAC31EC5C1}" name="Milestone Payment ID" dataDxfId="36"/>
    <tableColumn id="5" xr3:uid="{A9B1B238-2A05-4826-B652-36778CACEB7E}" name="Invoice No." dataDxfId="35"/>
    <tableColumn id="16" xr3:uid="{60717BE9-2566-4139-9A5F-F7FD80940D7D}" name="Invoice date/_x000a_Expected Invoice date" dataDxfId="34"/>
    <tableColumn id="15" xr3:uid="{5B2C4895-22FC-4771-A160-1606FEC9D538}" name="Status" dataDxfId="33"/>
    <tableColumn id="6" xr3:uid="{83E4A97C-CAED-4E64-8D28-92C5CC8DCDFA}" name="Payment date/_x000a_Expected Payment Date" dataDxfId="32"/>
    <tableColumn id="23" xr3:uid="{153832D1-11A2-4109-A809-0846F6576413}" name="Paid/_x000a_Not Paid" dataDxfId="31"/>
    <tableColumn id="18" xr3:uid="{13D3501E-8938-472E-993A-5A6128814241}" name="Delayed" dataDxfId="30">
      <calculatedColumnFormula>IF(H2-F2&gt;30, "Delayed", "")</calculatedColumnFormula>
    </tableColumn>
    <tableColumn id="7" xr3:uid="{D21583EF-EBCC-4046-A87F-6C3CA97CB371}" name="Contract currency" dataDxfId="29" totalsRowDxfId="28"/>
    <tableColumn id="8" xr3:uid="{E136A19D-3110-4B8E-832C-C0FB7AE95964}" name="Exchange_x000a_Rate £" dataDxfId="27">
      <calculatedColumnFormula>INDEX(Table2[[EUR]:[MXN]],MATCH(RevenueByClient16[[#This Row],[Invoice date/
Expected Invoice date]],Table2[Date],1),MATCH(RevenueByClient16[[#This Row],[Contract currency]],Table2[[#Headers],[EUR]:[MXN]],0))</calculatedColumnFormula>
    </tableColumn>
    <tableColumn id="9" xr3:uid="{9521CF07-2E70-48F9-AF61-EA6565179270}" name="Net amount,_x000a_contract currency" dataDxfId="26" totalsRowDxfId="25"/>
    <tableColumn id="10" xr3:uid="{CE245E25-C0E9-4327-98CC-725E710FB588}" name="Sales Tax" dataDxfId="24" totalsRowDxfId="23"/>
    <tableColumn id="11" xr3:uid="{EA804381-5D62-45EA-8F67-35819FC4F6BB}" name="Tax amount, contract currency" dataDxfId="22" totalsRowDxfId="21">
      <calculatedColumnFormula>RevenueByClient16[[#This Row],[Net amount,
contract currency]]*RevenueByClient16[[#This Row],[Sales Tax]]</calculatedColumnFormula>
    </tableColumn>
    <tableColumn id="17" xr3:uid="{BB6F17B8-A829-49D1-8A84-6CBD1F1F0F23}" name="Total amount,_x000a_contract currency" dataDxfId="20" totalsRowDxfId="19">
      <calculatedColumnFormula>RevenueByClient16[[#This Row],[Net amount,
contract currency]]+RevenueByClient16[[#This Row],[Tax amount, contract currency]]</calculatedColumnFormula>
    </tableColumn>
    <tableColumn id="12" xr3:uid="{D80C2D46-414B-4320-8360-FAF4DAC56701}" name="Net amount, £" dataDxfId="18" totalsRowDxfId="17">
      <calculatedColumnFormula>RevenueByClient16[[#This Row],[Net amount,
contract currency]]*RevenueByClient16[[#This Row],[Exchange
Rate £]]</calculatedColumnFormula>
    </tableColumn>
    <tableColumn id="13" xr3:uid="{EE976663-54A9-40D3-8D8A-2BD66157BFFE}" name="Tax amount, £" dataDxfId="16" totalsRowDxfId="15">
      <calculatedColumnFormula>RevenueByClient16[[#This Row],[Tax amount, contract currency]]*RevenueByClient16[[#This Row],[Exchange
Rate £]]</calculatedColumnFormula>
    </tableColumn>
    <tableColumn id="14" xr3:uid="{CCBB87A3-C8D0-46A8-9320-B1CB37F2DB68}" name="Total amount, £" dataDxfId="14" totalsRowDxfId="13">
      <calculatedColumnFormula>SUM(RevenueByClient16[[#This Row],[Net amount, £]:[Tax amount, £]])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84DE29-3D56-4DE1-8E6B-C59FC8C09470}" name="Table1" displayName="Table1" ref="B2:G49" totalsRowShown="0">
  <autoFilter ref="B2:G49" xr:uid="{6084DE29-3D56-4DE1-8E6B-C59FC8C09470}"/>
  <tableColumns count="6">
    <tableColumn id="1" xr3:uid="{B2D6EFAC-B14A-485C-90D7-E2C5D1AC2D42}" name="Date" dataDxfId="12"/>
    <tableColumn id="2" xr3:uid="{D854917F-542B-4E85-B3E7-580A68276172}" name="EUR"/>
    <tableColumn id="3" xr3:uid="{A0F2D6A5-F800-4902-9EEA-5F07C4F24E30}" name="USD"/>
    <tableColumn id="4" xr3:uid="{10B57965-014D-496B-A5B1-BE856AAEAC79}" name="GBP"/>
    <tableColumn id="5" xr3:uid="{B426895E-0D06-4D3E-BF4E-59E49FF69F11}" name="CHF"/>
    <tableColumn id="6" xr3:uid="{E9B7EF12-37A6-47C8-868A-6A2CCD292716}" name="MX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F1CA88-5A1E-4649-B36B-1E9151DC5288}" name="Table2" displayName="Table2" ref="B2:G49" totalsRowShown="0">
  <autoFilter ref="B2:G49" xr:uid="{59F1CA88-5A1E-4649-B36B-1E9151DC5288}"/>
  <tableColumns count="6">
    <tableColumn id="1" xr3:uid="{B165CC0F-7941-4D58-A316-525F9F3B8C91}" name="Date" dataDxfId="11"/>
    <tableColumn id="2" xr3:uid="{943FCDED-8487-40C0-9A17-DCC774F3F0B8}" name="EUR"/>
    <tableColumn id="3" xr3:uid="{CDD2521D-8B7B-4266-8F77-E8221EA44666}" name="USD"/>
    <tableColumn id="4" xr3:uid="{DFCDDB7B-DF80-4E06-9605-1083F7C9A402}" name="GBP"/>
    <tableColumn id="5" xr3:uid="{5AFC7D21-95AF-48B0-9DA4-14DE2C3B086C}" name="CHF"/>
    <tableColumn id="6" xr3:uid="{9AEE6ECB-8A4D-4F18-9C0F-B69C1F72015E}" name="MX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personId="{2810A888-A714-431E-AED2-E283B93BA45D}" id="{CAE80194-CA45-46DF-ADEA-9C0C60F5EB1A}">
    <text xml:space="preserve">
Client - Year signed - Total number of payments - Payment number.
If contract not yet signed use X instead of numbers: FCO_001-XXXX-XX-XX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CA6E-12FD-4DB7-A206-E083DFE5C89F}">
  <sheetPr>
    <tabColor theme="5"/>
  </sheetPr>
  <dimension ref="A1:S187"/>
  <sheetViews>
    <sheetView tabSelected="1" topLeftCell="A93" zoomScale="90" zoomScaleNormal="90" workbookViewId="0">
      <selection activeCell="C11" sqref="C11"/>
    </sheetView>
  </sheetViews>
  <sheetFormatPr defaultColWidth="9.453125" defaultRowHeight="14.5"/>
  <cols>
    <col min="1" max="1" width="16" customWidth="1"/>
    <col min="2" max="2" width="8.453125" bestFit="1" customWidth="1"/>
    <col min="3" max="3" width="69.453125" customWidth="1"/>
    <col min="4" max="4" width="23.453125" customWidth="1"/>
    <col min="5" max="5" width="13.453125" bestFit="1" customWidth="1"/>
    <col min="6" max="6" width="17.26953125" customWidth="1"/>
    <col min="7" max="7" width="18.453125" bestFit="1" customWidth="1"/>
    <col min="8" max="8" width="12.453125" customWidth="1"/>
    <col min="9" max="9" width="12.453125" style="12" customWidth="1"/>
    <col min="10" max="10" width="11.453125" customWidth="1"/>
    <col min="11" max="11" width="21.453125" customWidth="1"/>
    <col min="12" max="12" width="9.453125" customWidth="1"/>
    <col min="13" max="13" width="17.453125" bestFit="1" customWidth="1"/>
    <col min="15" max="15" width="15.453125" customWidth="1"/>
    <col min="16" max="16" width="16.453125" customWidth="1"/>
    <col min="17" max="19" width="18.453125" bestFit="1" customWidth="1"/>
  </cols>
  <sheetData>
    <row r="1" spans="1:19" ht="58">
      <c r="A1" t="s">
        <v>1</v>
      </c>
      <c r="B1" t="s">
        <v>2</v>
      </c>
      <c r="C1" t="s">
        <v>22</v>
      </c>
      <c r="D1" t="s">
        <v>10</v>
      </c>
      <c r="E1" t="s">
        <v>23</v>
      </c>
      <c r="F1" s="3" t="s">
        <v>24</v>
      </c>
      <c r="G1" s="4" t="s">
        <v>4</v>
      </c>
      <c r="H1" s="3" t="s">
        <v>9</v>
      </c>
      <c r="I1" s="13" t="s">
        <v>25</v>
      </c>
      <c r="J1" s="3" t="s">
        <v>26</v>
      </c>
      <c r="K1" s="1" t="s">
        <v>5</v>
      </c>
      <c r="L1" s="9" t="s">
        <v>27</v>
      </c>
      <c r="M1" s="8" t="s">
        <v>28</v>
      </c>
      <c r="N1" s="6" t="s">
        <v>3</v>
      </c>
      <c r="O1" s="4" t="s">
        <v>29</v>
      </c>
      <c r="P1" s="7" t="s">
        <v>30</v>
      </c>
      <c r="Q1" s="10" t="s">
        <v>31</v>
      </c>
      <c r="R1" s="10" t="s">
        <v>32</v>
      </c>
      <c r="S1" s="10" t="s">
        <v>33</v>
      </c>
    </row>
    <row r="2" spans="1:19">
      <c r="A2" s="26" t="s">
        <v>34</v>
      </c>
      <c r="B2" s="30" t="s">
        <v>219</v>
      </c>
      <c r="C2" s="26" t="s">
        <v>35</v>
      </c>
      <c r="D2" s="20" t="s">
        <v>36</v>
      </c>
      <c r="E2">
        <v>414</v>
      </c>
      <c r="F2" s="2">
        <v>44952</v>
      </c>
      <c r="G2" s="5" t="str">
        <f>IF(RevenueByClient16[[#This Row],[Invoice No.]]=0,"Not invoiced","Invoiced")</f>
        <v>Invoiced</v>
      </c>
      <c r="H2" s="15">
        <v>45054</v>
      </c>
      <c r="I2" s="14" t="s">
        <v>37</v>
      </c>
      <c r="J2" s="21" t="str">
        <f t="shared" ref="J2:J65" si="0">IF(H2="Pending invoice","",IF(H2="On time", "",IF(H2="Expired", "Delayed",IF(H2-F2&gt;30, "Delayed", ""))))</f>
        <v>Delayed</v>
      </c>
      <c r="K2" s="22" t="s">
        <v>7</v>
      </c>
      <c r="L2" s="23">
        <f>INDEX(Table2[[EUR]:[MXN]],MATCH(RevenueByClient16[[#This Row],[Invoice date/
Expected Invoice date]],Table2[Date],1),MATCH(RevenueByClient16[[#This Row],[Contract currency]],Table2[[#Headers],[EUR]:[MXN]],0))</f>
        <v>4.24147E-2</v>
      </c>
      <c r="M2" s="16">
        <v>734777</v>
      </c>
      <c r="N2" s="27">
        <v>0.16</v>
      </c>
      <c r="O2" s="5">
        <f>RevenueByClient16[[#This Row],[Net amount,
contract currency]]*RevenueByClient16[[#This Row],[Sales Tax]]</f>
        <v>117564.32</v>
      </c>
      <c r="P2" s="5">
        <f>RevenueByClient16[[#This Row],[Net amount,
contract currency]]+RevenueByClient16[[#This Row],[Tax amount, contract currency]]</f>
        <v>852341.32000000007</v>
      </c>
      <c r="Q2" s="11">
        <f>RevenueByClient16[[#This Row],[Net amount,
contract currency]]*RevenueByClient16[[#This Row],[Exchange
Rate £]]</f>
        <v>31165.346021900001</v>
      </c>
      <c r="R2" s="11">
        <f>RevenueByClient16[[#This Row],[Tax amount, contract currency]]*RevenueByClient16[[#This Row],[Exchange
Rate £]]</f>
        <v>4986.4553635040002</v>
      </c>
      <c r="S2" s="11">
        <f>SUM(RevenueByClient16[[#This Row],[Net amount, £]:[Tax amount, £]])</f>
        <v>36151.801385404004</v>
      </c>
    </row>
    <row r="3" spans="1:19">
      <c r="A3" s="26" t="s">
        <v>34</v>
      </c>
      <c r="B3" s="30" t="s">
        <v>219</v>
      </c>
      <c r="C3" s="26" t="s">
        <v>35</v>
      </c>
      <c r="D3" s="20" t="s">
        <v>39</v>
      </c>
      <c r="E3">
        <v>444</v>
      </c>
      <c r="F3" s="2">
        <v>45194</v>
      </c>
      <c r="G3" s="5" t="str">
        <f>IF(RevenueByClient16[[#This Row],[Invoice No.]]=0,"Not invoiced","Invoiced")</f>
        <v>Invoiced</v>
      </c>
      <c r="H3" s="2">
        <f>RevenueByClient16[[#This Row],[Invoice date/
Expected Invoice date]]+110+20</f>
        <v>45324</v>
      </c>
      <c r="I3" s="14" t="s">
        <v>40</v>
      </c>
      <c r="J3" s="21" t="str">
        <f t="shared" si="0"/>
        <v>Delayed</v>
      </c>
      <c r="K3" s="22" t="s">
        <v>7</v>
      </c>
      <c r="L3" s="23">
        <f>INDEX(Table2[[EUR]:[MXN]],MATCH(RevenueByClient16[[#This Row],[Invoice date/
Expected Invoice date]],Table2[Date],1),MATCH(RevenueByClient16[[#This Row],[Contract currency]],Table2[[#Headers],[EUR]:[MXN]],0))</f>
        <v>4.69165E-2</v>
      </c>
      <c r="M3" s="16">
        <v>55164</v>
      </c>
      <c r="N3" s="27">
        <v>0.16</v>
      </c>
      <c r="O3" s="5">
        <f>RevenueByClient16[[#This Row],[Net amount,
contract currency]]*RevenueByClient16[[#This Row],[Sales Tax]]</f>
        <v>8826.24</v>
      </c>
      <c r="P3" s="5">
        <f>RevenueByClient16[[#This Row],[Net amount,
contract currency]]+RevenueByClient16[[#This Row],[Tax amount, contract currency]]</f>
        <v>63990.239999999998</v>
      </c>
      <c r="Q3" s="11">
        <f>RevenueByClient16[[#This Row],[Net amount,
contract currency]]*RevenueByClient16[[#This Row],[Exchange
Rate £]]</f>
        <v>2588.1018060000001</v>
      </c>
      <c r="R3" s="11">
        <f>RevenueByClient16[[#This Row],[Tax amount, contract currency]]*RevenueByClient16[[#This Row],[Exchange
Rate £]]</f>
        <v>414.09628895999998</v>
      </c>
      <c r="S3" s="11">
        <f>SUM(RevenueByClient16[[#This Row],[Net amount, £]:[Tax amount, £]])</f>
        <v>3002.1980949600002</v>
      </c>
    </row>
    <row r="4" spans="1:19">
      <c r="A4" s="26" t="s">
        <v>42</v>
      </c>
      <c r="B4" s="30" t="s">
        <v>219</v>
      </c>
      <c r="C4" s="26" t="s">
        <v>43</v>
      </c>
      <c r="D4" s="20" t="s">
        <v>44</v>
      </c>
      <c r="E4">
        <v>419</v>
      </c>
      <c r="F4" s="2">
        <v>44974</v>
      </c>
      <c r="G4" s="5" t="str">
        <f>IF(RevenueByClient16[[#This Row],[Invoice No.]]=0,"Not invoiced","Invoiced")</f>
        <v>Invoiced</v>
      </c>
      <c r="H4" s="15">
        <v>45049</v>
      </c>
      <c r="I4" s="14" t="s">
        <v>37</v>
      </c>
      <c r="J4" s="21" t="str">
        <f t="shared" si="0"/>
        <v>Delayed</v>
      </c>
      <c r="K4" s="22" t="s">
        <v>7</v>
      </c>
      <c r="L4" s="23">
        <f>INDEX(Table2[[EUR]:[MXN]],MATCH(RevenueByClient16[[#This Row],[Invoice date/
Expected Invoice date]],Table2[Date],1),MATCH(RevenueByClient16[[#This Row],[Contract currency]],Table2[[#Headers],[EUR]:[MXN]],0))</f>
        <v>4.2500000000000003E-2</v>
      </c>
      <c r="M4" s="16">
        <v>174694</v>
      </c>
      <c r="N4" s="27">
        <v>0.16</v>
      </c>
      <c r="O4" s="5">
        <f>RevenueByClient16[[#This Row],[Net amount,
contract currency]]*RevenueByClient16[[#This Row],[Sales Tax]]</f>
        <v>27951.040000000001</v>
      </c>
      <c r="P4" s="5">
        <f>RevenueByClient16[[#This Row],[Net amount,
contract currency]]+RevenueByClient16[[#This Row],[Tax amount, contract currency]]</f>
        <v>202645.04</v>
      </c>
      <c r="Q4" s="11">
        <f>RevenueByClient16[[#This Row],[Net amount,
contract currency]]*RevenueByClient16[[#This Row],[Exchange
Rate £]]</f>
        <v>7424.4950000000008</v>
      </c>
      <c r="R4" s="11">
        <f>RevenueByClient16[[#This Row],[Tax amount, contract currency]]*RevenueByClient16[[#This Row],[Exchange
Rate £]]</f>
        <v>1187.9192</v>
      </c>
      <c r="S4" s="11">
        <f>SUM(RevenueByClient16[[#This Row],[Net amount, £]:[Tax amount, £]])</f>
        <v>8612.4142000000011</v>
      </c>
    </row>
    <row r="5" spans="1:19">
      <c r="A5" s="26" t="s">
        <v>45</v>
      </c>
      <c r="B5" s="30" t="s">
        <v>219</v>
      </c>
      <c r="C5" s="26" t="s">
        <v>46</v>
      </c>
      <c r="D5" s="20" t="s">
        <v>36</v>
      </c>
      <c r="E5">
        <v>421</v>
      </c>
      <c r="F5" s="2">
        <v>44980</v>
      </c>
      <c r="G5" s="5" t="str">
        <f>IF(RevenueByClient16[[#This Row],[Invoice No.]]=0,"Not invoiced","Invoiced")</f>
        <v>Invoiced</v>
      </c>
      <c r="H5" s="15">
        <v>45103</v>
      </c>
      <c r="I5" s="14" t="s">
        <v>37</v>
      </c>
      <c r="J5" s="21" t="str">
        <f>IF(H5="Pending invoice","",IF(H5="On time", "",IF(H5="Expired", "Delayed",IF(H5-F5&gt;30, "Delayed", ""))))</f>
        <v>Delayed</v>
      </c>
      <c r="K5" s="22" t="s">
        <v>7</v>
      </c>
      <c r="L5" s="23">
        <f>INDEX(Table2[[EUR]:[MXN]],MATCH(RevenueByClient16[[#This Row],[Invoice date/
Expected Invoice date]],Table2[Date],1),MATCH(RevenueByClient16[[#This Row],[Contract currency]],Table2[[#Headers],[EUR]:[MXN]],0))</f>
        <v>4.2500000000000003E-2</v>
      </c>
      <c r="M5" s="16">
        <v>746125</v>
      </c>
      <c r="N5" s="27">
        <v>0.16</v>
      </c>
      <c r="O5" s="5">
        <f>RevenueByClient16[[#This Row],[Net amount,
contract currency]]*RevenueByClient16[[#This Row],[Sales Tax]]</f>
        <v>119380</v>
      </c>
      <c r="P5" s="5">
        <f>RevenueByClient16[[#This Row],[Net amount,
contract currency]]+RevenueByClient16[[#This Row],[Tax amount, contract currency]]</f>
        <v>865505</v>
      </c>
      <c r="Q5" s="11">
        <f>RevenueByClient16[[#This Row],[Net amount,
contract currency]]*RevenueByClient16[[#This Row],[Exchange
Rate £]]</f>
        <v>31710.312500000004</v>
      </c>
      <c r="R5" s="11">
        <f>RevenueByClient16[[#This Row],[Tax amount, contract currency]]*RevenueByClient16[[#This Row],[Exchange
Rate £]]</f>
        <v>5073.6500000000005</v>
      </c>
      <c r="S5" s="11">
        <f>SUM(RevenueByClient16[[#This Row],[Net amount, £]:[Tax amount, £]])</f>
        <v>36783.962500000001</v>
      </c>
    </row>
    <row r="6" spans="1:19">
      <c r="A6" s="26" t="s">
        <v>47</v>
      </c>
      <c r="B6" s="30" t="s">
        <v>218</v>
      </c>
      <c r="C6" s="26" t="s">
        <v>48</v>
      </c>
      <c r="D6" s="20" t="s">
        <v>49</v>
      </c>
      <c r="E6">
        <v>424</v>
      </c>
      <c r="F6" s="2">
        <v>45002</v>
      </c>
      <c r="G6" s="5" t="str">
        <f>IF(RevenueByClient16[[#This Row],[Invoice No.]]=0,"Not invoiced","Invoiced")</f>
        <v>Invoiced</v>
      </c>
      <c r="H6" s="15">
        <v>45009</v>
      </c>
      <c r="I6" s="14" t="s">
        <v>37</v>
      </c>
      <c r="J6" s="21" t="str">
        <f t="shared" si="0"/>
        <v/>
      </c>
      <c r="K6" s="22" t="s">
        <v>7</v>
      </c>
      <c r="L6" s="23">
        <f>INDEX(Table2[[EUR]:[MXN]],MATCH(RevenueByClient16[[#This Row],[Invoice date/
Expected Invoice date]],Table2[Date],1),MATCH(RevenueByClient16[[#This Row],[Contract currency]],Table2[[#Headers],[EUR]:[MXN]],0))</f>
        <v>4.5093099999999997E-2</v>
      </c>
      <c r="M6" s="16">
        <v>160000</v>
      </c>
      <c r="N6" s="27">
        <v>0.16</v>
      </c>
      <c r="O6" s="5">
        <f>RevenueByClient16[[#This Row],[Net amount,
contract currency]]*RevenueByClient16[[#This Row],[Sales Tax]]</f>
        <v>25600</v>
      </c>
      <c r="P6" s="5">
        <f>RevenueByClient16[[#This Row],[Net amount,
contract currency]]+RevenueByClient16[[#This Row],[Tax amount, contract currency]]</f>
        <v>185600</v>
      </c>
      <c r="Q6" s="11">
        <f>RevenueByClient16[[#This Row],[Net amount,
contract currency]]*RevenueByClient16[[#This Row],[Exchange
Rate £]]</f>
        <v>7214.8959999999997</v>
      </c>
      <c r="R6" s="11">
        <f>RevenueByClient16[[#This Row],[Tax amount, contract currency]]*RevenueByClient16[[#This Row],[Exchange
Rate £]]</f>
        <v>1154.3833599999998</v>
      </c>
      <c r="S6" s="11">
        <f>SUM(RevenueByClient16[[#This Row],[Net amount, £]:[Tax amount, £]])</f>
        <v>8369.2793600000005</v>
      </c>
    </row>
    <row r="7" spans="1:19">
      <c r="A7" s="26" t="s">
        <v>51</v>
      </c>
      <c r="B7" s="30" t="s">
        <v>218</v>
      </c>
      <c r="C7" s="26" t="s">
        <v>52</v>
      </c>
      <c r="D7" s="20" t="s">
        <v>53</v>
      </c>
      <c r="E7">
        <v>465</v>
      </c>
      <c r="F7" s="2">
        <v>45195</v>
      </c>
      <c r="G7" s="5" t="str">
        <f>IF(RevenueByClient16[[#This Row],[Invoice No.]]=0,"Not invoiced","Invoiced")</f>
        <v>Invoiced</v>
      </c>
      <c r="H7" s="15">
        <v>45236</v>
      </c>
      <c r="I7" s="14" t="s">
        <v>37</v>
      </c>
      <c r="J7" s="21" t="str">
        <f t="shared" si="0"/>
        <v>Delayed</v>
      </c>
      <c r="K7" s="22" t="s">
        <v>38</v>
      </c>
      <c r="L7" s="23">
        <f>INDEX(Table2[[EUR]:[MXN]],MATCH(RevenueByClient16[[#This Row],[Invoice date/
Expected Invoice date]],Table2[Date],1),MATCH(RevenueByClient16[[#This Row],[Contract currency]],Table2[[#Headers],[EUR]:[MXN]],0))</f>
        <v>0.85821599999999998</v>
      </c>
      <c r="M7" s="16">
        <v>35649</v>
      </c>
      <c r="N7" s="27">
        <v>0</v>
      </c>
      <c r="O7" s="5">
        <f>RevenueByClient16[[#This Row],[Net amount,
contract currency]]*RevenueByClient16[[#This Row],[Sales Tax]]</f>
        <v>0</v>
      </c>
      <c r="P7" s="5">
        <f>RevenueByClient16[[#This Row],[Net amount,
contract currency]]+RevenueByClient16[[#This Row],[Tax amount, contract currency]]</f>
        <v>35649</v>
      </c>
      <c r="Q7" s="11">
        <f>RevenueByClient16[[#This Row],[Net amount,
contract currency]]*RevenueByClient16[[#This Row],[Exchange
Rate £]]</f>
        <v>30594.542183999998</v>
      </c>
      <c r="R7" s="11">
        <f>RevenueByClient16[[#This Row],[Tax amount, contract currency]]*RevenueByClient16[[#This Row],[Exchange
Rate £]]</f>
        <v>0</v>
      </c>
      <c r="S7" s="11">
        <f>SUM(RevenueByClient16[[#This Row],[Net amount, £]:[Tax amount, £]])</f>
        <v>30594.542183999998</v>
      </c>
    </row>
    <row r="8" spans="1:19">
      <c r="A8" s="26" t="s">
        <v>51</v>
      </c>
      <c r="B8" s="30" t="s">
        <v>218</v>
      </c>
      <c r="C8" s="26" t="s">
        <v>52</v>
      </c>
      <c r="D8" s="20" t="s">
        <v>11</v>
      </c>
      <c r="E8">
        <v>501</v>
      </c>
      <c r="F8" s="2">
        <v>45261</v>
      </c>
      <c r="G8" s="5" t="str">
        <f>IF(RevenueByClient16[[#This Row],[Invoice No.]]=0,"Not invoiced","Invoiced")</f>
        <v>Invoiced</v>
      </c>
      <c r="H8" s="15">
        <v>45268</v>
      </c>
      <c r="I8" s="14" t="s">
        <v>37</v>
      </c>
      <c r="J8" s="21" t="str">
        <f t="shared" si="0"/>
        <v/>
      </c>
      <c r="K8" s="22" t="s">
        <v>38</v>
      </c>
      <c r="L8" s="23">
        <f>INDEX(Table2[[EUR]:[MXN]],MATCH(RevenueByClient16[[#This Row],[Invoice date/
Expected Invoice date]],Table2[Date],1),MATCH(RevenueByClient16[[#This Row],[Contract currency]],Table2[[#Headers],[EUR]:[MXN]],0))</f>
        <v>0.86438000000000004</v>
      </c>
      <c r="M8" s="16">
        <v>83180</v>
      </c>
      <c r="N8" s="27">
        <v>0</v>
      </c>
      <c r="O8" s="5">
        <f>RevenueByClient16[[#This Row],[Net amount,
contract currency]]*RevenueByClient16[[#This Row],[Sales Tax]]</f>
        <v>0</v>
      </c>
      <c r="P8" s="5">
        <f>RevenueByClient16[[#This Row],[Net amount,
contract currency]]+RevenueByClient16[[#This Row],[Tax amount, contract currency]]</f>
        <v>83180</v>
      </c>
      <c r="Q8" s="11">
        <f>RevenueByClient16[[#This Row],[Net amount,
contract currency]]*RevenueByClient16[[#This Row],[Exchange
Rate £]]</f>
        <v>71899.128400000001</v>
      </c>
      <c r="R8" s="11">
        <f>RevenueByClient16[[#This Row],[Tax amount, contract currency]]*RevenueByClient16[[#This Row],[Exchange
Rate £]]</f>
        <v>0</v>
      </c>
      <c r="S8" s="11">
        <f>SUM(RevenueByClient16[[#This Row],[Net amount, £]:[Tax amount, £]])</f>
        <v>71899.128400000001</v>
      </c>
    </row>
    <row r="9" spans="1:19">
      <c r="A9" s="26" t="s">
        <v>51</v>
      </c>
      <c r="B9" s="30" t="s">
        <v>218</v>
      </c>
      <c r="C9" s="26" t="s">
        <v>52</v>
      </c>
      <c r="D9" s="20" t="s">
        <v>54</v>
      </c>
      <c r="E9">
        <v>0</v>
      </c>
      <c r="F9" s="2">
        <v>45317</v>
      </c>
      <c r="G9" s="5" t="str">
        <f>IF(RevenueByClient16[[#This Row],[Invoice No.]]=0,"Not invoiced","Invoiced")</f>
        <v>Not invoiced</v>
      </c>
      <c r="H9" s="2">
        <f>RevenueByClient16[[#This Row],[Invoice date/
Expected Invoice date]]+30</f>
        <v>45347</v>
      </c>
      <c r="I9" s="14" t="s">
        <v>40</v>
      </c>
      <c r="J9" s="21" t="str">
        <f t="shared" si="0"/>
        <v/>
      </c>
      <c r="K9" s="22" t="s">
        <v>38</v>
      </c>
      <c r="L9" s="23">
        <f>INDEX(Table2[[EUR]:[MXN]],MATCH(RevenueByClient16[[#This Row],[Invoice date/
Expected Invoice date]],Table2[Date],1),MATCH(RevenueByClient16[[#This Row],[Contract currency]],Table2[[#Headers],[EUR]:[MXN]],0))</f>
        <v>0.86726400000000003</v>
      </c>
      <c r="M9" s="16">
        <v>35649</v>
      </c>
      <c r="N9" s="27">
        <v>0</v>
      </c>
      <c r="O9" s="5">
        <f>RevenueByClient16[[#This Row],[Net amount,
contract currency]]*RevenueByClient16[[#This Row],[Sales Tax]]</f>
        <v>0</v>
      </c>
      <c r="P9" s="5">
        <f>RevenueByClient16[[#This Row],[Net amount,
contract currency]]+RevenueByClient16[[#This Row],[Tax amount, contract currency]]</f>
        <v>35649</v>
      </c>
      <c r="Q9" s="11">
        <f>RevenueByClient16[[#This Row],[Net amount,
contract currency]]*RevenueByClient16[[#This Row],[Exchange
Rate £]]</f>
        <v>30917.094336000002</v>
      </c>
      <c r="R9" s="11">
        <f>RevenueByClient16[[#This Row],[Tax amount, contract currency]]*RevenueByClient16[[#This Row],[Exchange
Rate £]]</f>
        <v>0</v>
      </c>
      <c r="S9" s="11">
        <f>SUM(RevenueByClient16[[#This Row],[Net amount, £]:[Tax amount, £]])</f>
        <v>30917.094336000002</v>
      </c>
    </row>
    <row r="10" spans="1:19">
      <c r="A10" s="26" t="s">
        <v>51</v>
      </c>
      <c r="B10" s="30" t="s">
        <v>218</v>
      </c>
      <c r="C10" s="26" t="s">
        <v>52</v>
      </c>
      <c r="D10" s="20" t="s">
        <v>55</v>
      </c>
      <c r="E10">
        <v>0</v>
      </c>
      <c r="F10" s="2">
        <v>45380</v>
      </c>
      <c r="G10" s="5" t="str">
        <f>IF(RevenueByClient16[[#This Row],[Invoice No.]]=0,"Not invoiced","Invoiced")</f>
        <v>Not invoiced</v>
      </c>
      <c r="H10" s="2">
        <f>RevenueByClient16[[#This Row],[Invoice date/
Expected Invoice date]]+30</f>
        <v>45410</v>
      </c>
      <c r="I10" s="14" t="s">
        <v>40</v>
      </c>
      <c r="J10" s="21" t="str">
        <f t="shared" si="0"/>
        <v/>
      </c>
      <c r="K10" s="22" t="s">
        <v>38</v>
      </c>
      <c r="L10" s="23">
        <f>INDEX(Table2[[EUR]:[MXN]],MATCH(RevenueByClient16[[#This Row],[Invoice date/
Expected Invoice date]],Table2[Date],1),MATCH(RevenueByClient16[[#This Row],[Contract currency]],Table2[[#Headers],[EUR]:[MXN]],0))</f>
        <v>0.86726400000000003</v>
      </c>
      <c r="M10" s="16">
        <v>83180</v>
      </c>
      <c r="N10" s="27">
        <v>0</v>
      </c>
      <c r="O10" s="5">
        <f>RevenueByClient16[[#This Row],[Net amount,
contract currency]]*RevenueByClient16[[#This Row],[Sales Tax]]</f>
        <v>0</v>
      </c>
      <c r="P10" s="5">
        <f>RevenueByClient16[[#This Row],[Net amount,
contract currency]]+RevenueByClient16[[#This Row],[Tax amount, contract currency]]</f>
        <v>83180</v>
      </c>
      <c r="Q10" s="11">
        <f>RevenueByClient16[[#This Row],[Net amount,
contract currency]]*RevenueByClient16[[#This Row],[Exchange
Rate £]]</f>
        <v>72139.019520000002</v>
      </c>
      <c r="R10" s="11">
        <f>RevenueByClient16[[#This Row],[Tax amount, contract currency]]*RevenueByClient16[[#This Row],[Exchange
Rate £]]</f>
        <v>0</v>
      </c>
      <c r="S10" s="11">
        <f>SUM(RevenueByClient16[[#This Row],[Net amount, £]:[Tax amount, £]])</f>
        <v>72139.019520000002</v>
      </c>
    </row>
    <row r="11" spans="1:19">
      <c r="A11" s="26" t="s">
        <v>51</v>
      </c>
      <c r="B11" s="30" t="s">
        <v>218</v>
      </c>
      <c r="C11" s="26" t="s">
        <v>52</v>
      </c>
      <c r="D11" s="20" t="s">
        <v>56</v>
      </c>
      <c r="E11">
        <v>0</v>
      </c>
      <c r="F11" s="2">
        <v>45596</v>
      </c>
      <c r="G11" s="5" t="str">
        <f>IF(RevenueByClient16[[#This Row],[Invoice No.]]=0,"Not invoiced","Invoiced")</f>
        <v>Not invoiced</v>
      </c>
      <c r="H11" s="2">
        <f>RevenueByClient16[[#This Row],[Invoice date/
Expected Invoice date]]+30</f>
        <v>45626</v>
      </c>
      <c r="I11" s="14" t="s">
        <v>40</v>
      </c>
      <c r="J11" s="21" t="str">
        <f t="shared" si="0"/>
        <v/>
      </c>
      <c r="K11" s="22" t="s">
        <v>38</v>
      </c>
      <c r="L11" s="23">
        <f>INDEX(Table2[[EUR]:[MXN]],MATCH(RevenueByClient16[[#This Row],[Invoice date/
Expected Invoice date]],Table2[Date],1),MATCH(RevenueByClient16[[#This Row],[Contract currency]],Table2[[#Headers],[EUR]:[MXN]],0))</f>
        <v>0.86726400000000003</v>
      </c>
      <c r="M11" s="16">
        <v>118824</v>
      </c>
      <c r="N11" s="27">
        <v>0</v>
      </c>
      <c r="O11" s="5">
        <f>RevenueByClient16[[#This Row],[Net amount,
contract currency]]*RevenueByClient16[[#This Row],[Sales Tax]]</f>
        <v>0</v>
      </c>
      <c r="P11" s="5">
        <f>RevenueByClient16[[#This Row],[Net amount,
contract currency]]+RevenueByClient16[[#This Row],[Tax amount, contract currency]]</f>
        <v>118824</v>
      </c>
      <c r="Q11" s="11">
        <f>RevenueByClient16[[#This Row],[Net amount,
contract currency]]*RevenueByClient16[[#This Row],[Exchange
Rate £]]</f>
        <v>103051.77753600001</v>
      </c>
      <c r="R11" s="11">
        <f>RevenueByClient16[[#This Row],[Tax amount, contract currency]]*RevenueByClient16[[#This Row],[Exchange
Rate £]]</f>
        <v>0</v>
      </c>
      <c r="S11" s="11">
        <f>SUM(RevenueByClient16[[#This Row],[Net amount, £]:[Tax amount, £]])</f>
        <v>103051.77753600001</v>
      </c>
    </row>
    <row r="12" spans="1:19">
      <c r="A12" s="26" t="s">
        <v>51</v>
      </c>
      <c r="B12" s="30" t="s">
        <v>218</v>
      </c>
      <c r="C12" s="26" t="s">
        <v>52</v>
      </c>
      <c r="D12" s="20" t="s">
        <v>58</v>
      </c>
      <c r="E12">
        <v>0</v>
      </c>
      <c r="F12" s="2">
        <v>45744</v>
      </c>
      <c r="G12" s="5" t="str">
        <f>IF(RevenueByClient16[[#This Row],[Invoice No.]]=0,"Not invoiced","Invoiced")</f>
        <v>Not invoiced</v>
      </c>
      <c r="H12" s="2">
        <f>RevenueByClient16[[#This Row],[Invoice date/
Expected Invoice date]]+30</f>
        <v>45774</v>
      </c>
      <c r="I12" s="14" t="s">
        <v>40</v>
      </c>
      <c r="J12" s="21" t="str">
        <f t="shared" si="0"/>
        <v/>
      </c>
      <c r="K12" s="22" t="s">
        <v>38</v>
      </c>
      <c r="L12" s="23">
        <f>INDEX(Table2[[EUR]:[MXN]],MATCH(RevenueByClient16[[#This Row],[Invoice date/
Expected Invoice date]],Table2[Date],1),MATCH(RevenueByClient16[[#This Row],[Contract currency]],Table2[[#Headers],[EUR]:[MXN]],0))</f>
        <v>0.86726400000000003</v>
      </c>
      <c r="M12" s="16">
        <v>118824</v>
      </c>
      <c r="N12" s="27">
        <v>0</v>
      </c>
      <c r="O12" s="5">
        <f>RevenueByClient16[[#This Row],[Net amount,
contract currency]]*RevenueByClient16[[#This Row],[Sales Tax]]</f>
        <v>0</v>
      </c>
      <c r="P12" s="5">
        <f>RevenueByClient16[[#This Row],[Net amount,
contract currency]]+RevenueByClient16[[#This Row],[Tax amount, contract currency]]</f>
        <v>118824</v>
      </c>
      <c r="Q12" s="11">
        <f>RevenueByClient16[[#This Row],[Net amount,
contract currency]]*RevenueByClient16[[#This Row],[Exchange
Rate £]]</f>
        <v>103051.77753600001</v>
      </c>
      <c r="R12" s="11">
        <f>RevenueByClient16[[#This Row],[Tax amount, contract currency]]*RevenueByClient16[[#This Row],[Exchange
Rate £]]</f>
        <v>0</v>
      </c>
      <c r="S12" s="11">
        <f>SUM(RevenueByClient16[[#This Row],[Net amount, £]:[Tax amount, £]])</f>
        <v>103051.77753600001</v>
      </c>
    </row>
    <row r="13" spans="1:19">
      <c r="A13" s="26" t="s">
        <v>51</v>
      </c>
      <c r="B13" s="30" t="s">
        <v>218</v>
      </c>
      <c r="C13" s="26" t="s">
        <v>52</v>
      </c>
      <c r="D13" s="20" t="s">
        <v>60</v>
      </c>
      <c r="E13">
        <v>0</v>
      </c>
      <c r="F13" s="2">
        <v>46006</v>
      </c>
      <c r="G13" s="5" t="str">
        <f>IF(RevenueByClient16[[#This Row],[Invoice No.]]=0,"Not invoiced","Invoiced")</f>
        <v>Not invoiced</v>
      </c>
      <c r="H13" s="2">
        <f>RevenueByClient16[[#This Row],[Invoice date/
Expected Invoice date]]+30</f>
        <v>46036</v>
      </c>
      <c r="I13" s="14" t="s">
        <v>40</v>
      </c>
      <c r="J13" s="21" t="str">
        <f t="shared" si="0"/>
        <v/>
      </c>
      <c r="K13" s="22" t="s">
        <v>38</v>
      </c>
      <c r="L13" s="23">
        <f>INDEX(Table2[[EUR]:[MXN]],MATCH(RevenueByClient16[[#This Row],[Invoice date/
Expected Invoice date]],Table2[Date],1),MATCH(RevenueByClient16[[#This Row],[Contract currency]],Table2[[#Headers],[EUR]:[MXN]],0))</f>
        <v>0.86726400000000003</v>
      </c>
      <c r="M13" s="16">
        <v>237649</v>
      </c>
      <c r="N13" s="27">
        <v>0</v>
      </c>
      <c r="O13" s="5">
        <f>RevenueByClient16[[#This Row],[Net amount,
contract currency]]*RevenueByClient16[[#This Row],[Sales Tax]]</f>
        <v>0</v>
      </c>
      <c r="P13" s="5">
        <f>RevenueByClient16[[#This Row],[Net amount,
contract currency]]+RevenueByClient16[[#This Row],[Tax amount, contract currency]]</f>
        <v>237649</v>
      </c>
      <c r="Q13" s="11">
        <f>RevenueByClient16[[#This Row],[Net amount,
contract currency]]*RevenueByClient16[[#This Row],[Exchange
Rate £]]</f>
        <v>206104.42233600002</v>
      </c>
      <c r="R13" s="11">
        <f>RevenueByClient16[[#This Row],[Tax amount, contract currency]]*RevenueByClient16[[#This Row],[Exchange
Rate £]]</f>
        <v>0</v>
      </c>
      <c r="S13" s="11">
        <f>SUM(RevenueByClient16[[#This Row],[Net amount, £]:[Tax amount, £]])</f>
        <v>206104.42233600002</v>
      </c>
    </row>
    <row r="14" spans="1:19">
      <c r="A14" s="26" t="s">
        <v>51</v>
      </c>
      <c r="B14" s="30" t="s">
        <v>218</v>
      </c>
      <c r="C14" s="26" t="s">
        <v>52</v>
      </c>
      <c r="D14" s="20" t="s">
        <v>61</v>
      </c>
      <c r="E14">
        <v>0</v>
      </c>
      <c r="F14" s="2">
        <v>46370</v>
      </c>
      <c r="G14" s="5" t="str">
        <f>IF(RevenueByClient16[[#This Row],[Invoice No.]]=0,"Not invoiced","Invoiced")</f>
        <v>Not invoiced</v>
      </c>
      <c r="H14" s="2">
        <f>RevenueByClient16[[#This Row],[Invoice date/
Expected Invoice date]]+30</f>
        <v>46400</v>
      </c>
      <c r="I14" s="14" t="s">
        <v>40</v>
      </c>
      <c r="J14" s="21" t="str">
        <f t="shared" si="0"/>
        <v/>
      </c>
      <c r="K14" s="22" t="s">
        <v>38</v>
      </c>
      <c r="L14" s="23">
        <f>INDEX(Table2[[EUR]:[MXN]],MATCH(RevenueByClient16[[#This Row],[Invoice date/
Expected Invoice date]],Table2[Date],1),MATCH(RevenueByClient16[[#This Row],[Contract currency]],Table2[[#Headers],[EUR]:[MXN]],0))</f>
        <v>0.86726400000000003</v>
      </c>
      <c r="M14" s="16">
        <v>237649</v>
      </c>
      <c r="N14" s="27">
        <v>0</v>
      </c>
      <c r="O14" s="5">
        <f>RevenueByClient16[[#This Row],[Net amount,
contract currency]]*RevenueByClient16[[#This Row],[Sales Tax]]</f>
        <v>0</v>
      </c>
      <c r="P14" s="5">
        <f>RevenueByClient16[[#This Row],[Net amount,
contract currency]]+RevenueByClient16[[#This Row],[Tax amount, contract currency]]</f>
        <v>237649</v>
      </c>
      <c r="Q14" s="11">
        <f>RevenueByClient16[[#This Row],[Net amount,
contract currency]]*RevenueByClient16[[#This Row],[Exchange
Rate £]]</f>
        <v>206104.42233600002</v>
      </c>
      <c r="R14" s="11">
        <f>RevenueByClient16[[#This Row],[Tax amount, contract currency]]*RevenueByClient16[[#This Row],[Exchange
Rate £]]</f>
        <v>0</v>
      </c>
      <c r="S14" s="11">
        <f>SUM(RevenueByClient16[[#This Row],[Net amount, £]:[Tax amount, £]])</f>
        <v>206104.42233600002</v>
      </c>
    </row>
    <row r="15" spans="1:19">
      <c r="A15" s="26" t="s">
        <v>62</v>
      </c>
      <c r="B15" s="30" t="s">
        <v>218</v>
      </c>
      <c r="C15" s="26" t="s">
        <v>63</v>
      </c>
      <c r="D15" s="20" t="s">
        <v>64</v>
      </c>
      <c r="E15">
        <v>431</v>
      </c>
      <c r="F15" s="2">
        <v>45064</v>
      </c>
      <c r="G15" s="5" t="str">
        <f>IF(RevenueByClient16[[#This Row],[Invoice No.]]=0,"Not invoiced","Invoiced")</f>
        <v>Invoiced</v>
      </c>
      <c r="H15" s="15">
        <v>45127</v>
      </c>
      <c r="I15" s="14" t="s">
        <v>37</v>
      </c>
      <c r="J15" s="21" t="str">
        <f t="shared" si="0"/>
        <v>Delayed</v>
      </c>
      <c r="K15" s="22" t="s">
        <v>41</v>
      </c>
      <c r="L15" s="23">
        <f>INDEX(Table2[[EUR]:[MXN]],MATCH(RevenueByClient16[[#This Row],[Invoice date/
Expected Invoice date]],Table2[Date],1),MATCH(RevenueByClient16[[#This Row],[Contract currency]],Table2[[#Headers],[EUR]:[MXN]],0))</f>
        <v>0.79917000000000005</v>
      </c>
      <c r="M15" s="16">
        <v>5871.47</v>
      </c>
      <c r="N15" s="27">
        <v>0</v>
      </c>
      <c r="O15" s="5">
        <f>RevenueByClient16[[#This Row],[Net amount,
contract currency]]*RevenueByClient16[[#This Row],[Sales Tax]]</f>
        <v>0</v>
      </c>
      <c r="P15" s="5">
        <f>RevenueByClient16[[#This Row],[Net amount,
contract currency]]+RevenueByClient16[[#This Row],[Tax amount, contract currency]]</f>
        <v>5871.47</v>
      </c>
      <c r="Q15" s="11">
        <f>RevenueByClient16[[#This Row],[Net amount,
contract currency]]*RevenueByClient16[[#This Row],[Exchange
Rate £]]</f>
        <v>4692.3026799000008</v>
      </c>
      <c r="R15" s="11">
        <f>RevenueByClient16[[#This Row],[Tax amount, contract currency]]*RevenueByClient16[[#This Row],[Exchange
Rate £]]</f>
        <v>0</v>
      </c>
      <c r="S15" s="11">
        <f>SUM(RevenueByClient16[[#This Row],[Net amount, £]:[Tax amount, £]])</f>
        <v>4692.3026799000008</v>
      </c>
    </row>
    <row r="16" spans="1:19">
      <c r="A16" s="26" t="s">
        <v>62</v>
      </c>
      <c r="B16" s="30" t="s">
        <v>218</v>
      </c>
      <c r="C16" s="26" t="s">
        <v>63</v>
      </c>
      <c r="D16" s="20" t="s">
        <v>65</v>
      </c>
      <c r="E16">
        <v>463</v>
      </c>
      <c r="F16" s="2">
        <v>45199</v>
      </c>
      <c r="G16" s="5" t="str">
        <f>IF(RevenueByClient16[[#This Row],[Invoice No.]]=0,"Not invoiced","Invoiced")</f>
        <v>Invoiced</v>
      </c>
      <c r="H16" s="15">
        <v>45236</v>
      </c>
      <c r="I16" s="14" t="s">
        <v>37</v>
      </c>
      <c r="J16" s="21" t="str">
        <f t="shared" si="0"/>
        <v>Delayed</v>
      </c>
      <c r="K16" s="22" t="s">
        <v>41</v>
      </c>
      <c r="L16" s="23">
        <f>INDEX(Table2[[EUR]:[MXN]],MATCH(RevenueByClient16[[#This Row],[Invoice date/
Expected Invoice date]],Table2[Date],1),MATCH(RevenueByClient16[[#This Row],[Contract currency]],Table2[[#Headers],[EUR]:[MXN]],0))</f>
        <v>0.81983700000000004</v>
      </c>
      <c r="M16" s="16">
        <v>5871.47</v>
      </c>
      <c r="N16" s="27">
        <v>0</v>
      </c>
      <c r="O16" s="5">
        <f>RevenueByClient16[[#This Row],[Net amount,
contract currency]]*RevenueByClient16[[#This Row],[Sales Tax]]</f>
        <v>0</v>
      </c>
      <c r="P16" s="5">
        <f>RevenueByClient16[[#This Row],[Net amount,
contract currency]]+RevenueByClient16[[#This Row],[Tax amount, contract currency]]</f>
        <v>5871.47</v>
      </c>
      <c r="Q16" s="11">
        <f>RevenueByClient16[[#This Row],[Net amount,
contract currency]]*RevenueByClient16[[#This Row],[Exchange
Rate £]]</f>
        <v>4813.6483503900008</v>
      </c>
      <c r="R16" s="11">
        <f>RevenueByClient16[[#This Row],[Tax amount, contract currency]]*RevenueByClient16[[#This Row],[Exchange
Rate £]]</f>
        <v>0</v>
      </c>
      <c r="S16" s="11">
        <f>SUM(RevenueByClient16[[#This Row],[Net amount, £]:[Tax amount, £]])</f>
        <v>4813.6483503900008</v>
      </c>
    </row>
    <row r="17" spans="1:19">
      <c r="A17" s="26" t="s">
        <v>62</v>
      </c>
      <c r="B17" s="30" t="s">
        <v>218</v>
      </c>
      <c r="C17" s="26" t="s">
        <v>63</v>
      </c>
      <c r="D17" s="20" t="s">
        <v>66</v>
      </c>
      <c r="E17">
        <v>464</v>
      </c>
      <c r="F17" s="2">
        <v>45199</v>
      </c>
      <c r="G17" s="5" t="str">
        <f>IF(RevenueByClient16[[#This Row],[Invoice No.]]=0,"Not invoiced","Invoiced")</f>
        <v>Invoiced</v>
      </c>
      <c r="H17" s="15">
        <v>45236</v>
      </c>
      <c r="I17" s="14" t="s">
        <v>37</v>
      </c>
      <c r="J17" s="21" t="str">
        <f t="shared" si="0"/>
        <v>Delayed</v>
      </c>
      <c r="K17" s="22" t="s">
        <v>41</v>
      </c>
      <c r="L17" s="23">
        <f>INDEX(Table2[[EUR]:[MXN]],MATCH(RevenueByClient16[[#This Row],[Invoice date/
Expected Invoice date]],Table2[Date],1),MATCH(RevenueByClient16[[#This Row],[Contract currency]],Table2[[#Headers],[EUR]:[MXN]],0))</f>
        <v>0.81983700000000004</v>
      </c>
      <c r="M17" s="16">
        <v>17616.29</v>
      </c>
      <c r="N17" s="27">
        <v>0</v>
      </c>
      <c r="O17" s="5">
        <f>RevenueByClient16[[#This Row],[Net amount,
contract currency]]*RevenueByClient16[[#This Row],[Sales Tax]]</f>
        <v>0</v>
      </c>
      <c r="P17" s="5">
        <f>RevenueByClient16[[#This Row],[Net amount,
contract currency]]+RevenueByClient16[[#This Row],[Tax amount, contract currency]]</f>
        <v>17616.29</v>
      </c>
      <c r="Q17" s="11">
        <f>RevenueByClient16[[#This Row],[Net amount,
contract currency]]*RevenueByClient16[[#This Row],[Exchange
Rate £]]</f>
        <v>14442.486344730001</v>
      </c>
      <c r="R17" s="11">
        <f>RevenueByClient16[[#This Row],[Tax amount, contract currency]]*RevenueByClient16[[#This Row],[Exchange
Rate £]]</f>
        <v>0</v>
      </c>
      <c r="S17" s="11">
        <f>SUM(RevenueByClient16[[#This Row],[Net amount, £]:[Tax amount, £]])</f>
        <v>14442.486344730001</v>
      </c>
    </row>
    <row r="18" spans="1:19">
      <c r="A18" s="26" t="s">
        <v>62</v>
      </c>
      <c r="B18" s="30" t="s">
        <v>218</v>
      </c>
      <c r="C18" s="26" t="s">
        <v>63</v>
      </c>
      <c r="D18" s="20" t="s">
        <v>67</v>
      </c>
      <c r="E18">
        <v>506</v>
      </c>
      <c r="F18" s="2">
        <v>45303</v>
      </c>
      <c r="G18" s="5" t="str">
        <f>IF(RevenueByClient16[[#This Row],[Invoice No.]]=0,"Not invoiced","Invoiced")</f>
        <v>Invoiced</v>
      </c>
      <c r="H18" s="2">
        <f>RevenueByClient16[[#This Row],[Invoice date/
Expected Invoice date]]+30</f>
        <v>45333</v>
      </c>
      <c r="I18" s="14" t="s">
        <v>40</v>
      </c>
      <c r="J18" s="21" t="str">
        <f t="shared" si="0"/>
        <v/>
      </c>
      <c r="K18" s="22" t="s">
        <v>41</v>
      </c>
      <c r="L18" s="23">
        <f>INDEX(Table2[[EUR]:[MXN]],MATCH(RevenueByClient16[[#This Row],[Invoice date/
Expected Invoice date]],Table2[Date],1),MATCH(RevenueByClient16[[#This Row],[Contract currency]],Table2[[#Headers],[EUR]:[MXN]],0))</f>
        <v>0.78516900000000001</v>
      </c>
      <c r="M18" s="16">
        <v>5999</v>
      </c>
      <c r="N18" s="27">
        <v>0</v>
      </c>
      <c r="O18" s="5">
        <f>RevenueByClient16[[#This Row],[Net amount,
contract currency]]*RevenueByClient16[[#This Row],[Sales Tax]]</f>
        <v>0</v>
      </c>
      <c r="P18" s="5">
        <f>RevenueByClient16[[#This Row],[Net amount,
contract currency]]+RevenueByClient16[[#This Row],[Tax amount, contract currency]]</f>
        <v>5999</v>
      </c>
      <c r="Q18" s="11">
        <f>RevenueByClient16[[#This Row],[Net amount,
contract currency]]*RevenueByClient16[[#This Row],[Exchange
Rate £]]</f>
        <v>4710.2288310000004</v>
      </c>
      <c r="R18" s="11">
        <f>RevenueByClient16[[#This Row],[Tax amount, contract currency]]*RevenueByClient16[[#This Row],[Exchange
Rate £]]</f>
        <v>0</v>
      </c>
      <c r="S18" s="11">
        <f>SUM(RevenueByClient16[[#This Row],[Net amount, £]:[Tax amount, £]])</f>
        <v>4710.2288310000004</v>
      </c>
    </row>
    <row r="19" spans="1:19">
      <c r="A19" s="26" t="s">
        <v>62</v>
      </c>
      <c r="B19" s="30" t="s">
        <v>218</v>
      </c>
      <c r="C19" s="26" t="s">
        <v>63</v>
      </c>
      <c r="D19" s="20" t="s">
        <v>68</v>
      </c>
      <c r="E19">
        <v>0</v>
      </c>
      <c r="F19" s="2">
        <v>45322</v>
      </c>
      <c r="G19" s="5" t="str">
        <f>IF(RevenueByClient16[[#This Row],[Invoice No.]]=0,"Not invoiced","Invoiced")</f>
        <v>Not invoiced</v>
      </c>
      <c r="H19" s="2">
        <f>RevenueByClient16[[#This Row],[Invoice date/
Expected Invoice date]]+30</f>
        <v>45352</v>
      </c>
      <c r="I19" s="14" t="s">
        <v>40</v>
      </c>
      <c r="J19" s="21" t="str">
        <f t="shared" si="0"/>
        <v/>
      </c>
      <c r="K19" s="22" t="s">
        <v>41</v>
      </c>
      <c r="L19" s="23">
        <f>INDEX(Table2[[EUR]:[MXN]],MATCH(RevenueByClient16[[#This Row],[Invoice date/
Expected Invoice date]],Table2[Date],1),MATCH(RevenueByClient16[[#This Row],[Contract currency]],Table2[[#Headers],[EUR]:[MXN]],0))</f>
        <v>0.78516900000000001</v>
      </c>
      <c r="M19" s="16">
        <v>5962.53</v>
      </c>
      <c r="N19" s="27"/>
      <c r="O19" s="5">
        <f>RevenueByClient16[[#This Row],[Net amount,
contract currency]]*RevenueByClient16[[#This Row],[Sales Tax]]</f>
        <v>0</v>
      </c>
      <c r="P19" s="5">
        <f>RevenueByClient16[[#This Row],[Net amount,
contract currency]]+RevenueByClient16[[#This Row],[Tax amount, contract currency]]</f>
        <v>5962.53</v>
      </c>
      <c r="Q19" s="11">
        <f>RevenueByClient16[[#This Row],[Net amount,
contract currency]]*RevenueByClient16[[#This Row],[Exchange
Rate £]]</f>
        <v>4681.5937175700001</v>
      </c>
      <c r="R19" s="11">
        <f>RevenueByClient16[[#This Row],[Tax amount, contract currency]]*RevenueByClient16[[#This Row],[Exchange
Rate £]]</f>
        <v>0</v>
      </c>
      <c r="S19" s="11">
        <f>SUM(RevenueByClient16[[#This Row],[Net amount, £]:[Tax amount, £]])</f>
        <v>4681.5937175700001</v>
      </c>
    </row>
    <row r="20" spans="1:19">
      <c r="A20" s="26" t="s">
        <v>69</v>
      </c>
      <c r="B20" s="30" t="s">
        <v>218</v>
      </c>
      <c r="C20" s="26" t="s">
        <v>70</v>
      </c>
      <c r="D20" s="20" t="s">
        <v>71</v>
      </c>
      <c r="E20">
        <v>442</v>
      </c>
      <c r="F20" s="2">
        <v>45117</v>
      </c>
      <c r="G20" s="5" t="str">
        <f>IF(RevenueByClient16[[#This Row],[Invoice No.]]=0,"Not invoiced","Invoiced")</f>
        <v>Invoiced</v>
      </c>
      <c r="H20" s="15">
        <v>45131</v>
      </c>
      <c r="I20" s="14" t="s">
        <v>37</v>
      </c>
      <c r="J20" s="21" t="str">
        <f t="shared" si="0"/>
        <v/>
      </c>
      <c r="K20" s="22" t="s">
        <v>38</v>
      </c>
      <c r="L20" s="23">
        <f>INDEX(Table2[[EUR]:[MXN]],MATCH(RevenueByClient16[[#This Row],[Invoice date/
Expected Invoice date]],Table2[Date],1),MATCH(RevenueByClient16[[#This Row],[Contract currency]],Table2[[#Headers],[EUR]:[MXN]],0))</f>
        <v>0.86257790000000001</v>
      </c>
      <c r="M20" s="16">
        <v>26398</v>
      </c>
      <c r="N20" s="27">
        <v>0</v>
      </c>
      <c r="O20" s="5">
        <f>RevenueByClient16[[#This Row],[Net amount,
contract currency]]*RevenueByClient16[[#This Row],[Sales Tax]]</f>
        <v>0</v>
      </c>
      <c r="P20" s="5">
        <f>RevenueByClient16[[#This Row],[Net amount,
contract currency]]+RevenueByClient16[[#This Row],[Tax amount, contract currency]]</f>
        <v>26398</v>
      </c>
      <c r="Q20" s="11">
        <f>RevenueByClient16[[#This Row],[Net amount,
contract currency]]*RevenueByClient16[[#This Row],[Exchange
Rate £]]</f>
        <v>22770.331404200002</v>
      </c>
      <c r="R20" s="11">
        <f>RevenueByClient16[[#This Row],[Tax amount, contract currency]]*RevenueByClient16[[#This Row],[Exchange
Rate £]]</f>
        <v>0</v>
      </c>
      <c r="S20" s="11">
        <f>SUM(RevenueByClient16[[#This Row],[Net amount, £]:[Tax amount, £]])</f>
        <v>22770.331404200002</v>
      </c>
    </row>
    <row r="21" spans="1:19">
      <c r="A21" s="26" t="s">
        <v>69</v>
      </c>
      <c r="B21" s="30" t="s">
        <v>218</v>
      </c>
      <c r="C21" s="26" t="s">
        <v>70</v>
      </c>
      <c r="D21" s="20" t="s">
        <v>13</v>
      </c>
      <c r="E21">
        <v>504</v>
      </c>
      <c r="F21" s="2">
        <v>45275</v>
      </c>
      <c r="G21" s="5" t="str">
        <f>IF(RevenueByClient16[[#This Row],[Invoice No.]]=0,"Not invoiced","Invoiced")</f>
        <v>Invoiced</v>
      </c>
      <c r="H21" s="15">
        <v>45282</v>
      </c>
      <c r="I21" s="14" t="s">
        <v>37</v>
      </c>
      <c r="J21" s="21" t="str">
        <f t="shared" si="0"/>
        <v/>
      </c>
      <c r="K21" s="22" t="s">
        <v>38</v>
      </c>
      <c r="L21" s="23">
        <f>INDEX(Table2[[EUR]:[MXN]],MATCH(RevenueByClient16[[#This Row],[Invoice date/
Expected Invoice date]],Table2[Date],1),MATCH(RevenueByClient16[[#This Row],[Contract currency]],Table2[[#Headers],[EUR]:[MXN]],0))</f>
        <v>0.86438000000000004</v>
      </c>
      <c r="M21" s="16">
        <v>50656.57</v>
      </c>
      <c r="N21" s="27">
        <v>0</v>
      </c>
      <c r="O21" s="5">
        <f>RevenueByClient16[[#This Row],[Net amount,
contract currency]]*RevenueByClient16[[#This Row],[Sales Tax]]</f>
        <v>0</v>
      </c>
      <c r="P21" s="5">
        <f>RevenueByClient16[[#This Row],[Net amount,
contract currency]]+RevenueByClient16[[#This Row],[Tax amount, contract currency]]</f>
        <v>50656.57</v>
      </c>
      <c r="Q21" s="11">
        <f>RevenueByClient16[[#This Row],[Net amount,
contract currency]]*RevenueByClient16[[#This Row],[Exchange
Rate £]]</f>
        <v>43786.525976600002</v>
      </c>
      <c r="R21" s="11">
        <f>RevenueByClient16[[#This Row],[Tax amount, contract currency]]*RevenueByClient16[[#This Row],[Exchange
Rate £]]</f>
        <v>0</v>
      </c>
      <c r="S21" s="11">
        <f>SUM(RevenueByClient16[[#This Row],[Net amount, £]:[Tax amount, £]])</f>
        <v>43786.525976600002</v>
      </c>
    </row>
    <row r="22" spans="1:19">
      <c r="A22" s="26" t="s">
        <v>69</v>
      </c>
      <c r="B22" s="30" t="s">
        <v>218</v>
      </c>
      <c r="C22" s="26" t="s">
        <v>70</v>
      </c>
      <c r="D22" s="20" t="s">
        <v>72</v>
      </c>
      <c r="E22">
        <v>0</v>
      </c>
      <c r="F22" s="2">
        <v>45320</v>
      </c>
      <c r="G22" s="5" t="str">
        <f>IF(RevenueByClient16[[#This Row],[Invoice No.]]=0,"Not invoiced","Invoiced")</f>
        <v>Not invoiced</v>
      </c>
      <c r="H22" s="2">
        <f>RevenueByClient16[[#This Row],[Invoice date/
Expected Invoice date]]+30</f>
        <v>45350</v>
      </c>
      <c r="I22" s="14" t="s">
        <v>40</v>
      </c>
      <c r="J22" s="21" t="str">
        <f t="shared" si="0"/>
        <v/>
      </c>
      <c r="K22" s="22" t="s">
        <v>38</v>
      </c>
      <c r="L22" s="23">
        <f>INDEX(Table2[[EUR]:[MXN]],MATCH(RevenueByClient16[[#This Row],[Invoice date/
Expected Invoice date]],Table2[Date],1),MATCH(RevenueByClient16[[#This Row],[Contract currency]],Table2[[#Headers],[EUR]:[MXN]],0))</f>
        <v>0.86726400000000003</v>
      </c>
      <c r="M22" s="16">
        <v>50656.57</v>
      </c>
      <c r="N22" s="27">
        <v>0</v>
      </c>
      <c r="O22" s="5">
        <f>RevenueByClient16[[#This Row],[Net amount,
contract currency]]*RevenueByClient16[[#This Row],[Sales Tax]]</f>
        <v>0</v>
      </c>
      <c r="P22" s="5">
        <f>RevenueByClient16[[#This Row],[Net amount,
contract currency]]+RevenueByClient16[[#This Row],[Tax amount, contract currency]]</f>
        <v>50656.57</v>
      </c>
      <c r="Q22" s="11">
        <f>RevenueByClient16[[#This Row],[Net amount,
contract currency]]*RevenueByClient16[[#This Row],[Exchange
Rate £]]</f>
        <v>43932.619524480004</v>
      </c>
      <c r="R22" s="11">
        <f>RevenueByClient16[[#This Row],[Tax amount, contract currency]]*RevenueByClient16[[#This Row],[Exchange
Rate £]]</f>
        <v>0</v>
      </c>
      <c r="S22" s="11">
        <f>SUM(RevenueByClient16[[#This Row],[Net amount, £]:[Tax amount, £]])</f>
        <v>43932.619524480004</v>
      </c>
    </row>
    <row r="23" spans="1:19">
      <c r="A23" s="26" t="s">
        <v>69</v>
      </c>
      <c r="B23" s="30" t="s">
        <v>218</v>
      </c>
      <c r="C23" s="26" t="s">
        <v>70</v>
      </c>
      <c r="D23" s="20" t="s">
        <v>73</v>
      </c>
      <c r="E23">
        <v>0</v>
      </c>
      <c r="F23" s="2">
        <v>45321</v>
      </c>
      <c r="G23" s="5" t="str">
        <f>IF(RevenueByClient16[[#This Row],[Invoice No.]]=0,"Not invoiced","Invoiced")</f>
        <v>Not invoiced</v>
      </c>
      <c r="H23" s="2">
        <f>RevenueByClient16[[#This Row],[Invoice date/
Expected Invoice date]]+30</f>
        <v>45351</v>
      </c>
      <c r="I23" s="14" t="s">
        <v>40</v>
      </c>
      <c r="J23" s="21" t="str">
        <f t="shared" si="0"/>
        <v/>
      </c>
      <c r="K23" s="22" t="s">
        <v>38</v>
      </c>
      <c r="L23" s="23">
        <f>INDEX(Table2[[EUR]:[MXN]],MATCH(RevenueByClient16[[#This Row],[Invoice date/
Expected Invoice date]],Table2[Date],1),MATCH(RevenueByClient16[[#This Row],[Contract currency]],Table2[[#Headers],[EUR]:[MXN]],0))</f>
        <v>0.86726400000000003</v>
      </c>
      <c r="M23" s="16">
        <v>33771.4</v>
      </c>
      <c r="N23" s="27">
        <v>0</v>
      </c>
      <c r="O23" s="5">
        <f>RevenueByClient16[[#This Row],[Net amount,
contract currency]]*RevenueByClient16[[#This Row],[Sales Tax]]</f>
        <v>0</v>
      </c>
      <c r="P23" s="5">
        <f>RevenueByClient16[[#This Row],[Net amount,
contract currency]]+RevenueByClient16[[#This Row],[Tax amount, contract currency]]</f>
        <v>33771.4</v>
      </c>
      <c r="Q23" s="11">
        <f>RevenueByClient16[[#This Row],[Net amount,
contract currency]]*RevenueByClient16[[#This Row],[Exchange
Rate £]]</f>
        <v>29288.719449600001</v>
      </c>
      <c r="R23" s="11">
        <f>RevenueByClient16[[#This Row],[Tax amount, contract currency]]*RevenueByClient16[[#This Row],[Exchange
Rate £]]</f>
        <v>0</v>
      </c>
      <c r="S23" s="11">
        <f>SUM(RevenueByClient16[[#This Row],[Net amount, £]:[Tax amount, £]])</f>
        <v>29288.719449600001</v>
      </c>
    </row>
    <row r="24" spans="1:19">
      <c r="A24" s="26" t="s">
        <v>74</v>
      </c>
      <c r="B24" s="30" t="s">
        <v>219</v>
      </c>
      <c r="C24" s="26" t="s">
        <v>75</v>
      </c>
      <c r="D24" s="20" t="s">
        <v>76</v>
      </c>
      <c r="E24">
        <v>443</v>
      </c>
      <c r="F24" s="2">
        <v>45140</v>
      </c>
      <c r="G24" s="5" t="str">
        <f>IF(RevenueByClient16[[#This Row],[Invoice No.]]=0,"Not invoiced","Invoiced")</f>
        <v>Invoiced</v>
      </c>
      <c r="H24" s="15">
        <v>45222</v>
      </c>
      <c r="I24" s="14" t="s">
        <v>37</v>
      </c>
      <c r="J24" s="21" t="str">
        <f t="shared" si="0"/>
        <v>Delayed</v>
      </c>
      <c r="K24" s="22" t="s">
        <v>7</v>
      </c>
      <c r="L24" s="23">
        <f>INDEX(Table2[[EUR]:[MXN]],MATCH(RevenueByClient16[[#This Row],[Invoice date/
Expected Invoice date]],Table2[Date],1),MATCH(RevenueByClient16[[#This Row],[Contract currency]],Table2[[#Headers],[EUR]:[MXN]],0))</f>
        <v>4.5384000000000001E-2</v>
      </c>
      <c r="M24" s="16">
        <v>440987</v>
      </c>
      <c r="N24" s="27">
        <v>0.16</v>
      </c>
      <c r="O24" s="5">
        <f>RevenueByClient16[[#This Row],[Net amount,
contract currency]]*RevenueByClient16[[#This Row],[Sales Tax]]</f>
        <v>70557.919999999998</v>
      </c>
      <c r="P24" s="5">
        <f>RevenueByClient16[[#This Row],[Net amount,
contract currency]]+RevenueByClient16[[#This Row],[Tax amount, contract currency]]</f>
        <v>511544.92</v>
      </c>
      <c r="Q24" s="11">
        <f>RevenueByClient16[[#This Row],[Net amount,
contract currency]]*RevenueByClient16[[#This Row],[Exchange
Rate £]]</f>
        <v>20013.754008</v>
      </c>
      <c r="R24" s="11">
        <f>RevenueByClient16[[#This Row],[Tax amount, contract currency]]*RevenueByClient16[[#This Row],[Exchange
Rate £]]</f>
        <v>3202.2006412800001</v>
      </c>
      <c r="S24" s="11">
        <f>SUM(RevenueByClient16[[#This Row],[Net amount, £]:[Tax amount, £]])</f>
        <v>23215.95464928</v>
      </c>
    </row>
    <row r="25" spans="1:19">
      <c r="A25" s="26" t="s">
        <v>77</v>
      </c>
      <c r="B25" s="30" t="s">
        <v>218</v>
      </c>
      <c r="C25" s="26" t="s">
        <v>78</v>
      </c>
      <c r="D25" s="20" t="s">
        <v>79</v>
      </c>
      <c r="E25">
        <v>437</v>
      </c>
      <c r="F25" s="2">
        <v>45083</v>
      </c>
      <c r="G25" s="5" t="str">
        <f>IF(RevenueByClient16[[#This Row],[Invoice No.]]=0,"Not invoiced","Invoiced")</f>
        <v>Invoiced</v>
      </c>
      <c r="H25" s="15">
        <v>45134</v>
      </c>
      <c r="I25" s="14" t="s">
        <v>37</v>
      </c>
      <c r="J25" s="21" t="str">
        <f t="shared" si="0"/>
        <v>Delayed</v>
      </c>
      <c r="K25" s="22" t="s">
        <v>38</v>
      </c>
      <c r="L25" s="23">
        <f>INDEX(Table2[[EUR]:[MXN]],MATCH(RevenueByClient16[[#This Row],[Invoice date/
Expected Invoice date]],Table2[Date],1),MATCH(RevenueByClient16[[#This Row],[Contract currency]],Table2[[#Headers],[EUR]:[MXN]],0))</f>
        <v>0.86304899999999996</v>
      </c>
      <c r="M25" s="16">
        <v>19709.47</v>
      </c>
      <c r="N25" s="27">
        <v>0</v>
      </c>
      <c r="O25" s="5">
        <f>RevenueByClient16[[#This Row],[Net amount,
contract currency]]*RevenueByClient16[[#This Row],[Sales Tax]]</f>
        <v>0</v>
      </c>
      <c r="P25" s="5">
        <f>RevenueByClient16[[#This Row],[Net amount,
contract currency]]+RevenueByClient16[[#This Row],[Tax amount, contract currency]]</f>
        <v>19709.47</v>
      </c>
      <c r="Q25" s="11">
        <f>RevenueByClient16[[#This Row],[Net amount,
contract currency]]*RevenueByClient16[[#This Row],[Exchange
Rate £]]</f>
        <v>17010.238374029999</v>
      </c>
      <c r="R25" s="11">
        <f>RevenueByClient16[[#This Row],[Tax amount, contract currency]]*RevenueByClient16[[#This Row],[Exchange
Rate £]]</f>
        <v>0</v>
      </c>
      <c r="S25" s="11">
        <f>SUM(RevenueByClient16[[#This Row],[Net amount, £]:[Tax amount, £]])</f>
        <v>17010.238374029999</v>
      </c>
    </row>
    <row r="26" spans="1:19">
      <c r="A26" s="26" t="s">
        <v>77</v>
      </c>
      <c r="B26" s="30" t="s">
        <v>218</v>
      </c>
      <c r="C26" s="26" t="s">
        <v>78</v>
      </c>
      <c r="D26" s="20" t="s">
        <v>80</v>
      </c>
      <c r="E26">
        <v>466</v>
      </c>
      <c r="F26" s="2">
        <v>45211</v>
      </c>
      <c r="G26" s="5" t="str">
        <f>IF(RevenueByClient16[[#This Row],[Invoice No.]]=0,"Not invoiced","Invoiced")</f>
        <v>Invoiced</v>
      </c>
      <c r="H26" s="15">
        <v>45211</v>
      </c>
      <c r="I26" s="14" t="s">
        <v>37</v>
      </c>
      <c r="J26" s="21" t="str">
        <f t="shared" si="0"/>
        <v/>
      </c>
      <c r="K26" s="22" t="s">
        <v>38</v>
      </c>
      <c r="L26" s="23">
        <f>INDEX(Table2[[EUR]:[MXN]],MATCH(RevenueByClient16[[#This Row],[Invoice date/
Expected Invoice date]],Table2[Date],1),MATCH(RevenueByClient16[[#This Row],[Contract currency]],Table2[[#Headers],[EUR]:[MXN]],0))</f>
        <v>0.86741900000000005</v>
      </c>
      <c r="M26" s="16">
        <v>15546</v>
      </c>
      <c r="N26" s="27">
        <v>0</v>
      </c>
      <c r="O26" s="5">
        <f>RevenueByClient16[[#This Row],[Net amount,
contract currency]]*RevenueByClient16[[#This Row],[Sales Tax]]</f>
        <v>0</v>
      </c>
      <c r="P26" s="5">
        <f>RevenueByClient16[[#This Row],[Net amount,
contract currency]]+RevenueByClient16[[#This Row],[Tax amount, contract currency]]</f>
        <v>15546</v>
      </c>
      <c r="Q26" s="11">
        <f>RevenueByClient16[[#This Row],[Net amount,
contract currency]]*RevenueByClient16[[#This Row],[Exchange
Rate £]]</f>
        <v>13484.895774000001</v>
      </c>
      <c r="R26" s="11">
        <f>RevenueByClient16[[#This Row],[Tax amount, contract currency]]*RevenueByClient16[[#This Row],[Exchange
Rate £]]</f>
        <v>0</v>
      </c>
      <c r="S26" s="11">
        <f>SUM(RevenueByClient16[[#This Row],[Net amount, £]:[Tax amount, £]])</f>
        <v>13484.895774000001</v>
      </c>
    </row>
    <row r="27" spans="1:19">
      <c r="A27" s="26" t="s">
        <v>77</v>
      </c>
      <c r="B27" s="30" t="s">
        <v>218</v>
      </c>
      <c r="C27" s="26" t="s">
        <v>78</v>
      </c>
      <c r="D27" s="20" t="s">
        <v>81</v>
      </c>
      <c r="E27">
        <v>500</v>
      </c>
      <c r="F27" s="2">
        <v>45345</v>
      </c>
      <c r="G27" s="5" t="s">
        <v>8</v>
      </c>
      <c r="H27" s="2">
        <f>RevenueByClient16[[#This Row],[Invoice date/
Expected Invoice date]]+30</f>
        <v>45375</v>
      </c>
      <c r="I27" s="14" t="s">
        <v>40</v>
      </c>
      <c r="J27" s="21" t="str">
        <f t="shared" si="0"/>
        <v/>
      </c>
      <c r="K27" s="22" t="s">
        <v>38</v>
      </c>
      <c r="L27" s="23">
        <f>INDEX(Table2[[EUR]:[MXN]],MATCH(RevenueByClient16[[#This Row],[Invoice date/
Expected Invoice date]],Table2[Date],1),MATCH(RevenueByClient16[[#This Row],[Contract currency]],Table2[[#Headers],[EUR]:[MXN]],0))</f>
        <v>0.86726400000000003</v>
      </c>
      <c r="M27" s="16">
        <v>19709.47</v>
      </c>
      <c r="N27" s="27">
        <v>0</v>
      </c>
      <c r="O27" s="5">
        <f>RevenueByClient16[[#This Row],[Net amount,
contract currency]]*RevenueByClient16[[#This Row],[Sales Tax]]</f>
        <v>0</v>
      </c>
      <c r="P27" s="5">
        <f>RevenueByClient16[[#This Row],[Net amount,
contract currency]]+RevenueByClient16[[#This Row],[Tax amount, contract currency]]</f>
        <v>19709.47</v>
      </c>
      <c r="Q27" s="11">
        <f>RevenueByClient16[[#This Row],[Net amount,
contract currency]]*RevenueByClient16[[#This Row],[Exchange
Rate £]]</f>
        <v>17093.313790080003</v>
      </c>
      <c r="R27" s="11">
        <f>RevenueByClient16[[#This Row],[Tax amount, contract currency]]*RevenueByClient16[[#This Row],[Exchange
Rate £]]</f>
        <v>0</v>
      </c>
      <c r="S27" s="11">
        <f>SUM(RevenueByClient16[[#This Row],[Net amount, £]:[Tax amount, £]])</f>
        <v>17093.313790080003</v>
      </c>
    </row>
    <row r="28" spans="1:19">
      <c r="A28" s="26" t="s">
        <v>77</v>
      </c>
      <c r="B28" s="30" t="s">
        <v>218</v>
      </c>
      <c r="C28" s="26" t="s">
        <v>78</v>
      </c>
      <c r="D28" s="20" t="s">
        <v>82</v>
      </c>
      <c r="E28">
        <v>0</v>
      </c>
      <c r="F28" s="2">
        <v>45435</v>
      </c>
      <c r="G28" s="5" t="str">
        <f>IF(RevenueByClient16[[#This Row],[Invoice No.]]=0,"Not invoiced","Invoiced")</f>
        <v>Not invoiced</v>
      </c>
      <c r="H28" s="2">
        <f>RevenueByClient16[[#This Row],[Invoice date/
Expected Invoice date]]+30</f>
        <v>45465</v>
      </c>
      <c r="I28" s="14" t="s">
        <v>40</v>
      </c>
      <c r="J28" s="21" t="str">
        <f t="shared" si="0"/>
        <v/>
      </c>
      <c r="K28" s="22" t="s">
        <v>38</v>
      </c>
      <c r="L28" s="23">
        <f>INDEX(Table2[[EUR]:[MXN]],MATCH(RevenueByClient16[[#This Row],[Invoice date/
Expected Invoice date]],Table2[Date],1),MATCH(RevenueByClient16[[#This Row],[Contract currency]],Table2[[#Headers],[EUR]:[MXN]],0))</f>
        <v>0.86726400000000003</v>
      </c>
      <c r="M28" s="16">
        <v>19709.47</v>
      </c>
      <c r="N28" s="27">
        <v>0</v>
      </c>
      <c r="O28" s="5">
        <f>RevenueByClient16[[#This Row],[Net amount,
contract currency]]*RevenueByClient16[[#This Row],[Sales Tax]]</f>
        <v>0</v>
      </c>
      <c r="P28" s="5">
        <f>RevenueByClient16[[#This Row],[Net amount,
contract currency]]+RevenueByClient16[[#This Row],[Tax amount, contract currency]]</f>
        <v>19709.47</v>
      </c>
      <c r="Q28" s="11">
        <f>RevenueByClient16[[#This Row],[Net amount,
contract currency]]*RevenueByClient16[[#This Row],[Exchange
Rate £]]</f>
        <v>17093.313790080003</v>
      </c>
      <c r="R28" s="11">
        <f>RevenueByClient16[[#This Row],[Tax amount, contract currency]]*RevenueByClient16[[#This Row],[Exchange
Rate £]]</f>
        <v>0</v>
      </c>
      <c r="S28" s="11">
        <f>SUM(RevenueByClient16[[#This Row],[Net amount, £]:[Tax amount, £]])</f>
        <v>17093.313790080003</v>
      </c>
    </row>
    <row r="29" spans="1:19">
      <c r="A29" s="26" t="s">
        <v>77</v>
      </c>
      <c r="B29" s="30" t="s">
        <v>218</v>
      </c>
      <c r="C29" s="26" t="s">
        <v>78</v>
      </c>
      <c r="D29" s="20" t="s">
        <v>83</v>
      </c>
      <c r="E29">
        <v>0</v>
      </c>
      <c r="F29" s="2">
        <v>45513</v>
      </c>
      <c r="G29" s="5" t="str">
        <f>IF(RevenueByClient16[[#This Row],[Invoice No.]]=0,"Not invoiced","Invoiced")</f>
        <v>Not invoiced</v>
      </c>
      <c r="H29" s="2">
        <f>RevenueByClient16[[#This Row],[Invoice date/
Expected Invoice date]]+30</f>
        <v>45543</v>
      </c>
      <c r="I29" s="14" t="s">
        <v>40</v>
      </c>
      <c r="J29" s="21" t="str">
        <f t="shared" si="0"/>
        <v/>
      </c>
      <c r="K29" s="22" t="s">
        <v>38</v>
      </c>
      <c r="L29" s="23">
        <f>INDEX(Table2[[EUR]:[MXN]],MATCH(RevenueByClient16[[#This Row],[Invoice date/
Expected Invoice date]],Table2[Date],1),MATCH(RevenueByClient16[[#This Row],[Contract currency]],Table2[[#Headers],[EUR]:[MXN]],0))</f>
        <v>0.86726400000000003</v>
      </c>
      <c r="M29" s="16">
        <v>19709.47</v>
      </c>
      <c r="N29" s="27">
        <v>0</v>
      </c>
      <c r="O29" s="5">
        <f>RevenueByClient16[[#This Row],[Net amount,
contract currency]]*RevenueByClient16[[#This Row],[Sales Tax]]</f>
        <v>0</v>
      </c>
      <c r="P29" s="5">
        <f>RevenueByClient16[[#This Row],[Net amount,
contract currency]]+RevenueByClient16[[#This Row],[Tax amount, contract currency]]</f>
        <v>19709.47</v>
      </c>
      <c r="Q29" s="11">
        <f>RevenueByClient16[[#This Row],[Net amount,
contract currency]]*RevenueByClient16[[#This Row],[Exchange
Rate £]]</f>
        <v>17093.313790080003</v>
      </c>
      <c r="R29" s="11">
        <f>RevenueByClient16[[#This Row],[Tax amount, contract currency]]*RevenueByClient16[[#This Row],[Exchange
Rate £]]</f>
        <v>0</v>
      </c>
      <c r="S29" s="11">
        <f>SUM(RevenueByClient16[[#This Row],[Net amount, £]:[Tax amount, £]])</f>
        <v>17093.313790080003</v>
      </c>
    </row>
    <row r="30" spans="1:19">
      <c r="A30" s="26" t="s">
        <v>77</v>
      </c>
      <c r="B30" s="30" t="s">
        <v>218</v>
      </c>
      <c r="C30" s="26" t="s">
        <v>78</v>
      </c>
      <c r="D30" s="20" t="s">
        <v>84</v>
      </c>
      <c r="E30">
        <v>0</v>
      </c>
      <c r="F30" s="2">
        <v>45611</v>
      </c>
      <c r="G30" s="5" t="str">
        <f>IF(RevenueByClient16[[#This Row],[Invoice No.]]=0,"Not invoiced","Invoiced")</f>
        <v>Not invoiced</v>
      </c>
      <c r="H30" s="2">
        <f>RevenueByClient16[[#This Row],[Invoice date/
Expected Invoice date]]+30</f>
        <v>45641</v>
      </c>
      <c r="I30" s="14" t="s">
        <v>40</v>
      </c>
      <c r="J30" s="21" t="str">
        <f t="shared" si="0"/>
        <v/>
      </c>
      <c r="K30" s="22" t="s">
        <v>38</v>
      </c>
      <c r="L30" s="23">
        <f>INDEX(Table2[[EUR]:[MXN]],MATCH(RevenueByClient16[[#This Row],[Invoice date/
Expected Invoice date]],Table2[Date],1),MATCH(RevenueByClient16[[#This Row],[Contract currency]],Table2[[#Headers],[EUR]:[MXN]],0))</f>
        <v>0.86726400000000003</v>
      </c>
      <c r="M30" s="16">
        <v>19709.47</v>
      </c>
      <c r="N30" s="27">
        <v>0</v>
      </c>
      <c r="O30" s="5">
        <f>RevenueByClient16[[#This Row],[Net amount,
contract currency]]*RevenueByClient16[[#This Row],[Sales Tax]]</f>
        <v>0</v>
      </c>
      <c r="P30" s="5">
        <f>RevenueByClient16[[#This Row],[Net amount,
contract currency]]+RevenueByClient16[[#This Row],[Tax amount, contract currency]]</f>
        <v>19709.47</v>
      </c>
      <c r="Q30" s="11">
        <f>RevenueByClient16[[#This Row],[Net amount,
contract currency]]*RevenueByClient16[[#This Row],[Exchange
Rate £]]</f>
        <v>17093.313790080003</v>
      </c>
      <c r="R30" s="11">
        <f>RevenueByClient16[[#This Row],[Tax amount, contract currency]]*RevenueByClient16[[#This Row],[Exchange
Rate £]]</f>
        <v>0</v>
      </c>
      <c r="S30" s="11">
        <f>SUM(RevenueByClient16[[#This Row],[Net amount, £]:[Tax amount, £]])</f>
        <v>17093.313790080003</v>
      </c>
    </row>
    <row r="31" spans="1:19">
      <c r="A31" s="26" t="s">
        <v>77</v>
      </c>
      <c r="B31" s="30" t="s">
        <v>218</v>
      </c>
      <c r="C31" s="26" t="s">
        <v>78</v>
      </c>
      <c r="D31" s="20" t="s">
        <v>85</v>
      </c>
      <c r="E31">
        <v>0</v>
      </c>
      <c r="F31" s="2">
        <v>45716</v>
      </c>
      <c r="G31" s="5" t="str">
        <f>IF(RevenueByClient16[[#This Row],[Invoice No.]]=0,"Not invoiced","Invoiced")</f>
        <v>Not invoiced</v>
      </c>
      <c r="H31" s="2">
        <f>RevenueByClient16[[#This Row],[Invoice date/
Expected Invoice date]]+30</f>
        <v>45746</v>
      </c>
      <c r="I31" s="14" t="s">
        <v>40</v>
      </c>
      <c r="J31" s="21" t="str">
        <f t="shared" si="0"/>
        <v/>
      </c>
      <c r="K31" s="22" t="s">
        <v>38</v>
      </c>
      <c r="L31" s="23">
        <f>INDEX(Table2[[EUR]:[MXN]],MATCH(RevenueByClient16[[#This Row],[Invoice date/
Expected Invoice date]],Table2[Date],1),MATCH(RevenueByClient16[[#This Row],[Contract currency]],Table2[[#Headers],[EUR]:[MXN]],0))</f>
        <v>0.86726400000000003</v>
      </c>
      <c r="M31" s="16">
        <v>19709.47</v>
      </c>
      <c r="N31" s="27">
        <v>0</v>
      </c>
      <c r="O31" s="5">
        <f>RevenueByClient16[[#This Row],[Net amount,
contract currency]]*RevenueByClient16[[#This Row],[Sales Tax]]</f>
        <v>0</v>
      </c>
      <c r="P31" s="5">
        <f>RevenueByClient16[[#This Row],[Net amount,
contract currency]]+RevenueByClient16[[#This Row],[Tax amount, contract currency]]</f>
        <v>19709.47</v>
      </c>
      <c r="Q31" s="11">
        <f>RevenueByClient16[[#This Row],[Net amount,
contract currency]]*RevenueByClient16[[#This Row],[Exchange
Rate £]]</f>
        <v>17093.313790080003</v>
      </c>
      <c r="R31" s="11">
        <f>RevenueByClient16[[#This Row],[Tax amount, contract currency]]*RevenueByClient16[[#This Row],[Exchange
Rate £]]</f>
        <v>0</v>
      </c>
      <c r="S31" s="11">
        <f>SUM(RevenueByClient16[[#This Row],[Net amount, £]:[Tax amount, £]])</f>
        <v>17093.313790080003</v>
      </c>
    </row>
    <row r="32" spans="1:19">
      <c r="A32" s="26" t="s">
        <v>77</v>
      </c>
      <c r="B32" s="30" t="s">
        <v>218</v>
      </c>
      <c r="C32" s="26" t="s">
        <v>78</v>
      </c>
      <c r="D32" s="20" t="s">
        <v>86</v>
      </c>
      <c r="E32">
        <v>0</v>
      </c>
      <c r="F32" s="2">
        <v>45806</v>
      </c>
      <c r="G32" s="5" t="str">
        <f>IF(RevenueByClient16[[#This Row],[Invoice No.]]=0,"Not invoiced","Invoiced")</f>
        <v>Not invoiced</v>
      </c>
      <c r="H32" s="2">
        <f>RevenueByClient16[[#This Row],[Invoice date/
Expected Invoice date]]+30</f>
        <v>45836</v>
      </c>
      <c r="I32" s="14" t="s">
        <v>40</v>
      </c>
      <c r="J32" s="21" t="str">
        <f t="shared" si="0"/>
        <v/>
      </c>
      <c r="K32" s="22" t="s">
        <v>38</v>
      </c>
      <c r="L32" s="23">
        <f>INDEX(Table2[[EUR]:[MXN]],MATCH(RevenueByClient16[[#This Row],[Invoice date/
Expected Invoice date]],Table2[Date],1),MATCH(RevenueByClient16[[#This Row],[Contract currency]],Table2[[#Headers],[EUR]:[MXN]],0))</f>
        <v>0.86726400000000003</v>
      </c>
      <c r="M32" s="16">
        <v>19709.47</v>
      </c>
      <c r="N32" s="27">
        <v>0</v>
      </c>
      <c r="O32" s="5">
        <f>RevenueByClient16[[#This Row],[Net amount,
contract currency]]*RevenueByClient16[[#This Row],[Sales Tax]]</f>
        <v>0</v>
      </c>
      <c r="P32" s="5">
        <f>RevenueByClient16[[#This Row],[Net amount,
contract currency]]+RevenueByClient16[[#This Row],[Tax amount, contract currency]]</f>
        <v>19709.47</v>
      </c>
      <c r="Q32" s="11">
        <f>RevenueByClient16[[#This Row],[Net amount,
contract currency]]*RevenueByClient16[[#This Row],[Exchange
Rate £]]</f>
        <v>17093.313790080003</v>
      </c>
      <c r="R32" s="11">
        <f>RevenueByClient16[[#This Row],[Tax amount, contract currency]]*RevenueByClient16[[#This Row],[Exchange
Rate £]]</f>
        <v>0</v>
      </c>
      <c r="S32" s="11">
        <f>SUM(RevenueByClient16[[#This Row],[Net amount, £]:[Tax amount, £]])</f>
        <v>17093.313790080003</v>
      </c>
    </row>
    <row r="33" spans="1:19">
      <c r="A33" s="26" t="s">
        <v>77</v>
      </c>
      <c r="B33" s="30" t="s">
        <v>218</v>
      </c>
      <c r="C33" s="26" t="s">
        <v>78</v>
      </c>
      <c r="D33" s="20" t="s">
        <v>87</v>
      </c>
      <c r="E33">
        <v>0</v>
      </c>
      <c r="F33" s="2">
        <v>45890</v>
      </c>
      <c r="G33" s="5" t="str">
        <f>IF(RevenueByClient16[[#This Row],[Invoice No.]]=0,"Not invoiced","Invoiced")</f>
        <v>Not invoiced</v>
      </c>
      <c r="H33" s="2">
        <f>RevenueByClient16[[#This Row],[Invoice date/
Expected Invoice date]]+30</f>
        <v>45920</v>
      </c>
      <c r="I33" s="14" t="s">
        <v>40</v>
      </c>
      <c r="J33" s="21" t="str">
        <f t="shared" si="0"/>
        <v/>
      </c>
      <c r="K33" s="22" t="s">
        <v>38</v>
      </c>
      <c r="L33" s="23">
        <f>INDEX(Table2[[EUR]:[MXN]],MATCH(RevenueByClient16[[#This Row],[Invoice date/
Expected Invoice date]],Table2[Date],1),MATCH(RevenueByClient16[[#This Row],[Contract currency]],Table2[[#Headers],[EUR]:[MXN]],0))</f>
        <v>0.86726400000000003</v>
      </c>
      <c r="M33" s="16">
        <v>19709.47</v>
      </c>
      <c r="N33" s="27">
        <v>0</v>
      </c>
      <c r="O33" s="5">
        <f>RevenueByClient16[[#This Row],[Net amount,
contract currency]]*RevenueByClient16[[#This Row],[Sales Tax]]</f>
        <v>0</v>
      </c>
      <c r="P33" s="5">
        <f>RevenueByClient16[[#This Row],[Net amount,
contract currency]]+RevenueByClient16[[#This Row],[Tax amount, contract currency]]</f>
        <v>19709.47</v>
      </c>
      <c r="Q33" s="11">
        <f>RevenueByClient16[[#This Row],[Net amount,
contract currency]]*RevenueByClient16[[#This Row],[Exchange
Rate £]]</f>
        <v>17093.313790080003</v>
      </c>
      <c r="R33" s="11">
        <f>RevenueByClient16[[#This Row],[Tax amount, contract currency]]*RevenueByClient16[[#This Row],[Exchange
Rate £]]</f>
        <v>0</v>
      </c>
      <c r="S33" s="11">
        <f>SUM(RevenueByClient16[[#This Row],[Net amount, £]:[Tax amount, £]])</f>
        <v>17093.313790080003</v>
      </c>
    </row>
    <row r="34" spans="1:19">
      <c r="A34" s="26" t="s">
        <v>77</v>
      </c>
      <c r="B34" s="30" t="s">
        <v>218</v>
      </c>
      <c r="C34" s="26" t="s">
        <v>78</v>
      </c>
      <c r="D34" s="20" t="s">
        <v>88</v>
      </c>
      <c r="E34">
        <v>0</v>
      </c>
      <c r="F34" s="2">
        <v>45989</v>
      </c>
      <c r="G34" s="5" t="str">
        <f>IF(RevenueByClient16[[#This Row],[Invoice No.]]=0,"Not invoiced","Invoiced")</f>
        <v>Not invoiced</v>
      </c>
      <c r="H34" s="2">
        <f>RevenueByClient16[[#This Row],[Invoice date/
Expected Invoice date]]+30</f>
        <v>46019</v>
      </c>
      <c r="I34" s="14" t="s">
        <v>40</v>
      </c>
      <c r="J34" s="21" t="str">
        <f t="shared" si="0"/>
        <v/>
      </c>
      <c r="K34" s="22" t="s">
        <v>38</v>
      </c>
      <c r="L34" s="23">
        <f>INDEX(Table2[[EUR]:[MXN]],MATCH(RevenueByClient16[[#This Row],[Invoice date/
Expected Invoice date]],Table2[Date],1),MATCH(RevenueByClient16[[#This Row],[Contract currency]],Table2[[#Headers],[EUR]:[MXN]],0))</f>
        <v>0.86726400000000003</v>
      </c>
      <c r="M34" s="16">
        <v>19709.47</v>
      </c>
      <c r="N34" s="27">
        <v>0</v>
      </c>
      <c r="O34" s="5">
        <f>RevenueByClient16[[#This Row],[Net amount,
contract currency]]*RevenueByClient16[[#This Row],[Sales Tax]]</f>
        <v>0</v>
      </c>
      <c r="P34" s="5">
        <f>RevenueByClient16[[#This Row],[Net amount,
contract currency]]+RevenueByClient16[[#This Row],[Tax amount, contract currency]]</f>
        <v>19709.47</v>
      </c>
      <c r="Q34" s="11">
        <f>RevenueByClient16[[#This Row],[Net amount,
contract currency]]*RevenueByClient16[[#This Row],[Exchange
Rate £]]</f>
        <v>17093.313790080003</v>
      </c>
      <c r="R34" s="11">
        <f>RevenueByClient16[[#This Row],[Tax amount, contract currency]]*RevenueByClient16[[#This Row],[Exchange
Rate £]]</f>
        <v>0</v>
      </c>
      <c r="S34" s="11">
        <f>SUM(RevenueByClient16[[#This Row],[Net amount, £]:[Tax amount, £]])</f>
        <v>17093.313790080003</v>
      </c>
    </row>
    <row r="35" spans="1:19">
      <c r="A35" s="26" t="s">
        <v>77</v>
      </c>
      <c r="B35" s="30" t="s">
        <v>218</v>
      </c>
      <c r="C35" s="26" t="s">
        <v>78</v>
      </c>
      <c r="D35" s="20" t="s">
        <v>89</v>
      </c>
      <c r="E35">
        <v>0</v>
      </c>
      <c r="F35" s="2">
        <v>46073</v>
      </c>
      <c r="G35" s="5" t="str">
        <f>IF(RevenueByClient16[[#This Row],[Invoice No.]]=0,"Not invoiced","Invoiced")</f>
        <v>Not invoiced</v>
      </c>
      <c r="H35" s="2">
        <f>RevenueByClient16[[#This Row],[Invoice date/
Expected Invoice date]]+30</f>
        <v>46103</v>
      </c>
      <c r="I35" s="14" t="s">
        <v>40</v>
      </c>
      <c r="J35" s="21" t="str">
        <f t="shared" si="0"/>
        <v/>
      </c>
      <c r="K35" s="22" t="s">
        <v>38</v>
      </c>
      <c r="L35" s="23">
        <f>INDEX(Table2[[EUR]:[MXN]],MATCH(RevenueByClient16[[#This Row],[Invoice date/
Expected Invoice date]],Table2[Date],1),MATCH(RevenueByClient16[[#This Row],[Contract currency]],Table2[[#Headers],[EUR]:[MXN]],0))</f>
        <v>0.86726400000000003</v>
      </c>
      <c r="M35" s="16">
        <v>19709.47</v>
      </c>
      <c r="N35" s="27">
        <v>0</v>
      </c>
      <c r="O35" s="5">
        <f>RevenueByClient16[[#This Row],[Net amount,
contract currency]]*RevenueByClient16[[#This Row],[Sales Tax]]</f>
        <v>0</v>
      </c>
      <c r="P35" s="5">
        <f>RevenueByClient16[[#This Row],[Net amount,
contract currency]]+RevenueByClient16[[#This Row],[Tax amount, contract currency]]</f>
        <v>19709.47</v>
      </c>
      <c r="Q35" s="11">
        <f>RevenueByClient16[[#This Row],[Net amount,
contract currency]]*RevenueByClient16[[#This Row],[Exchange
Rate £]]</f>
        <v>17093.313790080003</v>
      </c>
      <c r="R35" s="11">
        <f>RevenueByClient16[[#This Row],[Tax amount, contract currency]]*RevenueByClient16[[#This Row],[Exchange
Rate £]]</f>
        <v>0</v>
      </c>
      <c r="S35" s="11">
        <f>SUM(RevenueByClient16[[#This Row],[Net amount, £]:[Tax amount, £]])</f>
        <v>17093.313790080003</v>
      </c>
    </row>
    <row r="36" spans="1:19">
      <c r="A36" s="26" t="s">
        <v>90</v>
      </c>
      <c r="B36" s="30" t="s">
        <v>219</v>
      </c>
      <c r="C36" s="26" t="s">
        <v>91</v>
      </c>
      <c r="D36" s="20" t="s">
        <v>92</v>
      </c>
      <c r="E36">
        <v>453</v>
      </c>
      <c r="F36" s="2">
        <v>45170</v>
      </c>
      <c r="G36" s="5" t="s">
        <v>6</v>
      </c>
      <c r="H36" s="15">
        <v>45175</v>
      </c>
      <c r="I36" s="14" t="s">
        <v>37</v>
      </c>
      <c r="J36" s="21" t="str">
        <f t="shared" si="0"/>
        <v/>
      </c>
      <c r="K36" s="22" t="s">
        <v>7</v>
      </c>
      <c r="L36" s="23">
        <f>INDEX(Table2[[EUR]:[MXN]],MATCH(RevenueByClient16[[#This Row],[Invoice date/
Expected Invoice date]],Table2[Date],1),MATCH(RevenueByClient16[[#This Row],[Contract currency]],Table2[[#Headers],[EUR]:[MXN]],0))</f>
        <v>4.69165E-2</v>
      </c>
      <c r="M36" s="16">
        <v>259460</v>
      </c>
      <c r="N36" s="27">
        <v>0.16</v>
      </c>
      <c r="O36" s="5">
        <f>RevenueByClient16[[#This Row],[Net amount,
contract currency]]*RevenueByClient16[[#This Row],[Sales Tax]]</f>
        <v>41513.599999999999</v>
      </c>
      <c r="P36" s="5">
        <f>RevenueByClient16[[#This Row],[Net amount,
contract currency]]+RevenueByClient16[[#This Row],[Tax amount, contract currency]]</f>
        <v>300973.59999999998</v>
      </c>
      <c r="Q36" s="11">
        <f>RevenueByClient16[[#This Row],[Net amount,
contract currency]]*RevenueByClient16[[#This Row],[Exchange
Rate £]]</f>
        <v>12172.955089999999</v>
      </c>
      <c r="R36" s="11">
        <f>RevenueByClient16[[#This Row],[Tax amount, contract currency]]*RevenueByClient16[[#This Row],[Exchange
Rate £]]</f>
        <v>1947.6728143999999</v>
      </c>
      <c r="S36" s="11">
        <f>SUM(RevenueByClient16[[#This Row],[Net amount, £]:[Tax amount, £]])</f>
        <v>14120.6279044</v>
      </c>
    </row>
    <row r="37" spans="1:19">
      <c r="A37" s="26" t="s">
        <v>90</v>
      </c>
      <c r="B37" s="30" t="s">
        <v>219</v>
      </c>
      <c r="C37" s="26" t="s">
        <v>91</v>
      </c>
      <c r="D37" s="20" t="s">
        <v>93</v>
      </c>
      <c r="E37">
        <v>460</v>
      </c>
      <c r="F37" s="2">
        <v>45181</v>
      </c>
      <c r="G37" s="5" t="str">
        <f>IF(RevenueByClient16[[#This Row],[Invoice No.]]=0,"Not invoiced","Invoiced")</f>
        <v>Invoiced</v>
      </c>
      <c r="H37" s="15">
        <v>45203</v>
      </c>
      <c r="I37" s="14" t="s">
        <v>37</v>
      </c>
      <c r="J37" s="21" t="str">
        <f t="shared" si="0"/>
        <v/>
      </c>
      <c r="K37" s="22" t="s">
        <v>7</v>
      </c>
      <c r="L37" s="23">
        <f>INDEX(Table2[[EUR]:[MXN]],MATCH(RevenueByClient16[[#This Row],[Invoice date/
Expected Invoice date]],Table2[Date],1),MATCH(RevenueByClient16[[#This Row],[Contract currency]],Table2[[#Headers],[EUR]:[MXN]],0))</f>
        <v>4.69165E-2</v>
      </c>
      <c r="M37" s="16">
        <v>259460</v>
      </c>
      <c r="N37" s="27">
        <v>0.16</v>
      </c>
      <c r="O37" s="5">
        <f>RevenueByClient16[[#This Row],[Net amount,
contract currency]]*RevenueByClient16[[#This Row],[Sales Tax]]</f>
        <v>41513.599999999999</v>
      </c>
      <c r="P37" s="5">
        <f>RevenueByClient16[[#This Row],[Net amount,
contract currency]]+RevenueByClient16[[#This Row],[Tax amount, contract currency]]</f>
        <v>300973.59999999998</v>
      </c>
      <c r="Q37" s="11">
        <f>RevenueByClient16[[#This Row],[Net amount,
contract currency]]*RevenueByClient16[[#This Row],[Exchange
Rate £]]</f>
        <v>12172.955089999999</v>
      </c>
      <c r="R37" s="11">
        <f>RevenueByClient16[[#This Row],[Tax amount, contract currency]]*RevenueByClient16[[#This Row],[Exchange
Rate £]]</f>
        <v>1947.6728143999999</v>
      </c>
      <c r="S37" s="11">
        <f>SUM(RevenueByClient16[[#This Row],[Net amount, £]:[Tax amount, £]])</f>
        <v>14120.6279044</v>
      </c>
    </row>
    <row r="38" spans="1:19">
      <c r="A38" s="26" t="s">
        <v>90</v>
      </c>
      <c r="B38" s="30" t="s">
        <v>219</v>
      </c>
      <c r="C38" s="26" t="s">
        <v>91</v>
      </c>
      <c r="D38" s="20" t="s">
        <v>94</v>
      </c>
      <c r="E38">
        <v>473</v>
      </c>
      <c r="F38" s="2">
        <v>45224</v>
      </c>
      <c r="G38" s="5" t="str">
        <f>IF(RevenueByClient16[[#This Row],[Invoice No.]]=0,"Not invoiced","Invoiced")</f>
        <v>Invoiced</v>
      </c>
      <c r="H38" s="15">
        <v>45236</v>
      </c>
      <c r="I38" s="14" t="s">
        <v>37</v>
      </c>
      <c r="J38" s="21" t="str">
        <f t="shared" si="0"/>
        <v/>
      </c>
      <c r="K38" s="22" t="s">
        <v>7</v>
      </c>
      <c r="L38" s="23">
        <f>INDEX(Table2[[EUR]:[MXN]],MATCH(RevenueByClient16[[#This Row],[Invoice date/
Expected Invoice date]],Table2[Date],1),MATCH(RevenueByClient16[[#This Row],[Contract currency]],Table2[[#Headers],[EUR]:[MXN]],0))</f>
        <v>4.7071799999999997E-2</v>
      </c>
      <c r="M38" s="16">
        <v>259460</v>
      </c>
      <c r="N38" s="27">
        <v>0.16</v>
      </c>
      <c r="O38" s="5">
        <f>RevenueByClient16[[#This Row],[Net amount,
contract currency]]*RevenueByClient16[[#This Row],[Sales Tax]]</f>
        <v>41513.599999999999</v>
      </c>
      <c r="P38" s="5">
        <f>RevenueByClient16[[#This Row],[Net amount,
contract currency]]+RevenueByClient16[[#This Row],[Tax amount, contract currency]]</f>
        <v>300973.59999999998</v>
      </c>
      <c r="Q38" s="11">
        <f>RevenueByClient16[[#This Row],[Net amount,
contract currency]]*RevenueByClient16[[#This Row],[Exchange
Rate £]]</f>
        <v>12213.249227999999</v>
      </c>
      <c r="R38" s="11">
        <f>RevenueByClient16[[#This Row],[Tax amount, contract currency]]*RevenueByClient16[[#This Row],[Exchange
Rate £]]</f>
        <v>1954.1198764799999</v>
      </c>
      <c r="S38" s="11">
        <f>SUM(RevenueByClient16[[#This Row],[Net amount, £]:[Tax amount, £]])</f>
        <v>14167.369104479998</v>
      </c>
    </row>
    <row r="39" spans="1:19">
      <c r="A39" s="26" t="s">
        <v>90</v>
      </c>
      <c r="B39" s="30" t="s">
        <v>219</v>
      </c>
      <c r="C39" s="26" t="s">
        <v>91</v>
      </c>
      <c r="D39" s="20" t="s">
        <v>15</v>
      </c>
      <c r="E39">
        <v>478</v>
      </c>
      <c r="F39" s="2">
        <v>45258</v>
      </c>
      <c r="G39" s="5" t="str">
        <f>IF(RevenueByClient16[[#This Row],[Invoice No.]]=0,"Not invoiced","Invoiced")</f>
        <v>Invoiced</v>
      </c>
      <c r="H39" s="15">
        <v>45268</v>
      </c>
      <c r="I39" s="14" t="s">
        <v>37</v>
      </c>
      <c r="J39" s="21" t="str">
        <f t="shared" si="0"/>
        <v/>
      </c>
      <c r="K39" s="22" t="s">
        <v>7</v>
      </c>
      <c r="L39" s="23">
        <f>INDEX(Table2[[EUR]:[MXN]],MATCH(RevenueByClient16[[#This Row],[Invoice date/
Expected Invoice date]],Table2[Date],1),MATCH(RevenueByClient16[[#This Row],[Contract currency]],Table2[[#Headers],[EUR]:[MXN]],0))</f>
        <v>4.5698299999999997E-2</v>
      </c>
      <c r="M39" s="16">
        <v>259460</v>
      </c>
      <c r="N39" s="27">
        <v>0.16</v>
      </c>
      <c r="O39" s="5">
        <f>RevenueByClient16[[#This Row],[Net amount,
contract currency]]*RevenueByClient16[[#This Row],[Sales Tax]]</f>
        <v>41513.599999999999</v>
      </c>
      <c r="P39" s="5">
        <f>RevenueByClient16[[#This Row],[Net amount,
contract currency]]+RevenueByClient16[[#This Row],[Tax amount, contract currency]]</f>
        <v>300973.59999999998</v>
      </c>
      <c r="Q39" s="11">
        <f>RevenueByClient16[[#This Row],[Net amount,
contract currency]]*RevenueByClient16[[#This Row],[Exchange
Rate £]]</f>
        <v>11856.880917999999</v>
      </c>
      <c r="R39" s="11">
        <f>RevenueByClient16[[#This Row],[Tax amount, contract currency]]*RevenueByClient16[[#This Row],[Exchange
Rate £]]</f>
        <v>1897.1009468799998</v>
      </c>
      <c r="S39" s="11">
        <f>SUM(RevenueByClient16[[#This Row],[Net amount, £]:[Tax amount, £]])</f>
        <v>13753.981864879999</v>
      </c>
    </row>
    <row r="40" spans="1:19">
      <c r="A40" s="26" t="s">
        <v>90</v>
      </c>
      <c r="B40" s="30" t="s">
        <v>219</v>
      </c>
      <c r="C40" s="26" t="s">
        <v>91</v>
      </c>
      <c r="D40" s="20" t="s">
        <v>95</v>
      </c>
      <c r="E40">
        <v>0</v>
      </c>
      <c r="F40" s="2">
        <v>45337</v>
      </c>
      <c r="G40" s="5" t="str">
        <f>IF(RevenueByClient16[[#This Row],[Invoice No.]]=0,"Not invoiced","Invoiced")</f>
        <v>Not invoiced</v>
      </c>
      <c r="H40" s="2">
        <f>RevenueByClient16[[#This Row],[Invoice date/
Expected Invoice date]]+30</f>
        <v>45367</v>
      </c>
      <c r="I40" s="14" t="s">
        <v>40</v>
      </c>
      <c r="J40" s="21" t="str">
        <f t="shared" si="0"/>
        <v/>
      </c>
      <c r="K40" s="22" t="s">
        <v>7</v>
      </c>
      <c r="L40" s="23">
        <f>INDEX(Table2[[EUR]:[MXN]],MATCH(RevenueByClient16[[#This Row],[Invoice date/
Expected Invoice date]],Table2[Date],1),MATCH(RevenueByClient16[[#This Row],[Contract currency]],Table2[[#Headers],[EUR]:[MXN]],0))</f>
        <v>4.63147E-2</v>
      </c>
      <c r="M40" s="16">
        <v>259460</v>
      </c>
      <c r="N40" s="27">
        <v>0.16</v>
      </c>
      <c r="O40" s="5">
        <f>RevenueByClient16[[#This Row],[Net amount,
contract currency]]*RevenueByClient16[[#This Row],[Sales Tax]]</f>
        <v>41513.599999999999</v>
      </c>
      <c r="P40" s="5">
        <f>RevenueByClient16[[#This Row],[Net amount,
contract currency]]+RevenueByClient16[[#This Row],[Tax amount, contract currency]]</f>
        <v>300973.59999999998</v>
      </c>
      <c r="Q40" s="11">
        <f>RevenueByClient16[[#This Row],[Net amount,
contract currency]]*RevenueByClient16[[#This Row],[Exchange
Rate £]]</f>
        <v>12016.812062000001</v>
      </c>
      <c r="R40" s="11">
        <f>RevenueByClient16[[#This Row],[Tax amount, contract currency]]*RevenueByClient16[[#This Row],[Exchange
Rate £]]</f>
        <v>1922.6899299199999</v>
      </c>
      <c r="S40" s="11">
        <f>SUM(RevenueByClient16[[#This Row],[Net amount, £]:[Tax amount, £]])</f>
        <v>13939.50199192</v>
      </c>
    </row>
    <row r="41" spans="1:19">
      <c r="A41" s="26" t="s">
        <v>96</v>
      </c>
      <c r="B41" s="30" t="s">
        <v>219</v>
      </c>
      <c r="C41" s="26" t="s">
        <v>97</v>
      </c>
      <c r="D41" s="20" t="s">
        <v>98</v>
      </c>
      <c r="E41">
        <v>452</v>
      </c>
      <c r="F41" s="2">
        <v>45142</v>
      </c>
      <c r="G41" s="5" t="str">
        <f>IF(RevenueByClient16[[#This Row],[Invoice No.]]=0,"Not invoiced","Invoiced")</f>
        <v>Invoiced</v>
      </c>
      <c r="H41" s="15">
        <v>45175</v>
      </c>
      <c r="I41" s="14" t="s">
        <v>37</v>
      </c>
      <c r="J41" s="21" t="str">
        <f t="shared" si="0"/>
        <v>Delayed</v>
      </c>
      <c r="K41" s="22" t="s">
        <v>7</v>
      </c>
      <c r="L41" s="23">
        <f>INDEX(Table2[[EUR]:[MXN]],MATCH(RevenueByClient16[[#This Row],[Invoice date/
Expected Invoice date]],Table2[Date],1),MATCH(RevenueByClient16[[#This Row],[Contract currency]],Table2[[#Headers],[EUR]:[MXN]],0))</f>
        <v>4.5384000000000001E-2</v>
      </c>
      <c r="M41" s="16">
        <v>257459</v>
      </c>
      <c r="N41" s="27">
        <v>0.16</v>
      </c>
      <c r="O41" s="5">
        <f>RevenueByClient16[[#This Row],[Net amount,
contract currency]]*RevenueByClient16[[#This Row],[Sales Tax]]</f>
        <v>41193.440000000002</v>
      </c>
      <c r="P41" s="5">
        <f>RevenueByClient16[[#This Row],[Net amount,
contract currency]]+RevenueByClient16[[#This Row],[Tax amount, contract currency]]</f>
        <v>298652.44</v>
      </c>
      <c r="Q41" s="11">
        <f>RevenueByClient16[[#This Row],[Net amount,
contract currency]]*RevenueByClient16[[#This Row],[Exchange
Rate £]]</f>
        <v>11684.519256</v>
      </c>
      <c r="R41" s="11">
        <f>RevenueByClient16[[#This Row],[Tax amount, contract currency]]*RevenueByClient16[[#This Row],[Exchange
Rate £]]</f>
        <v>1869.5230809600002</v>
      </c>
      <c r="S41" s="11">
        <f>SUM(RevenueByClient16[[#This Row],[Net amount, £]:[Tax amount, £]])</f>
        <v>13554.042336959999</v>
      </c>
    </row>
    <row r="42" spans="1:19">
      <c r="A42" s="26" t="s">
        <v>96</v>
      </c>
      <c r="B42" s="30" t="s">
        <v>219</v>
      </c>
      <c r="C42" s="26" t="s">
        <v>97</v>
      </c>
      <c r="D42" s="20" t="s">
        <v>14</v>
      </c>
      <c r="E42">
        <v>495</v>
      </c>
      <c r="F42" s="2">
        <v>45258</v>
      </c>
      <c r="G42" s="5" t="str">
        <f>IF(RevenueByClient16[[#This Row],[Invoice No.]]=0,"Not invoiced","Invoiced")</f>
        <v>Invoiced</v>
      </c>
      <c r="H42" s="15">
        <v>45268</v>
      </c>
      <c r="I42" s="14" t="s">
        <v>37</v>
      </c>
      <c r="J42" s="21" t="str">
        <f t="shared" si="0"/>
        <v/>
      </c>
      <c r="K42" s="22" t="s">
        <v>7</v>
      </c>
      <c r="L42" s="23">
        <f>INDEX(Table2[[EUR]:[MXN]],MATCH(RevenueByClient16[[#This Row],[Invoice date/
Expected Invoice date]],Table2[Date],1),MATCH(RevenueByClient16[[#This Row],[Contract currency]],Table2[[#Headers],[EUR]:[MXN]],0))</f>
        <v>4.5698299999999997E-2</v>
      </c>
      <c r="M42" s="16">
        <v>12930.82</v>
      </c>
      <c r="N42" s="27">
        <v>0.16</v>
      </c>
      <c r="O42" s="5">
        <f>RevenueByClient16[[#This Row],[Net amount,
contract currency]]*RevenueByClient16[[#This Row],[Sales Tax]]</f>
        <v>2068.9312</v>
      </c>
      <c r="P42" s="5">
        <f>RevenueByClient16[[#This Row],[Net amount,
contract currency]]+RevenueByClient16[[#This Row],[Tax amount, contract currency]]</f>
        <v>14999.751199999999</v>
      </c>
      <c r="Q42" s="11">
        <f>RevenueByClient16[[#This Row],[Net amount,
contract currency]]*RevenueByClient16[[#This Row],[Exchange
Rate £]]</f>
        <v>590.91649160599991</v>
      </c>
      <c r="R42" s="11">
        <f>RevenueByClient16[[#This Row],[Tax amount, contract currency]]*RevenueByClient16[[#This Row],[Exchange
Rate £]]</f>
        <v>94.546638656959999</v>
      </c>
      <c r="S42" s="11">
        <f>SUM(RevenueByClient16[[#This Row],[Net amount, £]:[Tax amount, £]])</f>
        <v>685.46313026295991</v>
      </c>
    </row>
    <row r="43" spans="1:19">
      <c r="A43" s="26" t="s">
        <v>99</v>
      </c>
      <c r="B43" s="30" t="s">
        <v>219</v>
      </c>
      <c r="C43" s="26" t="s">
        <v>100</v>
      </c>
      <c r="D43" s="20" t="s">
        <v>101</v>
      </c>
      <c r="E43">
        <v>432</v>
      </c>
      <c r="F43" s="2">
        <v>45072</v>
      </c>
      <c r="G43" s="5" t="str">
        <f>IF(RevenueByClient16[[#This Row],[Invoice No.]]=0,"Not invoiced","Invoiced")</f>
        <v>Invoiced</v>
      </c>
      <c r="H43" s="15">
        <v>45113</v>
      </c>
      <c r="I43" s="14" t="s">
        <v>37</v>
      </c>
      <c r="J43" s="21" t="str">
        <f t="shared" si="0"/>
        <v>Delayed</v>
      </c>
      <c r="K43" s="22" t="s">
        <v>41</v>
      </c>
      <c r="L43" s="23">
        <f>INDEX(Table2[[EUR]:[MXN]],MATCH(RevenueByClient16[[#This Row],[Invoice date/
Expected Invoice date]],Table2[Date],1),MATCH(RevenueByClient16[[#This Row],[Contract currency]],Table2[[#Headers],[EUR]:[MXN]],0))</f>
        <v>0.79917000000000005</v>
      </c>
      <c r="M43" s="16">
        <v>6400</v>
      </c>
      <c r="N43" s="27">
        <v>0.16</v>
      </c>
      <c r="O43" s="5">
        <f>RevenueByClient16[[#This Row],[Net amount,
contract currency]]*RevenueByClient16[[#This Row],[Sales Tax]]</f>
        <v>1024</v>
      </c>
      <c r="P43" s="5">
        <f>RevenueByClient16[[#This Row],[Net amount,
contract currency]]+RevenueByClient16[[#This Row],[Tax amount, contract currency]]</f>
        <v>7424</v>
      </c>
      <c r="Q43" s="11">
        <f>RevenueByClient16[[#This Row],[Net amount,
contract currency]]*RevenueByClient16[[#This Row],[Exchange
Rate £]]</f>
        <v>5114.6880000000001</v>
      </c>
      <c r="R43" s="11">
        <f>RevenueByClient16[[#This Row],[Tax amount, contract currency]]*RevenueByClient16[[#This Row],[Exchange
Rate £]]</f>
        <v>818.35008000000005</v>
      </c>
      <c r="S43" s="11">
        <f>SUM(RevenueByClient16[[#This Row],[Net amount, £]:[Tax amount, £]])</f>
        <v>5933.0380800000003</v>
      </c>
    </row>
    <row r="44" spans="1:19">
      <c r="A44" s="26" t="s">
        <v>99</v>
      </c>
      <c r="B44" s="30" t="s">
        <v>219</v>
      </c>
      <c r="C44" s="26" t="s">
        <v>100</v>
      </c>
      <c r="D44" s="20" t="s">
        <v>102</v>
      </c>
      <c r="E44">
        <v>450</v>
      </c>
      <c r="F44" s="2">
        <v>45127</v>
      </c>
      <c r="G44" s="5" t="str">
        <f>IF(RevenueByClient16[[#This Row],[Invoice No.]]=0,"Not invoiced","Invoiced")</f>
        <v>Invoiced</v>
      </c>
      <c r="H44" s="15">
        <v>45176</v>
      </c>
      <c r="I44" s="14" t="s">
        <v>37</v>
      </c>
      <c r="J44" s="21" t="str">
        <f t="shared" si="0"/>
        <v>Delayed</v>
      </c>
      <c r="K44" s="22" t="s">
        <v>41</v>
      </c>
      <c r="L44" s="23">
        <f>INDEX(Table2[[EUR]:[MXN]],MATCH(RevenueByClient16[[#This Row],[Invoice date/
Expected Invoice date]],Table2[Date],1),MATCH(RevenueByClient16[[#This Row],[Contract currency]],Table2[[#Headers],[EUR]:[MXN]],0))</f>
        <v>0.79390700000000003</v>
      </c>
      <c r="M44" s="16">
        <v>3600</v>
      </c>
      <c r="N44" s="27">
        <v>0.16</v>
      </c>
      <c r="O44" s="5">
        <f>RevenueByClient16[[#This Row],[Net amount,
contract currency]]*RevenueByClient16[[#This Row],[Sales Tax]]</f>
        <v>576</v>
      </c>
      <c r="P44" s="5">
        <f>RevenueByClient16[[#This Row],[Net amount,
contract currency]]+RevenueByClient16[[#This Row],[Tax amount, contract currency]]</f>
        <v>4176</v>
      </c>
      <c r="Q44" s="11">
        <f>RevenueByClient16[[#This Row],[Net amount,
contract currency]]*RevenueByClient16[[#This Row],[Exchange
Rate £]]</f>
        <v>2858.0652</v>
      </c>
      <c r="R44" s="11">
        <f>RevenueByClient16[[#This Row],[Tax amount, contract currency]]*RevenueByClient16[[#This Row],[Exchange
Rate £]]</f>
        <v>457.29043200000001</v>
      </c>
      <c r="S44" s="11">
        <f>SUM(RevenueByClient16[[#This Row],[Net amount, £]:[Tax amount, £]])</f>
        <v>3315.3556319999998</v>
      </c>
    </row>
    <row r="45" spans="1:19">
      <c r="A45" s="26" t="s">
        <v>103</v>
      </c>
      <c r="B45" s="30" t="s">
        <v>219</v>
      </c>
      <c r="C45" s="26" t="s">
        <v>104</v>
      </c>
      <c r="D45" s="20" t="s">
        <v>105</v>
      </c>
      <c r="E45">
        <v>461</v>
      </c>
      <c r="F45" s="2">
        <v>45190</v>
      </c>
      <c r="G45" s="5" t="str">
        <f>IF(RevenueByClient16[[#This Row],[Invoice No.]]=0,"Not invoiced","Invoiced")</f>
        <v>Invoiced</v>
      </c>
      <c r="H45" s="15">
        <v>45223</v>
      </c>
      <c r="I45" s="14" t="s">
        <v>37</v>
      </c>
      <c r="J45" s="21" t="str">
        <f t="shared" si="0"/>
        <v>Delayed</v>
      </c>
      <c r="K45" s="22" t="s">
        <v>7</v>
      </c>
      <c r="L45" s="23">
        <f>INDEX(Table2[[EUR]:[MXN]],MATCH(RevenueByClient16[[#This Row],[Invoice date/
Expected Invoice date]],Table2[Date],1),MATCH(RevenueByClient16[[#This Row],[Contract currency]],Table2[[#Headers],[EUR]:[MXN]],0))</f>
        <v>4.69165E-2</v>
      </c>
      <c r="M45" s="16">
        <v>124841</v>
      </c>
      <c r="N45" s="27">
        <v>0.16</v>
      </c>
      <c r="O45" s="5">
        <f>RevenueByClient16[[#This Row],[Net amount,
contract currency]]*RevenueByClient16[[#This Row],[Sales Tax]]</f>
        <v>19974.560000000001</v>
      </c>
      <c r="P45" s="5">
        <f>RevenueByClient16[[#This Row],[Net amount,
contract currency]]+RevenueByClient16[[#This Row],[Tax amount, contract currency]]</f>
        <v>144815.56</v>
      </c>
      <c r="Q45" s="11">
        <f>RevenueByClient16[[#This Row],[Net amount,
contract currency]]*RevenueByClient16[[#This Row],[Exchange
Rate £]]</f>
        <v>5857.1027764999999</v>
      </c>
      <c r="R45" s="11">
        <f>RevenueByClient16[[#This Row],[Tax amount, contract currency]]*RevenueByClient16[[#This Row],[Exchange
Rate £]]</f>
        <v>937.13644424000006</v>
      </c>
      <c r="S45" s="11">
        <f>SUM(RevenueByClient16[[#This Row],[Net amount, £]:[Tax amount, £]])</f>
        <v>6794.2392207399998</v>
      </c>
    </row>
    <row r="46" spans="1:19">
      <c r="A46" s="26" t="s">
        <v>106</v>
      </c>
      <c r="B46" s="30" t="s">
        <v>219</v>
      </c>
      <c r="C46" s="26" t="s">
        <v>107</v>
      </c>
      <c r="D46" s="20" t="s">
        <v>108</v>
      </c>
      <c r="E46">
        <v>446</v>
      </c>
      <c r="F46" s="2">
        <v>45153</v>
      </c>
      <c r="G46" s="5" t="str">
        <f>IF(RevenueByClient16[[#This Row],[Invoice No.]]=0,"Not invoiced","Invoiced")</f>
        <v>Invoiced</v>
      </c>
      <c r="H46" s="15">
        <v>45225</v>
      </c>
      <c r="I46" s="14" t="s">
        <v>37</v>
      </c>
      <c r="J46" s="21" t="str">
        <f t="shared" si="0"/>
        <v>Delayed</v>
      </c>
      <c r="K46" s="22" t="s">
        <v>7</v>
      </c>
      <c r="L46" s="23">
        <f>INDEX(Table2[[EUR]:[MXN]],MATCH(RevenueByClient16[[#This Row],[Invoice date/
Expected Invoice date]],Table2[Date],1),MATCH(RevenueByClient16[[#This Row],[Contract currency]],Table2[[#Headers],[EUR]:[MXN]],0))</f>
        <v>4.5384000000000001E-2</v>
      </c>
      <c r="M46" s="16">
        <v>98118</v>
      </c>
      <c r="N46" s="27">
        <v>0.16</v>
      </c>
      <c r="O46" s="5">
        <f>RevenueByClient16[[#This Row],[Net amount,
contract currency]]*RevenueByClient16[[#This Row],[Sales Tax]]</f>
        <v>15698.880000000001</v>
      </c>
      <c r="P46" s="5">
        <f>RevenueByClient16[[#This Row],[Net amount,
contract currency]]+RevenueByClient16[[#This Row],[Tax amount, contract currency]]</f>
        <v>113816.88</v>
      </c>
      <c r="Q46" s="11">
        <f>RevenueByClient16[[#This Row],[Net amount,
contract currency]]*RevenueByClient16[[#This Row],[Exchange
Rate £]]</f>
        <v>4452.9873120000002</v>
      </c>
      <c r="R46" s="11">
        <f>RevenueByClient16[[#This Row],[Tax amount, contract currency]]*RevenueByClient16[[#This Row],[Exchange
Rate £]]</f>
        <v>712.47796992000008</v>
      </c>
      <c r="S46" s="11">
        <f>SUM(RevenueByClient16[[#This Row],[Net amount, £]:[Tax amount, £]])</f>
        <v>5165.4652819200001</v>
      </c>
    </row>
    <row r="47" spans="1:19">
      <c r="A47" s="26" t="s">
        <v>106</v>
      </c>
      <c r="B47" s="30" t="s">
        <v>219</v>
      </c>
      <c r="C47" s="26" t="s">
        <v>107</v>
      </c>
      <c r="D47" s="20" t="s">
        <v>109</v>
      </c>
      <c r="E47">
        <v>459</v>
      </c>
      <c r="F47" s="2">
        <v>45180</v>
      </c>
      <c r="G47" s="5" t="s">
        <v>6</v>
      </c>
      <c r="H47" s="15">
        <v>45225</v>
      </c>
      <c r="I47" s="14" t="s">
        <v>37</v>
      </c>
      <c r="J47" s="21" t="str">
        <f t="shared" si="0"/>
        <v>Delayed</v>
      </c>
      <c r="K47" s="22" t="s">
        <v>7</v>
      </c>
      <c r="L47" s="23">
        <f>INDEX(Table2[[EUR]:[MXN]],MATCH(RevenueByClient16[[#This Row],[Invoice date/
Expected Invoice date]],Table2[Date],1),MATCH(RevenueByClient16[[#This Row],[Contract currency]],Table2[[#Headers],[EUR]:[MXN]],0))</f>
        <v>4.69165E-2</v>
      </c>
      <c r="M47" s="16">
        <v>89049.62</v>
      </c>
      <c r="N47" s="27">
        <v>0.16</v>
      </c>
      <c r="O47" s="5">
        <f>RevenueByClient16[[#This Row],[Net amount,
contract currency]]*RevenueByClient16[[#This Row],[Sales Tax]]</f>
        <v>14247.939199999999</v>
      </c>
      <c r="P47" s="5">
        <f>RevenueByClient16[[#This Row],[Net amount,
contract currency]]+RevenueByClient16[[#This Row],[Tax amount, contract currency]]</f>
        <v>103297.55919999999</v>
      </c>
      <c r="Q47" s="11">
        <f>RevenueByClient16[[#This Row],[Net amount,
contract currency]]*RevenueByClient16[[#This Row],[Exchange
Rate £]]</f>
        <v>4177.8964967299999</v>
      </c>
      <c r="R47" s="11">
        <f>RevenueByClient16[[#This Row],[Tax amount, contract currency]]*RevenueByClient16[[#This Row],[Exchange
Rate £]]</f>
        <v>668.46343947679998</v>
      </c>
      <c r="S47" s="11">
        <f>SUM(RevenueByClient16[[#This Row],[Net amount, £]:[Tax amount, £]])</f>
        <v>4846.3599362067998</v>
      </c>
    </row>
    <row r="48" spans="1:19">
      <c r="A48" s="26" t="s">
        <v>110</v>
      </c>
      <c r="B48" s="30" t="s">
        <v>218</v>
      </c>
      <c r="C48" s="26" t="s">
        <v>111</v>
      </c>
      <c r="D48" s="20" t="s">
        <v>12</v>
      </c>
      <c r="E48">
        <v>494</v>
      </c>
      <c r="F48" s="2">
        <v>45260</v>
      </c>
      <c r="G48" s="5" t="s">
        <v>6</v>
      </c>
      <c r="H48" s="15">
        <v>45268</v>
      </c>
      <c r="I48" s="14" t="s">
        <v>37</v>
      </c>
      <c r="J48" s="21" t="str">
        <f t="shared" si="0"/>
        <v/>
      </c>
      <c r="K48" s="22" t="s">
        <v>0</v>
      </c>
      <c r="L48" s="23">
        <f>INDEX(Table2[[EUR]:[MXN]],MATCH(RevenueByClient16[[#This Row],[Invoice date/
Expected Invoice date]],Table2[Date],1),MATCH(RevenueByClient16[[#This Row],[Contract currency]],Table2[[#Headers],[EUR]:[MXN]],0))</f>
        <v>1</v>
      </c>
      <c r="M48" s="18">
        <v>110723</v>
      </c>
      <c r="N48" s="27">
        <v>0</v>
      </c>
      <c r="O48" s="5">
        <f>RevenueByClient16[[#This Row],[Net amount,
contract currency]]*RevenueByClient16[[#This Row],[Sales Tax]]</f>
        <v>0</v>
      </c>
      <c r="P48" s="5">
        <f>RevenueByClient16[[#This Row],[Net amount,
contract currency]]+RevenueByClient16[[#This Row],[Tax amount, contract currency]]</f>
        <v>110723</v>
      </c>
      <c r="Q48" s="11">
        <f>RevenueByClient16[[#This Row],[Net amount,
contract currency]]*RevenueByClient16[[#This Row],[Exchange
Rate £]]</f>
        <v>110723</v>
      </c>
      <c r="R48" s="11">
        <f>RevenueByClient16[[#This Row],[Tax amount, contract currency]]*RevenueByClient16[[#This Row],[Exchange
Rate £]]</f>
        <v>0</v>
      </c>
      <c r="S48" s="11">
        <f>SUM(RevenueByClient16[[#This Row],[Net amount, £]:[Tax amount, £]])</f>
        <v>110723</v>
      </c>
    </row>
    <row r="49" spans="1:19">
      <c r="A49" s="26" t="s">
        <v>110</v>
      </c>
      <c r="B49" s="30" t="s">
        <v>218</v>
      </c>
      <c r="C49" s="26" t="s">
        <v>111</v>
      </c>
      <c r="D49" s="20" t="s">
        <v>112</v>
      </c>
      <c r="E49">
        <v>0</v>
      </c>
      <c r="F49" s="2">
        <v>45324</v>
      </c>
      <c r="G49" s="5" t="str">
        <f>IF(RevenueByClient16[[#This Row],[Invoice No.]]=0,"Not invoiced","Invoiced")</f>
        <v>Not invoiced</v>
      </c>
      <c r="H49" s="2">
        <f>RevenueByClient16[[#This Row],[Invoice date/
Expected Invoice date]]+30</f>
        <v>45354</v>
      </c>
      <c r="I49" s="14" t="s">
        <v>40</v>
      </c>
      <c r="J49" s="21" t="str">
        <f t="shared" si="0"/>
        <v/>
      </c>
      <c r="K49" s="22" t="s">
        <v>0</v>
      </c>
      <c r="L49" s="23">
        <f>INDEX(Table2[[EUR]:[MXN]],MATCH(RevenueByClient16[[#This Row],[Invoice date/
Expected Invoice date]],Table2[Date],1),MATCH(RevenueByClient16[[#This Row],[Contract currency]],Table2[[#Headers],[EUR]:[MXN]],0))</f>
        <v>1</v>
      </c>
      <c r="M49" s="18">
        <v>126431</v>
      </c>
      <c r="N49" s="27">
        <v>0</v>
      </c>
      <c r="O49" s="5">
        <f>RevenueByClient16[[#This Row],[Net amount,
contract currency]]*RevenueByClient16[[#This Row],[Sales Tax]]</f>
        <v>0</v>
      </c>
      <c r="P49" s="5">
        <f>RevenueByClient16[[#This Row],[Net amount,
contract currency]]+RevenueByClient16[[#This Row],[Tax amount, contract currency]]</f>
        <v>126431</v>
      </c>
      <c r="Q49" s="11">
        <f>RevenueByClient16[[#This Row],[Net amount,
contract currency]]*RevenueByClient16[[#This Row],[Exchange
Rate £]]</f>
        <v>126431</v>
      </c>
      <c r="R49" s="11">
        <f>RevenueByClient16[[#This Row],[Tax amount, contract currency]]*RevenueByClient16[[#This Row],[Exchange
Rate £]]</f>
        <v>0</v>
      </c>
      <c r="S49" s="11">
        <f>SUM(RevenueByClient16[[#This Row],[Net amount, £]:[Tax amount, £]])</f>
        <v>126431</v>
      </c>
    </row>
    <row r="50" spans="1:19">
      <c r="A50" s="26" t="s">
        <v>110</v>
      </c>
      <c r="B50" s="30" t="s">
        <v>218</v>
      </c>
      <c r="C50" s="26" t="s">
        <v>111</v>
      </c>
      <c r="D50" s="20" t="s">
        <v>113</v>
      </c>
      <c r="E50">
        <v>0</v>
      </c>
      <c r="F50" s="2">
        <v>45380</v>
      </c>
      <c r="G50" s="5" t="str">
        <f>IF(RevenueByClient16[[#This Row],[Invoice No.]]=0,"Not invoiced","Invoiced")</f>
        <v>Not invoiced</v>
      </c>
      <c r="H50" s="2">
        <f>RevenueByClient16[[#This Row],[Invoice date/
Expected Invoice date]]+30</f>
        <v>45410</v>
      </c>
      <c r="I50" s="14" t="s">
        <v>40</v>
      </c>
      <c r="J50" s="21" t="str">
        <f t="shared" si="0"/>
        <v/>
      </c>
      <c r="K50" s="22" t="s">
        <v>0</v>
      </c>
      <c r="L50" s="23">
        <f>INDEX(Table2[[EUR]:[MXN]],MATCH(RevenueByClient16[[#This Row],[Invoice date/
Expected Invoice date]],Table2[Date],1),MATCH(RevenueByClient16[[#This Row],[Contract currency]],Table2[[#Headers],[EUR]:[MXN]],0))</f>
        <v>1</v>
      </c>
      <c r="M50" s="18">
        <v>48165</v>
      </c>
      <c r="N50" s="27">
        <v>0</v>
      </c>
      <c r="O50" s="5">
        <f>RevenueByClient16[[#This Row],[Net amount,
contract currency]]*RevenueByClient16[[#This Row],[Sales Tax]]</f>
        <v>0</v>
      </c>
      <c r="P50" s="5">
        <f>RevenueByClient16[[#This Row],[Net amount,
contract currency]]+RevenueByClient16[[#This Row],[Tax amount, contract currency]]</f>
        <v>48165</v>
      </c>
      <c r="Q50" s="11">
        <f>RevenueByClient16[[#This Row],[Net amount,
contract currency]]*RevenueByClient16[[#This Row],[Exchange
Rate £]]</f>
        <v>48165</v>
      </c>
      <c r="R50" s="11">
        <f>RevenueByClient16[[#This Row],[Tax amount, contract currency]]*RevenueByClient16[[#This Row],[Exchange
Rate £]]</f>
        <v>0</v>
      </c>
      <c r="S50" s="11">
        <f>SUM(RevenueByClient16[[#This Row],[Net amount, £]:[Tax amount, £]])</f>
        <v>48165</v>
      </c>
    </row>
    <row r="51" spans="1:19">
      <c r="A51" s="26" t="s">
        <v>110</v>
      </c>
      <c r="B51" s="30" t="s">
        <v>218</v>
      </c>
      <c r="C51" s="26" t="s">
        <v>111</v>
      </c>
      <c r="D51" s="20" t="s">
        <v>114</v>
      </c>
      <c r="E51">
        <v>0</v>
      </c>
      <c r="F51" s="2">
        <v>45506</v>
      </c>
      <c r="G51" s="5" t="str">
        <f>IF(RevenueByClient16[[#This Row],[Invoice No.]]=0,"Not invoiced","Invoiced")</f>
        <v>Not invoiced</v>
      </c>
      <c r="H51" s="2">
        <f>RevenueByClient16[[#This Row],[Invoice date/
Expected Invoice date]]+30</f>
        <v>45536</v>
      </c>
      <c r="I51" s="14" t="s">
        <v>40</v>
      </c>
      <c r="J51" s="21" t="str">
        <f t="shared" si="0"/>
        <v/>
      </c>
      <c r="K51" s="22" t="s">
        <v>0</v>
      </c>
      <c r="L51" s="23">
        <f>INDEX(Table2[[EUR]:[MXN]],MATCH(RevenueByClient16[[#This Row],[Invoice date/
Expected Invoice date]],Table2[Date],1),MATCH(RevenueByClient16[[#This Row],[Contract currency]],Table2[[#Headers],[EUR]:[MXN]],0))</f>
        <v>1</v>
      </c>
      <c r="M51" s="18">
        <v>37091</v>
      </c>
      <c r="N51" s="27">
        <v>0</v>
      </c>
      <c r="O51" s="5">
        <f>RevenueByClient16[[#This Row],[Net amount,
contract currency]]*RevenueByClient16[[#This Row],[Sales Tax]]</f>
        <v>0</v>
      </c>
      <c r="P51" s="5">
        <f>RevenueByClient16[[#This Row],[Net amount,
contract currency]]+RevenueByClient16[[#This Row],[Tax amount, contract currency]]</f>
        <v>37091</v>
      </c>
      <c r="Q51" s="11">
        <f>RevenueByClient16[[#This Row],[Net amount,
contract currency]]*RevenueByClient16[[#This Row],[Exchange
Rate £]]</f>
        <v>37091</v>
      </c>
      <c r="R51" s="11">
        <f>RevenueByClient16[[#This Row],[Tax amount, contract currency]]*RevenueByClient16[[#This Row],[Exchange
Rate £]]</f>
        <v>0</v>
      </c>
      <c r="S51" s="11">
        <f>SUM(RevenueByClient16[[#This Row],[Net amount, £]:[Tax amount, £]])</f>
        <v>37091</v>
      </c>
    </row>
    <row r="52" spans="1:19">
      <c r="A52" s="26" t="s">
        <v>110</v>
      </c>
      <c r="B52" s="30" t="s">
        <v>218</v>
      </c>
      <c r="C52" s="26" t="s">
        <v>111</v>
      </c>
      <c r="D52" s="20" t="s">
        <v>115</v>
      </c>
      <c r="E52">
        <v>0</v>
      </c>
      <c r="F52" s="2">
        <v>45597</v>
      </c>
      <c r="G52" s="5" t="str">
        <f>IF(RevenueByClient16[[#This Row],[Invoice No.]]=0,"Not invoiced","Invoiced")</f>
        <v>Not invoiced</v>
      </c>
      <c r="H52" s="2">
        <f>RevenueByClient16[[#This Row],[Invoice date/
Expected Invoice date]]+30</f>
        <v>45627</v>
      </c>
      <c r="I52" s="14" t="s">
        <v>40</v>
      </c>
      <c r="J52" s="21" t="str">
        <f t="shared" si="0"/>
        <v/>
      </c>
      <c r="K52" s="22" t="s">
        <v>0</v>
      </c>
      <c r="L52" s="23">
        <f>INDEX(Table2[[EUR]:[MXN]],MATCH(RevenueByClient16[[#This Row],[Invoice date/
Expected Invoice date]],Table2[Date],1),MATCH(RevenueByClient16[[#This Row],[Contract currency]],Table2[[#Headers],[EUR]:[MXN]],0))</f>
        <v>1</v>
      </c>
      <c r="M52" s="18">
        <v>4663</v>
      </c>
      <c r="N52" s="27">
        <v>0</v>
      </c>
      <c r="O52" s="5">
        <f>RevenueByClient16[[#This Row],[Net amount,
contract currency]]*RevenueByClient16[[#This Row],[Sales Tax]]</f>
        <v>0</v>
      </c>
      <c r="P52" s="5">
        <f>RevenueByClient16[[#This Row],[Net amount,
contract currency]]+RevenueByClient16[[#This Row],[Tax amount, contract currency]]</f>
        <v>4663</v>
      </c>
      <c r="Q52" s="11">
        <f>RevenueByClient16[[#This Row],[Net amount,
contract currency]]*RevenueByClient16[[#This Row],[Exchange
Rate £]]</f>
        <v>4663</v>
      </c>
      <c r="R52" s="11">
        <f>RevenueByClient16[[#This Row],[Tax amount, contract currency]]*RevenueByClient16[[#This Row],[Exchange
Rate £]]</f>
        <v>0</v>
      </c>
      <c r="S52" s="11">
        <f>SUM(RevenueByClient16[[#This Row],[Net amount, £]:[Tax amount, £]])</f>
        <v>4663</v>
      </c>
    </row>
    <row r="53" spans="1:19">
      <c r="A53" s="26" t="s">
        <v>116</v>
      </c>
      <c r="B53" s="30" t="s">
        <v>219</v>
      </c>
      <c r="C53" s="26" t="s">
        <v>117</v>
      </c>
      <c r="D53" s="20" t="s">
        <v>118</v>
      </c>
      <c r="E53">
        <v>449</v>
      </c>
      <c r="F53" s="2">
        <v>45126</v>
      </c>
      <c r="G53" s="5" t="str">
        <f>IF(RevenueByClient16[[#This Row],[Invoice No.]]=0,"Not invoiced","Invoiced")</f>
        <v>Invoiced</v>
      </c>
      <c r="H53" s="15">
        <v>45167</v>
      </c>
      <c r="I53" s="14" t="s">
        <v>37</v>
      </c>
      <c r="J53" s="21" t="str">
        <f t="shared" si="0"/>
        <v>Delayed</v>
      </c>
      <c r="K53" s="22" t="s">
        <v>7</v>
      </c>
      <c r="L53" s="23">
        <f>INDEX(Table2[[EUR]:[MXN]],MATCH(RevenueByClient16[[#This Row],[Invoice date/
Expected Invoice date]],Table2[Date],1),MATCH(RevenueByClient16[[#This Row],[Contract currency]],Table2[[#Headers],[EUR]:[MXN]],0))</f>
        <v>4.6355100000000003E-2</v>
      </c>
      <c r="M53" s="18">
        <v>216644</v>
      </c>
      <c r="N53" s="27">
        <v>0.16</v>
      </c>
      <c r="O53" s="5">
        <f>RevenueByClient16[[#This Row],[Net amount,
contract currency]]*RevenueByClient16[[#This Row],[Sales Tax]]</f>
        <v>34663.040000000001</v>
      </c>
      <c r="P53" s="5">
        <f>RevenueByClient16[[#This Row],[Net amount,
contract currency]]+RevenueByClient16[[#This Row],[Tax amount, contract currency]]</f>
        <v>251307.04</v>
      </c>
      <c r="Q53" s="11">
        <f>RevenueByClient16[[#This Row],[Net amount,
contract currency]]*RevenueByClient16[[#This Row],[Exchange
Rate £]]</f>
        <v>10042.554284400001</v>
      </c>
      <c r="R53" s="11">
        <f>RevenueByClient16[[#This Row],[Tax amount, contract currency]]*RevenueByClient16[[#This Row],[Exchange
Rate £]]</f>
        <v>1606.8086855040001</v>
      </c>
      <c r="S53" s="11">
        <f>SUM(RevenueByClient16[[#This Row],[Net amount, £]:[Tax amount, £]])</f>
        <v>11649.362969904001</v>
      </c>
    </row>
    <row r="54" spans="1:19">
      <c r="A54" s="26" t="s">
        <v>119</v>
      </c>
      <c r="B54" s="30" t="s">
        <v>218</v>
      </c>
      <c r="C54" s="26" t="s">
        <v>120</v>
      </c>
      <c r="D54" t="s">
        <v>121</v>
      </c>
      <c r="E54">
        <v>474</v>
      </c>
      <c r="F54" s="2">
        <v>45201</v>
      </c>
      <c r="G54" s="5" t="str">
        <f>IF(RevenueByClient16[[#This Row],[Invoice No.]]=0,"Not invoiced","Invoiced")</f>
        <v>Invoiced</v>
      </c>
      <c r="H54" s="15">
        <v>45210</v>
      </c>
      <c r="I54" s="14" t="s">
        <v>37</v>
      </c>
      <c r="J54" s="2" t="str">
        <f t="shared" si="0"/>
        <v/>
      </c>
      <c r="K54" s="1" t="s">
        <v>41</v>
      </c>
      <c r="L54" s="17">
        <f>INDEX(Table2[[EUR]:[MXN]],MATCH(RevenueByClient16[[#This Row],[Invoice date/
Expected Invoice date]],Table2[Date],1),MATCH(RevenueByClient16[[#This Row],[Contract currency]],Table2[[#Headers],[EUR]:[MXN]],0))</f>
        <v>0.81983700000000004</v>
      </c>
      <c r="M54" s="18">
        <v>8783.3700000000008</v>
      </c>
      <c r="N54" s="27">
        <v>0</v>
      </c>
      <c r="O54" s="5">
        <f>RevenueByClient16[[#This Row],[Net amount,
contract currency]]*RevenueByClient16[[#This Row],[Sales Tax]]</f>
        <v>0</v>
      </c>
      <c r="P54" s="5">
        <f>RevenueByClient16[[#This Row],[Net amount,
contract currency]]+RevenueByClient16[[#This Row],[Tax amount, contract currency]]</f>
        <v>8783.3700000000008</v>
      </c>
      <c r="Q54" s="11">
        <f>RevenueByClient16[[#This Row],[Net amount,
contract currency]]*RevenueByClient16[[#This Row],[Exchange
Rate £]]</f>
        <v>7200.9317106900007</v>
      </c>
      <c r="R54" s="11">
        <f>RevenueByClient16[[#This Row],[Tax amount, contract currency]]*RevenueByClient16[[#This Row],[Exchange
Rate £]]</f>
        <v>0</v>
      </c>
      <c r="S54" s="11">
        <f>SUM(RevenueByClient16[[#This Row],[Net amount, £]:[Tax amount, £]])</f>
        <v>7200.9317106900007</v>
      </c>
    </row>
    <row r="55" spans="1:19">
      <c r="A55" s="26" t="s">
        <v>119</v>
      </c>
      <c r="B55" s="30" t="s">
        <v>218</v>
      </c>
      <c r="C55" s="26" t="s">
        <v>120</v>
      </c>
      <c r="D55" t="s">
        <v>122</v>
      </c>
      <c r="E55">
        <v>483</v>
      </c>
      <c r="F55" s="2">
        <v>45255</v>
      </c>
      <c r="G55" s="5" t="str">
        <f>IF(RevenueByClient16[[#This Row],[Invoice No.]]=0,"Not invoiced","Invoiced")</f>
        <v>Invoiced</v>
      </c>
      <c r="H55" s="15">
        <v>45250</v>
      </c>
      <c r="I55" s="14" t="s">
        <v>37</v>
      </c>
      <c r="J55" s="2" t="str">
        <f t="shared" si="0"/>
        <v/>
      </c>
      <c r="K55" s="1" t="s">
        <v>41</v>
      </c>
      <c r="L55" s="17">
        <f>INDEX(Table2[[EUR]:[MXN]],MATCH(RevenueByClient16[[#This Row],[Invoice date/
Expected Invoice date]],Table2[Date],1),MATCH(RevenueByClient16[[#This Row],[Contract currency]],Table2[[#Headers],[EUR]:[MXN]],0))</f>
        <v>0.82298899999999997</v>
      </c>
      <c r="M55" s="18">
        <v>7265.03</v>
      </c>
      <c r="N55" s="27">
        <v>0</v>
      </c>
      <c r="O55" s="5">
        <f>RevenueByClient16[[#This Row],[Net amount,
contract currency]]*RevenueByClient16[[#This Row],[Sales Tax]]</f>
        <v>0</v>
      </c>
      <c r="P55" s="5">
        <f>RevenueByClient16[[#This Row],[Net amount,
contract currency]]+RevenueByClient16[[#This Row],[Tax amount, contract currency]]</f>
        <v>7265.03</v>
      </c>
      <c r="Q55" s="11">
        <f>RevenueByClient16[[#This Row],[Net amount,
contract currency]]*RevenueByClient16[[#This Row],[Exchange
Rate £]]</f>
        <v>5979.0397746699991</v>
      </c>
      <c r="R55" s="11">
        <f>RevenueByClient16[[#This Row],[Tax amount, contract currency]]*RevenueByClient16[[#This Row],[Exchange
Rate £]]</f>
        <v>0</v>
      </c>
      <c r="S55" s="11">
        <f>SUM(RevenueByClient16[[#This Row],[Net amount, £]:[Tax amount, £]])</f>
        <v>5979.0397746699991</v>
      </c>
    </row>
    <row r="56" spans="1:19">
      <c r="A56" s="26" t="s">
        <v>119</v>
      </c>
      <c r="B56" s="30" t="s">
        <v>218</v>
      </c>
      <c r="C56" s="26" t="s">
        <v>120</v>
      </c>
      <c r="D56" t="s">
        <v>123</v>
      </c>
      <c r="E56">
        <v>505</v>
      </c>
      <c r="F56" s="2">
        <v>45306</v>
      </c>
      <c r="G56" s="5" t="str">
        <f>IF(RevenueByClient16[[#This Row],[Invoice No.]]=0,"Not invoiced","Invoiced")</f>
        <v>Invoiced</v>
      </c>
      <c r="H56" s="15">
        <v>45310</v>
      </c>
      <c r="I56" s="14" t="s">
        <v>37</v>
      </c>
      <c r="J56" s="2" t="str">
        <f t="shared" si="0"/>
        <v/>
      </c>
      <c r="K56" s="1" t="s">
        <v>41</v>
      </c>
      <c r="L56" s="17">
        <f>INDEX(Table2[[EUR]:[MXN]],MATCH(RevenueByClient16[[#This Row],[Invoice date/
Expected Invoice date]],Table2[Date],1),MATCH(RevenueByClient16[[#This Row],[Contract currency]],Table2[[#Headers],[EUR]:[MXN]],0))</f>
        <v>0.78516900000000001</v>
      </c>
      <c r="M56" s="18">
        <v>7265.03</v>
      </c>
      <c r="N56" s="27"/>
      <c r="O56" s="5">
        <f>RevenueByClient16[[#This Row],[Net amount,
contract currency]]*RevenueByClient16[[#This Row],[Sales Tax]]</f>
        <v>0</v>
      </c>
      <c r="P56" s="5">
        <f>RevenueByClient16[[#This Row],[Net amount,
contract currency]]+RevenueByClient16[[#This Row],[Tax amount, contract currency]]</f>
        <v>7265.03</v>
      </c>
      <c r="Q56" s="11">
        <f>RevenueByClient16[[#This Row],[Net amount,
contract currency]]*RevenueByClient16[[#This Row],[Exchange
Rate £]]</f>
        <v>5704.2763400699996</v>
      </c>
      <c r="R56" s="11">
        <f>RevenueByClient16[[#This Row],[Tax amount, contract currency]]*RevenueByClient16[[#This Row],[Exchange
Rate £]]</f>
        <v>0</v>
      </c>
      <c r="S56" s="11">
        <f>SUM(RevenueByClient16[[#This Row],[Net amount, £]:[Tax amount, £]])</f>
        <v>5704.2763400699996</v>
      </c>
    </row>
    <row r="57" spans="1:19">
      <c r="A57" s="26" t="s">
        <v>119</v>
      </c>
      <c r="B57" s="30" t="s">
        <v>218</v>
      </c>
      <c r="C57" s="26" t="s">
        <v>120</v>
      </c>
      <c r="D57" t="s">
        <v>124</v>
      </c>
      <c r="E57">
        <v>0</v>
      </c>
      <c r="F57" s="2">
        <v>45316</v>
      </c>
      <c r="G57" s="5" t="str">
        <f>IF(RevenueByClient16[[#This Row],[Invoice No.]]=0,"Not invoiced","Invoiced")</f>
        <v>Not invoiced</v>
      </c>
      <c r="H57" s="2">
        <f>RevenueByClient16[[#This Row],[Invoice date/
Expected Invoice date]]+30</f>
        <v>45346</v>
      </c>
      <c r="I57" s="14" t="s">
        <v>40</v>
      </c>
      <c r="J57" s="2" t="str">
        <f t="shared" si="0"/>
        <v/>
      </c>
      <c r="K57" s="1" t="s">
        <v>41</v>
      </c>
      <c r="L57" s="17">
        <f>INDEX(Table2[[EUR]:[MXN]],MATCH(RevenueByClient16[[#This Row],[Invoice date/
Expected Invoice date]],Table2[Date],1),MATCH(RevenueByClient16[[#This Row],[Contract currency]],Table2[[#Headers],[EUR]:[MXN]],0))</f>
        <v>0.78516900000000001</v>
      </c>
      <c r="M57" s="18">
        <v>4842.91</v>
      </c>
      <c r="N57" s="27">
        <v>0</v>
      </c>
      <c r="O57" s="5">
        <f>RevenueByClient16[[#This Row],[Net amount,
contract currency]]*RevenueByClient16[[#This Row],[Sales Tax]]</f>
        <v>0</v>
      </c>
      <c r="P57" s="5">
        <f>RevenueByClient16[[#This Row],[Net amount,
contract currency]]+RevenueByClient16[[#This Row],[Tax amount, contract currency]]</f>
        <v>4842.91</v>
      </c>
      <c r="Q57" s="11">
        <f>RevenueByClient16[[#This Row],[Net amount,
contract currency]]*RevenueByClient16[[#This Row],[Exchange
Rate £]]</f>
        <v>3802.5028017899999</v>
      </c>
      <c r="R57" s="11">
        <f>RevenueByClient16[[#This Row],[Tax amount, contract currency]]*RevenueByClient16[[#This Row],[Exchange
Rate £]]</f>
        <v>0</v>
      </c>
      <c r="S57" s="11">
        <f>SUM(RevenueByClient16[[#This Row],[Net amount, £]:[Tax amount, £]])</f>
        <v>3802.5028017899999</v>
      </c>
    </row>
    <row r="58" spans="1:19">
      <c r="A58" s="26" t="s">
        <v>125</v>
      </c>
      <c r="B58" s="30" t="s">
        <v>219</v>
      </c>
      <c r="C58" s="26" t="s">
        <v>126</v>
      </c>
      <c r="D58" t="s">
        <v>127</v>
      </c>
      <c r="E58">
        <v>470</v>
      </c>
      <c r="F58" s="2">
        <v>45222</v>
      </c>
      <c r="G58" s="5" t="str">
        <f>IF(RevenueByClient16[[#This Row],[Invoice No.]]=0,"Not invoiced","Invoiced")</f>
        <v>Invoiced</v>
      </c>
      <c r="H58" s="15">
        <v>45230</v>
      </c>
      <c r="I58" s="14" t="s">
        <v>37</v>
      </c>
      <c r="J58" s="2" t="str">
        <f t="shared" si="0"/>
        <v/>
      </c>
      <c r="K58" s="1" t="s">
        <v>41</v>
      </c>
      <c r="L58" s="17">
        <f>INDEX(Table2[[EUR]:[MXN]],MATCH(RevenueByClient16[[#This Row],[Invoice date/
Expected Invoice date]],Table2[Date],1),MATCH(RevenueByClient16[[#This Row],[Contract currency]],Table2[[#Headers],[EUR]:[MXN]],0))</f>
        <v>0.81983700000000004</v>
      </c>
      <c r="M58" s="18">
        <v>17500</v>
      </c>
      <c r="N58" s="27">
        <v>0</v>
      </c>
      <c r="O58" s="5">
        <f>RevenueByClient16[[#This Row],[Net amount,
contract currency]]*RevenueByClient16[[#This Row],[Sales Tax]]</f>
        <v>0</v>
      </c>
      <c r="P58" s="5">
        <f>RevenueByClient16[[#This Row],[Net amount,
contract currency]]+RevenueByClient16[[#This Row],[Tax amount, contract currency]]</f>
        <v>17500</v>
      </c>
      <c r="Q58" s="11">
        <f>RevenueByClient16[[#This Row],[Net amount,
contract currency]]*RevenueByClient16[[#This Row],[Exchange
Rate £]]</f>
        <v>14347.147500000001</v>
      </c>
      <c r="R58" s="11">
        <f>RevenueByClient16[[#This Row],[Tax amount, contract currency]]*RevenueByClient16[[#This Row],[Exchange
Rate £]]</f>
        <v>0</v>
      </c>
      <c r="S58" s="11">
        <f>SUM(RevenueByClient16[[#This Row],[Net amount, £]:[Tax amount, £]])</f>
        <v>14347.147500000001</v>
      </c>
    </row>
    <row r="59" spans="1:19">
      <c r="A59" s="26" t="s">
        <v>125</v>
      </c>
      <c r="B59" s="30" t="s">
        <v>219</v>
      </c>
      <c r="C59" s="26" t="s">
        <v>126</v>
      </c>
      <c r="D59" t="s">
        <v>128</v>
      </c>
      <c r="E59">
        <v>0</v>
      </c>
      <c r="F59" s="2">
        <v>45317</v>
      </c>
      <c r="G59" s="5" t="str">
        <f>IF(RevenueByClient16[[#This Row],[Invoice No.]]=0,"Not invoiced","Invoiced")</f>
        <v>Not invoiced</v>
      </c>
      <c r="H59" s="2">
        <f>RevenueByClient16[[#This Row],[Invoice date/
Expected Invoice date]]+30</f>
        <v>45347</v>
      </c>
      <c r="I59" s="14" t="s">
        <v>40</v>
      </c>
      <c r="J59" s="2" t="str">
        <f t="shared" si="0"/>
        <v/>
      </c>
      <c r="K59" s="1" t="s">
        <v>41</v>
      </c>
      <c r="L59" s="17">
        <f>INDEX(Table2[[EUR]:[MXN]],MATCH(RevenueByClient16[[#This Row],[Invoice date/
Expected Invoice date]],Table2[Date],1),MATCH(RevenueByClient16[[#This Row],[Contract currency]],Table2[[#Headers],[EUR]:[MXN]],0))</f>
        <v>0.78516900000000001</v>
      </c>
      <c r="M59" s="18">
        <v>34739.25</v>
      </c>
      <c r="N59" s="27">
        <v>0</v>
      </c>
      <c r="O59" s="5">
        <f>RevenueByClient16[[#This Row],[Net amount,
contract currency]]*RevenueByClient16[[#This Row],[Sales Tax]]</f>
        <v>0</v>
      </c>
      <c r="P59" s="5">
        <f>RevenueByClient16[[#This Row],[Net amount,
contract currency]]+RevenueByClient16[[#This Row],[Tax amount, contract currency]]</f>
        <v>34739.25</v>
      </c>
      <c r="Q59" s="11">
        <f>RevenueByClient16[[#This Row],[Net amount,
contract currency]]*RevenueByClient16[[#This Row],[Exchange
Rate £]]</f>
        <v>27276.182183249999</v>
      </c>
      <c r="R59" s="11">
        <f>RevenueByClient16[[#This Row],[Tax amount, contract currency]]*RevenueByClient16[[#This Row],[Exchange
Rate £]]</f>
        <v>0</v>
      </c>
      <c r="S59" s="11">
        <f>SUM(RevenueByClient16[[#This Row],[Net amount, £]:[Tax amount, £]])</f>
        <v>27276.182183249999</v>
      </c>
    </row>
    <row r="60" spans="1:19">
      <c r="A60" s="26" t="s">
        <v>125</v>
      </c>
      <c r="B60" s="30" t="s">
        <v>219</v>
      </c>
      <c r="C60" s="26" t="s">
        <v>126</v>
      </c>
      <c r="D60" t="s">
        <v>129</v>
      </c>
      <c r="E60">
        <v>0</v>
      </c>
      <c r="F60" s="2">
        <v>45327</v>
      </c>
      <c r="G60" s="5" t="str">
        <f>IF(RevenueByClient16[[#This Row],[Invoice No.]]=0,"Not invoiced","Invoiced")</f>
        <v>Not invoiced</v>
      </c>
      <c r="H60" s="2">
        <f>RevenueByClient16[[#This Row],[Invoice date/
Expected Invoice date]]+30</f>
        <v>45357</v>
      </c>
      <c r="I60" s="14" t="s">
        <v>40</v>
      </c>
      <c r="J60" s="2" t="str">
        <f t="shared" si="0"/>
        <v/>
      </c>
      <c r="K60" s="1" t="s">
        <v>41</v>
      </c>
      <c r="L60" s="17">
        <f>INDEX(Table2[[EUR]:[MXN]],MATCH(RevenueByClient16[[#This Row],[Invoice date/
Expected Invoice date]],Table2[Date],1),MATCH(RevenueByClient16[[#This Row],[Contract currency]],Table2[[#Headers],[EUR]:[MXN]],0))</f>
        <v>0.78516900000000001</v>
      </c>
      <c r="M60" s="18">
        <v>10421.89</v>
      </c>
      <c r="N60" s="27">
        <v>0</v>
      </c>
      <c r="O60" s="5">
        <f>RevenueByClient16[[#This Row],[Net amount,
contract currency]]*RevenueByClient16[[#This Row],[Sales Tax]]</f>
        <v>0</v>
      </c>
      <c r="P60" s="5">
        <f>RevenueByClient16[[#This Row],[Net amount,
contract currency]]+RevenueByClient16[[#This Row],[Tax amount, contract currency]]</f>
        <v>10421.89</v>
      </c>
      <c r="Q60" s="11">
        <f>RevenueByClient16[[#This Row],[Net amount,
contract currency]]*RevenueByClient16[[#This Row],[Exchange
Rate £]]</f>
        <v>8182.9449494099999</v>
      </c>
      <c r="R60" s="11">
        <f>RevenueByClient16[[#This Row],[Tax amount, contract currency]]*RevenueByClient16[[#This Row],[Exchange
Rate £]]</f>
        <v>0</v>
      </c>
      <c r="S60" s="11">
        <f>SUM(RevenueByClient16[[#This Row],[Net amount, £]:[Tax amount, £]])</f>
        <v>8182.9449494099999</v>
      </c>
    </row>
    <row r="61" spans="1:19">
      <c r="A61" s="26" t="s">
        <v>125</v>
      </c>
      <c r="B61" s="30" t="s">
        <v>219</v>
      </c>
      <c r="C61" s="26" t="s">
        <v>126</v>
      </c>
      <c r="D61" t="s">
        <v>130</v>
      </c>
      <c r="E61">
        <v>0</v>
      </c>
      <c r="F61" s="2">
        <v>45335</v>
      </c>
      <c r="G61" s="5" t="str">
        <f>IF(RevenueByClient16[[#This Row],[Invoice No.]]=0,"Not invoiced","Invoiced")</f>
        <v>Not invoiced</v>
      </c>
      <c r="H61" s="2">
        <f>RevenueByClient16[[#This Row],[Invoice date/
Expected Invoice date]]+30</f>
        <v>45365</v>
      </c>
      <c r="I61" s="14" t="s">
        <v>40</v>
      </c>
      <c r="J61" s="2" t="str">
        <f t="shared" si="0"/>
        <v/>
      </c>
      <c r="K61" s="1" t="s">
        <v>41</v>
      </c>
      <c r="L61" s="17">
        <f>INDEX(Table2[[EUR]:[MXN]],MATCH(RevenueByClient16[[#This Row],[Invoice date/
Expected Invoice date]],Table2[Date],1),MATCH(RevenueByClient16[[#This Row],[Contract currency]],Table2[[#Headers],[EUR]:[MXN]],0))</f>
        <v>0.78516900000000001</v>
      </c>
      <c r="M61" s="18">
        <v>6947.12</v>
      </c>
      <c r="N61" s="27">
        <v>0</v>
      </c>
      <c r="O61" s="5">
        <f>RevenueByClient16[[#This Row],[Net amount,
contract currency]]*RevenueByClient16[[#This Row],[Sales Tax]]</f>
        <v>0</v>
      </c>
      <c r="P61" s="5">
        <f>RevenueByClient16[[#This Row],[Net amount,
contract currency]]+RevenueByClient16[[#This Row],[Tax amount, contract currency]]</f>
        <v>6947.12</v>
      </c>
      <c r="Q61" s="11">
        <f>RevenueByClient16[[#This Row],[Net amount,
contract currency]]*RevenueByClient16[[#This Row],[Exchange
Rate £]]</f>
        <v>5454.6632632800001</v>
      </c>
      <c r="R61" s="11">
        <f>RevenueByClient16[[#This Row],[Tax amount, contract currency]]*RevenueByClient16[[#This Row],[Exchange
Rate £]]</f>
        <v>0</v>
      </c>
      <c r="S61" s="11">
        <f>SUM(RevenueByClient16[[#This Row],[Net amount, £]:[Tax amount, £]])</f>
        <v>5454.6632632800001</v>
      </c>
    </row>
    <row r="62" spans="1:19">
      <c r="A62" s="26" t="s">
        <v>131</v>
      </c>
      <c r="B62" s="30" t="s">
        <v>219</v>
      </c>
      <c r="C62" s="26" t="s">
        <v>132</v>
      </c>
      <c r="D62" t="s">
        <v>133</v>
      </c>
      <c r="E62">
        <v>462</v>
      </c>
      <c r="F62" s="2">
        <v>45190</v>
      </c>
      <c r="G62" s="5" t="str">
        <f>IF(RevenueByClient16[[#This Row],[Invoice No.]]=0,"Not invoiced","Invoiced")</f>
        <v>Invoiced</v>
      </c>
      <c r="H62" s="15">
        <v>45224</v>
      </c>
      <c r="I62" s="14" t="s">
        <v>37</v>
      </c>
      <c r="J62" s="2" t="str">
        <f t="shared" si="0"/>
        <v>Delayed</v>
      </c>
      <c r="K62" s="1" t="s">
        <v>41</v>
      </c>
      <c r="L62" s="17">
        <f>INDEX(Table2[[EUR]:[MXN]],MATCH(RevenueByClient16[[#This Row],[Invoice date/
Expected Invoice date]],Table2[Date],1),MATCH(RevenueByClient16[[#This Row],[Contract currency]],Table2[[#Headers],[EUR]:[MXN]],0))</f>
        <v>0.78597446000000004</v>
      </c>
      <c r="M62" s="18">
        <v>66144.11</v>
      </c>
      <c r="N62" s="27">
        <v>0</v>
      </c>
      <c r="O62" s="5">
        <f>RevenueByClient16[[#This Row],[Net amount,
contract currency]]*RevenueByClient16[[#This Row],[Sales Tax]]</f>
        <v>0</v>
      </c>
      <c r="P62" s="5">
        <f>RevenueByClient16[[#This Row],[Net amount,
contract currency]]+RevenueByClient16[[#This Row],[Tax amount, contract currency]]</f>
        <v>66144.11</v>
      </c>
      <c r="Q62" s="11">
        <f>RevenueByClient16[[#This Row],[Net amount,
contract currency]]*RevenueByClient16[[#This Row],[Exchange
Rate £]]</f>
        <v>51987.5811394306</v>
      </c>
      <c r="R62" s="11">
        <f>RevenueByClient16[[#This Row],[Tax amount, contract currency]]*RevenueByClient16[[#This Row],[Exchange
Rate £]]</f>
        <v>0</v>
      </c>
      <c r="S62" s="11">
        <f>SUM(RevenueByClient16[[#This Row],[Net amount, £]:[Tax amount, £]])</f>
        <v>51987.5811394306</v>
      </c>
    </row>
    <row r="63" spans="1:19">
      <c r="A63" s="26" t="s">
        <v>131</v>
      </c>
      <c r="B63" s="30" t="s">
        <v>219</v>
      </c>
      <c r="C63" s="26" t="s">
        <v>132</v>
      </c>
      <c r="D63" t="s">
        <v>134</v>
      </c>
      <c r="E63">
        <v>0</v>
      </c>
      <c r="F63" s="2">
        <v>45322</v>
      </c>
      <c r="G63" s="5" t="str">
        <f>IF(RevenueByClient16[[#This Row],[Invoice No.]]=0,"Not invoiced","Invoiced")</f>
        <v>Not invoiced</v>
      </c>
      <c r="H63" s="2">
        <f>RevenueByClient16[[#This Row],[Invoice date/
Expected Invoice date]]+30</f>
        <v>45352</v>
      </c>
      <c r="I63" s="14" t="s">
        <v>40</v>
      </c>
      <c r="J63" s="2" t="str">
        <f t="shared" si="0"/>
        <v/>
      </c>
      <c r="K63" s="1" t="s">
        <v>41</v>
      </c>
      <c r="L63" s="17">
        <f>INDEX(Table2[[EUR]:[MXN]],MATCH(RevenueByClient16[[#This Row],[Invoice date/
Expected Invoice date]],Table2[Date],1),MATCH(RevenueByClient16[[#This Row],[Contract currency]],Table2[[#Headers],[EUR]:[MXN]],0))</f>
        <v>0.78516900000000001</v>
      </c>
      <c r="M63" s="18">
        <v>52916.78</v>
      </c>
      <c r="N63" s="27">
        <v>0</v>
      </c>
      <c r="O63" s="5">
        <f>RevenueByClient16[[#This Row],[Net amount,
contract currency]]*RevenueByClient16[[#This Row],[Sales Tax]]</f>
        <v>0</v>
      </c>
      <c r="P63" s="5">
        <f>RevenueByClient16[[#This Row],[Net amount,
contract currency]]+RevenueByClient16[[#This Row],[Tax amount, contract currency]]</f>
        <v>52916.78</v>
      </c>
      <c r="Q63" s="11">
        <f>RevenueByClient16[[#This Row],[Net amount,
contract currency]]*RevenueByClient16[[#This Row],[Exchange
Rate £]]</f>
        <v>41548.615235819998</v>
      </c>
      <c r="R63" s="11">
        <f>RevenueByClient16[[#This Row],[Tax amount, contract currency]]*RevenueByClient16[[#This Row],[Exchange
Rate £]]</f>
        <v>0</v>
      </c>
      <c r="S63" s="11">
        <f>SUM(RevenueByClient16[[#This Row],[Net amount, £]:[Tax amount, £]])</f>
        <v>41548.615235819998</v>
      </c>
    </row>
    <row r="64" spans="1:19">
      <c r="A64" s="26" t="s">
        <v>131</v>
      </c>
      <c r="B64" s="30" t="s">
        <v>219</v>
      </c>
      <c r="C64" s="26" t="s">
        <v>132</v>
      </c>
      <c r="D64" t="s">
        <v>135</v>
      </c>
      <c r="E64">
        <v>0</v>
      </c>
      <c r="F64" s="2">
        <v>45364</v>
      </c>
      <c r="G64" s="5" t="str">
        <f>IF(RevenueByClient16[[#This Row],[Invoice No.]]=0,"Not invoiced","Invoiced")</f>
        <v>Not invoiced</v>
      </c>
      <c r="H64" s="2">
        <f>RevenueByClient16[[#This Row],[Invoice date/
Expected Invoice date]]+30</f>
        <v>45394</v>
      </c>
      <c r="I64" s="14" t="s">
        <v>40</v>
      </c>
      <c r="J64" s="2" t="str">
        <f t="shared" si="0"/>
        <v/>
      </c>
      <c r="K64" s="1" t="s">
        <v>41</v>
      </c>
      <c r="L64" s="17">
        <f>INDEX(Table2[[EUR]:[MXN]],MATCH(RevenueByClient16[[#This Row],[Invoice date/
Expected Invoice date]],Table2[Date],1),MATCH(RevenueByClient16[[#This Row],[Contract currency]],Table2[[#Headers],[EUR]:[MXN]],0))</f>
        <v>0.78516900000000001</v>
      </c>
      <c r="M64" s="18">
        <v>13229.19</v>
      </c>
      <c r="N64" s="27">
        <v>0</v>
      </c>
      <c r="O64" s="5">
        <f>RevenueByClient16[[#This Row],[Net amount,
contract currency]]*RevenueByClient16[[#This Row],[Sales Tax]]</f>
        <v>0</v>
      </c>
      <c r="P64" s="5">
        <f>RevenueByClient16[[#This Row],[Net amount,
contract currency]]+RevenueByClient16[[#This Row],[Tax amount, contract currency]]</f>
        <v>13229.19</v>
      </c>
      <c r="Q64" s="11">
        <f>RevenueByClient16[[#This Row],[Net amount,
contract currency]]*RevenueByClient16[[#This Row],[Exchange
Rate £]]</f>
        <v>10387.14988311</v>
      </c>
      <c r="R64" s="11">
        <f>RevenueByClient16[[#This Row],[Tax amount, contract currency]]*RevenueByClient16[[#This Row],[Exchange
Rate £]]</f>
        <v>0</v>
      </c>
      <c r="S64" s="11">
        <f>SUM(RevenueByClient16[[#This Row],[Net amount, £]:[Tax amount, £]])</f>
        <v>10387.14988311</v>
      </c>
    </row>
    <row r="65" spans="1:19">
      <c r="A65" s="26" t="s">
        <v>136</v>
      </c>
      <c r="B65" s="30" t="s">
        <v>219</v>
      </c>
      <c r="C65" s="26" t="s">
        <v>137</v>
      </c>
      <c r="D65" t="s">
        <v>16</v>
      </c>
      <c r="E65">
        <v>475</v>
      </c>
      <c r="F65" s="2">
        <v>45203</v>
      </c>
      <c r="G65" s="5" t="str">
        <f>IF(RevenueByClient16[[#This Row],[Invoice No.]]=0,"Not invoiced","Invoiced")</f>
        <v>Invoiced</v>
      </c>
      <c r="H65" s="15">
        <v>45278</v>
      </c>
      <c r="I65" s="14" t="s">
        <v>37</v>
      </c>
      <c r="J65" s="2" t="str">
        <f t="shared" si="0"/>
        <v>Delayed</v>
      </c>
      <c r="K65" s="1" t="s">
        <v>0</v>
      </c>
      <c r="L65" s="17">
        <f>INDEX(Table2[[EUR]:[MXN]],MATCH(RevenueByClient16[[#This Row],[Invoice date/
Expected Invoice date]],Table2[Date],1),MATCH(RevenueByClient16[[#This Row],[Contract currency]],Table2[[#Headers],[EUR]:[MXN]],0))</f>
        <v>1</v>
      </c>
      <c r="M65" s="18">
        <v>19505</v>
      </c>
      <c r="N65" s="27">
        <v>0</v>
      </c>
      <c r="O65" s="5">
        <f>RevenueByClient16[[#This Row],[Net amount,
contract currency]]*RevenueByClient16[[#This Row],[Sales Tax]]</f>
        <v>0</v>
      </c>
      <c r="P65" s="5">
        <f>RevenueByClient16[[#This Row],[Net amount,
contract currency]]+RevenueByClient16[[#This Row],[Tax amount, contract currency]]</f>
        <v>19505</v>
      </c>
      <c r="Q65" s="11">
        <f>RevenueByClient16[[#This Row],[Net amount,
contract currency]]*RevenueByClient16[[#This Row],[Exchange
Rate £]]</f>
        <v>19505</v>
      </c>
      <c r="R65" s="11">
        <f>RevenueByClient16[[#This Row],[Tax amount, contract currency]]*RevenueByClient16[[#This Row],[Exchange
Rate £]]</f>
        <v>0</v>
      </c>
      <c r="S65" s="11">
        <f>SUM(RevenueByClient16[[#This Row],[Net amount, £]:[Tax amount, £]])</f>
        <v>19505</v>
      </c>
    </row>
    <row r="66" spans="1:19">
      <c r="A66" s="26" t="s">
        <v>136</v>
      </c>
      <c r="B66" s="30" t="s">
        <v>219</v>
      </c>
      <c r="C66" s="26" t="s">
        <v>137</v>
      </c>
      <c r="D66" t="s">
        <v>138</v>
      </c>
      <c r="E66">
        <v>0</v>
      </c>
      <c r="F66" s="2">
        <v>45322</v>
      </c>
      <c r="G66" s="5" t="str">
        <f>IF(RevenueByClient16[[#This Row],[Invoice No.]]=0,"Not invoiced","Invoiced")</f>
        <v>Not invoiced</v>
      </c>
      <c r="H66" s="2">
        <f>RevenueByClient16[[#This Row],[Invoice date/
Expected Invoice date]]+30</f>
        <v>45352</v>
      </c>
      <c r="I66" s="14" t="s">
        <v>40</v>
      </c>
      <c r="J66" s="2" t="str">
        <f t="shared" ref="J66:J108" si="1">IF(H66="Pending invoice","",IF(H66="On time", "",IF(H66="Expired", "Delayed",IF(H66-F66&gt;30, "Delayed", ""))))</f>
        <v/>
      </c>
      <c r="K66" s="1" t="s">
        <v>0</v>
      </c>
      <c r="L66" s="17">
        <f>INDEX(Table2[[EUR]:[MXN]],MATCH(RevenueByClient16[[#This Row],[Invoice date/
Expected Invoice date]],Table2[Date],1),MATCH(RevenueByClient16[[#This Row],[Contract currency]],Table2[[#Headers],[EUR]:[MXN]],0))</f>
        <v>1</v>
      </c>
      <c r="M66" s="18">
        <v>0</v>
      </c>
      <c r="N66" s="27">
        <v>0</v>
      </c>
      <c r="O66" s="5">
        <f>RevenueByClient16[[#This Row],[Net amount,
contract currency]]*RevenueByClient16[[#This Row],[Sales Tax]]</f>
        <v>0</v>
      </c>
      <c r="P66" s="5">
        <f>RevenueByClient16[[#This Row],[Net amount,
contract currency]]+RevenueByClient16[[#This Row],[Tax amount, contract currency]]</f>
        <v>0</v>
      </c>
      <c r="Q66" s="11">
        <f>RevenueByClient16[[#This Row],[Net amount,
contract currency]]*RevenueByClient16[[#This Row],[Exchange
Rate £]]</f>
        <v>0</v>
      </c>
      <c r="R66" s="11">
        <f>RevenueByClient16[[#This Row],[Tax amount, contract currency]]*RevenueByClient16[[#This Row],[Exchange
Rate £]]</f>
        <v>0</v>
      </c>
      <c r="S66" s="11">
        <f>SUM(RevenueByClient16[[#This Row],[Net amount, £]:[Tax amount, £]])</f>
        <v>0</v>
      </c>
    </row>
    <row r="67" spans="1:19">
      <c r="A67" s="26" t="s">
        <v>139</v>
      </c>
      <c r="B67" s="30" t="s">
        <v>219</v>
      </c>
      <c r="C67" s="26" t="s">
        <v>140</v>
      </c>
      <c r="D67" t="s">
        <v>141</v>
      </c>
      <c r="E67">
        <v>467</v>
      </c>
      <c r="F67" s="2">
        <v>45195</v>
      </c>
      <c r="G67" s="5" t="str">
        <f>IF(RevenueByClient16[[#This Row],[Invoice No.]]=0,"Not invoiced","Invoiced")</f>
        <v>Invoiced</v>
      </c>
      <c r="H67" s="2">
        <f>RevenueByClient16[[#This Row],[Invoice date/
Expected Invoice date]]+30+30+20+30+20</f>
        <v>45325</v>
      </c>
      <c r="I67" s="14" t="s">
        <v>40</v>
      </c>
      <c r="J67" s="2" t="str">
        <f t="shared" si="1"/>
        <v>Delayed</v>
      </c>
      <c r="K67" s="1" t="s">
        <v>41</v>
      </c>
      <c r="L67" s="17">
        <f>INDEX(Table2[[EUR]:[MXN]],MATCH(RevenueByClient16[[#This Row],[Invoice date/
Expected Invoice date]],Table2[Date],1),MATCH(RevenueByClient16[[#This Row],[Contract currency]],Table2[[#Headers],[EUR]:[MXN]],0))</f>
        <v>0.78597446000000004</v>
      </c>
      <c r="M67" s="18">
        <v>15114.69</v>
      </c>
      <c r="N67" s="27">
        <v>0</v>
      </c>
      <c r="O67" s="5">
        <f>RevenueByClient16[[#This Row],[Net amount,
contract currency]]*RevenueByClient16[[#This Row],[Sales Tax]]</f>
        <v>0</v>
      </c>
      <c r="P67" s="5">
        <f>RevenueByClient16[[#This Row],[Net amount,
contract currency]]+RevenueByClient16[[#This Row],[Tax amount, contract currency]]</f>
        <v>15114.69</v>
      </c>
      <c r="Q67" s="11">
        <f>RevenueByClient16[[#This Row],[Net amount,
contract currency]]*RevenueByClient16[[#This Row],[Exchange
Rate £]]</f>
        <v>11879.760310817401</v>
      </c>
      <c r="R67" s="11">
        <f>RevenueByClient16[[#This Row],[Tax amount, contract currency]]*RevenueByClient16[[#This Row],[Exchange
Rate £]]</f>
        <v>0</v>
      </c>
      <c r="S67" s="11">
        <f>SUM(RevenueByClient16[[#This Row],[Net amount, £]:[Tax amount, £]])</f>
        <v>11879.760310817401</v>
      </c>
    </row>
    <row r="68" spans="1:19">
      <c r="A68" s="26" t="s">
        <v>142</v>
      </c>
      <c r="B68" s="30" t="s">
        <v>219</v>
      </c>
      <c r="C68" s="26" t="s">
        <v>143</v>
      </c>
      <c r="D68" t="s">
        <v>144</v>
      </c>
      <c r="E68">
        <v>480</v>
      </c>
      <c r="F68" s="2">
        <v>45212</v>
      </c>
      <c r="G68" s="5" t="str">
        <f>IF(RevenueByClient16[[#This Row],[Invoice No.]]=0,"Not invoiced","Invoiced")</f>
        <v>Invoiced</v>
      </c>
      <c r="H68" s="2">
        <f>RevenueByClient16[[#This Row],[Invoice date/
Expected Invoice date]]+30+15+20+30+20</f>
        <v>45327</v>
      </c>
      <c r="I68" s="14" t="s">
        <v>40</v>
      </c>
      <c r="J68" s="2" t="str">
        <f t="shared" si="1"/>
        <v>Delayed</v>
      </c>
      <c r="K68" s="1" t="s">
        <v>41</v>
      </c>
      <c r="L68" s="17">
        <f>INDEX(Table2[[EUR]:[MXN]],MATCH(RevenueByClient16[[#This Row],[Invoice date/
Expected Invoice date]],Table2[Date],1),MATCH(RevenueByClient16[[#This Row],[Contract currency]],Table2[[#Headers],[EUR]:[MXN]],0))</f>
        <v>0.81983700000000004</v>
      </c>
      <c r="M68" s="18">
        <v>14612.27</v>
      </c>
      <c r="N68" s="27">
        <v>0</v>
      </c>
      <c r="O68" s="5">
        <f>RevenueByClient16[[#This Row],[Net amount,
contract currency]]*RevenueByClient16[[#This Row],[Sales Tax]]</f>
        <v>0</v>
      </c>
      <c r="P68" s="5">
        <f>RevenueByClient16[[#This Row],[Net amount,
contract currency]]+RevenueByClient16[[#This Row],[Tax amount, contract currency]]</f>
        <v>14612.27</v>
      </c>
      <c r="Q68" s="11">
        <f>RevenueByClient16[[#This Row],[Net amount,
contract currency]]*RevenueByClient16[[#This Row],[Exchange
Rate £]]</f>
        <v>11979.67959999</v>
      </c>
      <c r="R68" s="11">
        <f>RevenueByClient16[[#This Row],[Tax amount, contract currency]]*RevenueByClient16[[#This Row],[Exchange
Rate £]]</f>
        <v>0</v>
      </c>
      <c r="S68" s="11">
        <f>SUM(RevenueByClient16[[#This Row],[Net amount, £]:[Tax amount, £]])</f>
        <v>11979.67959999</v>
      </c>
    </row>
    <row r="69" spans="1:19">
      <c r="A69" s="26" t="s">
        <v>145</v>
      </c>
      <c r="B69" s="30" t="s">
        <v>219</v>
      </c>
      <c r="C69" s="26" t="s">
        <v>146</v>
      </c>
      <c r="D69" t="s">
        <v>147</v>
      </c>
      <c r="E69">
        <v>493</v>
      </c>
      <c r="F69" s="2">
        <v>45260</v>
      </c>
      <c r="G69" s="5" t="str">
        <f>IF(RevenueByClient16[[#This Row],[Invoice No.]]=0,"Not invoiced","Invoiced")</f>
        <v>Invoiced</v>
      </c>
      <c r="H69" s="2">
        <f>RevenueByClient16[[#This Row],[Invoice date/
Expected Invoice date]]+30+30</f>
        <v>45320</v>
      </c>
      <c r="I69" s="14" t="s">
        <v>40</v>
      </c>
      <c r="J69" s="2" t="str">
        <f t="shared" si="1"/>
        <v>Delayed</v>
      </c>
      <c r="K69" s="1" t="s">
        <v>41</v>
      </c>
      <c r="L69" s="17">
        <f>INDEX(Table2[[EUR]:[MXN]],MATCH(RevenueByClient16[[#This Row],[Invoice date/
Expected Invoice date]],Table2[Date],1),MATCH(RevenueByClient16[[#This Row],[Contract currency]],Table2[[#Headers],[EUR]:[MXN]],0))</f>
        <v>0.787906</v>
      </c>
      <c r="M69" s="18">
        <v>15436</v>
      </c>
      <c r="N69" s="27">
        <v>0</v>
      </c>
      <c r="O69" s="5">
        <f>RevenueByClient16[[#This Row],[Net amount,
contract currency]]*RevenueByClient16[[#This Row],[Sales Tax]]</f>
        <v>0</v>
      </c>
      <c r="P69" s="5">
        <f>RevenueByClient16[[#This Row],[Net amount,
contract currency]]+RevenueByClient16[[#This Row],[Tax amount, contract currency]]</f>
        <v>15436</v>
      </c>
      <c r="Q69" s="11">
        <f>RevenueByClient16[[#This Row],[Net amount,
contract currency]]*RevenueByClient16[[#This Row],[Exchange
Rate £]]</f>
        <v>12162.117016</v>
      </c>
      <c r="R69" s="11">
        <f>RevenueByClient16[[#This Row],[Tax amount, contract currency]]*RevenueByClient16[[#This Row],[Exchange
Rate £]]</f>
        <v>0</v>
      </c>
      <c r="S69" s="11">
        <f>SUM(RevenueByClient16[[#This Row],[Net amount, £]:[Tax amount, £]])</f>
        <v>12162.117016</v>
      </c>
    </row>
    <row r="70" spans="1:19">
      <c r="A70" s="26" t="s">
        <v>148</v>
      </c>
      <c r="B70" s="30" t="s">
        <v>219</v>
      </c>
      <c r="C70" s="26" t="s">
        <v>149</v>
      </c>
      <c r="D70" t="s">
        <v>150</v>
      </c>
      <c r="E70">
        <v>476</v>
      </c>
      <c r="F70" s="2">
        <v>45218</v>
      </c>
      <c r="G70" s="5" t="str">
        <f>IF(RevenueByClient16[[#This Row],[Invoice No.]]=0,"Not invoiced","Invoiced")</f>
        <v>Invoiced</v>
      </c>
      <c r="H70" s="15">
        <v>45250</v>
      </c>
      <c r="I70" s="14" t="s">
        <v>37</v>
      </c>
      <c r="J70" s="2" t="str">
        <f t="shared" si="1"/>
        <v>Delayed</v>
      </c>
      <c r="K70" s="1" t="s">
        <v>7</v>
      </c>
      <c r="L70" s="17">
        <f>INDEX(Table2[[EUR]:[MXN]],MATCH(RevenueByClient16[[#This Row],[Invoice date/
Expected Invoice date]],Table2[Date],1),MATCH(RevenueByClient16[[#This Row],[Contract currency]],Table2[[#Headers],[EUR]:[MXN]],0))</f>
        <v>4.7071799999999997E-2</v>
      </c>
      <c r="M70" s="18">
        <v>128000</v>
      </c>
      <c r="N70" s="27">
        <v>0.16</v>
      </c>
      <c r="O70" s="5">
        <f>RevenueByClient16[[#This Row],[Net amount,
contract currency]]*RevenueByClient16[[#This Row],[Sales Tax]]</f>
        <v>20480</v>
      </c>
      <c r="P70" s="5">
        <f>RevenueByClient16[[#This Row],[Net amount,
contract currency]]+RevenueByClient16[[#This Row],[Tax amount, contract currency]]</f>
        <v>148480</v>
      </c>
      <c r="Q70" s="11">
        <f>RevenueByClient16[[#This Row],[Net amount,
contract currency]]*RevenueByClient16[[#This Row],[Exchange
Rate £]]</f>
        <v>6025.1903999999995</v>
      </c>
      <c r="R70" s="11">
        <f>RevenueByClient16[[#This Row],[Tax amount, contract currency]]*RevenueByClient16[[#This Row],[Exchange
Rate £]]</f>
        <v>964.03046399999994</v>
      </c>
      <c r="S70" s="11">
        <f>SUM(RevenueByClient16[[#This Row],[Net amount, £]:[Tax amount, £]])</f>
        <v>6989.220863999999</v>
      </c>
    </row>
    <row r="71" spans="1:19">
      <c r="A71" s="26" t="s">
        <v>148</v>
      </c>
      <c r="B71" s="30" t="s">
        <v>219</v>
      </c>
      <c r="C71" s="26" t="s">
        <v>149</v>
      </c>
      <c r="D71" t="s">
        <v>151</v>
      </c>
      <c r="E71">
        <v>0</v>
      </c>
      <c r="F71" s="2">
        <v>45351</v>
      </c>
      <c r="G71" s="5" t="str">
        <f>IF(RevenueByClient16[[#This Row],[Invoice No.]]=0,"Not invoiced","Invoiced")</f>
        <v>Not invoiced</v>
      </c>
      <c r="H71" s="2">
        <f>RevenueByClient16[[#This Row],[Invoice date/
Expected Invoice date]]+30+30</f>
        <v>45411</v>
      </c>
      <c r="I71" s="14" t="s">
        <v>40</v>
      </c>
      <c r="J71" s="2" t="str">
        <f t="shared" si="1"/>
        <v>Delayed</v>
      </c>
      <c r="K71" s="1" t="s">
        <v>7</v>
      </c>
      <c r="L71" s="17">
        <f>INDEX(Table2[[EUR]:[MXN]],MATCH(RevenueByClient16[[#This Row],[Invoice date/
Expected Invoice date]],Table2[Date],1),MATCH(RevenueByClient16[[#This Row],[Contract currency]],Table2[[#Headers],[EUR]:[MXN]],0))</f>
        <v>4.63147E-2</v>
      </c>
      <c r="M71" s="18">
        <v>296299.83</v>
      </c>
      <c r="N71" s="27">
        <v>0.16</v>
      </c>
      <c r="O71" s="5">
        <f>RevenueByClient16[[#This Row],[Net amount,
contract currency]]*RevenueByClient16[[#This Row],[Sales Tax]]</f>
        <v>47407.972800000003</v>
      </c>
      <c r="P71" s="5">
        <f>RevenueByClient16[[#This Row],[Net amount,
contract currency]]+RevenueByClient16[[#This Row],[Tax amount, contract currency]]</f>
        <v>343707.8028</v>
      </c>
      <c r="Q71" s="11">
        <f>RevenueByClient16[[#This Row],[Net amount,
contract currency]]*RevenueByClient16[[#This Row],[Exchange
Rate £]]</f>
        <v>13723.037736501001</v>
      </c>
      <c r="R71" s="11">
        <f>RevenueByClient16[[#This Row],[Tax amount, contract currency]]*RevenueByClient16[[#This Row],[Exchange
Rate £]]</f>
        <v>2195.6860378401602</v>
      </c>
      <c r="S71" s="11">
        <f>SUM(RevenueByClient16[[#This Row],[Net amount, £]:[Tax amount, £]])</f>
        <v>15918.723774341161</v>
      </c>
    </row>
    <row r="72" spans="1:19">
      <c r="A72" s="26" t="s">
        <v>152</v>
      </c>
      <c r="B72" s="30" t="s">
        <v>219</v>
      </c>
      <c r="C72" s="26" t="s">
        <v>153</v>
      </c>
      <c r="D72" t="s">
        <v>154</v>
      </c>
      <c r="E72">
        <v>477</v>
      </c>
      <c r="F72" s="2">
        <v>45218</v>
      </c>
      <c r="G72" s="5" t="str">
        <f>IF(RevenueByClient16[[#This Row],[Invoice No.]]=0,"Not invoiced","Invoiced")</f>
        <v>Invoiced</v>
      </c>
      <c r="H72" s="2">
        <f>RevenueByClient16[[#This Row],[Invoice date/
Expected Invoice date]]+30+33+30+20</f>
        <v>45331</v>
      </c>
      <c r="I72" s="14" t="s">
        <v>40</v>
      </c>
      <c r="J72" s="2" t="str">
        <f t="shared" si="1"/>
        <v>Delayed</v>
      </c>
      <c r="K72" s="1" t="s">
        <v>7</v>
      </c>
      <c r="L72" s="17">
        <f>INDEX(Table2[[EUR]:[MXN]],MATCH(RevenueByClient16[[#This Row],[Invoice date/
Expected Invoice date]],Table2[Date],1),MATCH(RevenueByClient16[[#This Row],[Contract currency]],Table2[[#Headers],[EUR]:[MXN]],0))</f>
        <v>4.7071799999999997E-2</v>
      </c>
      <c r="M72" s="18">
        <v>100000</v>
      </c>
      <c r="N72" s="27">
        <v>0.16</v>
      </c>
      <c r="O72" s="5">
        <f>RevenueByClient16[[#This Row],[Net amount,
contract currency]]*RevenueByClient16[[#This Row],[Sales Tax]]</f>
        <v>16000</v>
      </c>
      <c r="P72" s="5">
        <f>RevenueByClient16[[#This Row],[Net amount,
contract currency]]+RevenueByClient16[[#This Row],[Tax amount, contract currency]]</f>
        <v>116000</v>
      </c>
      <c r="Q72" s="11">
        <f>RevenueByClient16[[#This Row],[Net amount,
contract currency]]*RevenueByClient16[[#This Row],[Exchange
Rate £]]</f>
        <v>4707.1799999999994</v>
      </c>
      <c r="R72" s="11">
        <f>RevenueByClient16[[#This Row],[Tax amount, contract currency]]*RevenueByClient16[[#This Row],[Exchange
Rate £]]</f>
        <v>753.14879999999994</v>
      </c>
      <c r="S72" s="11">
        <f>SUM(RevenueByClient16[[#This Row],[Net amount, £]:[Tax amount, £]])</f>
        <v>5460.3287999999993</v>
      </c>
    </row>
    <row r="73" spans="1:19">
      <c r="A73" s="26" t="s">
        <v>152</v>
      </c>
      <c r="B73" s="30" t="s">
        <v>219</v>
      </c>
      <c r="C73" s="26" t="s">
        <v>153</v>
      </c>
      <c r="D73" t="s">
        <v>155</v>
      </c>
      <c r="E73">
        <v>496</v>
      </c>
      <c r="F73" s="2">
        <v>45258</v>
      </c>
      <c r="G73" s="5" t="str">
        <f>IF(RevenueByClient16[[#This Row],[Invoice No.]]=0,"Not invoiced","Invoiced")</f>
        <v>Invoiced</v>
      </c>
      <c r="H73" s="2">
        <f>RevenueByClient16[[#This Row],[Invoice date/
Expected Invoice date]]+30+30</f>
        <v>45318</v>
      </c>
      <c r="I73" s="14" t="s">
        <v>40</v>
      </c>
      <c r="J73" s="2" t="str">
        <f t="shared" si="1"/>
        <v>Delayed</v>
      </c>
      <c r="K73" s="1" t="s">
        <v>7</v>
      </c>
      <c r="L73" s="17">
        <f>INDEX(Table2[[EUR]:[MXN]],MATCH(RevenueByClient16[[#This Row],[Invoice date/
Expected Invoice date]],Table2[Date],1),MATCH(RevenueByClient16[[#This Row],[Contract currency]],Table2[[#Headers],[EUR]:[MXN]],0))</f>
        <v>4.5698299999999997E-2</v>
      </c>
      <c r="M73" s="18">
        <v>318125.08</v>
      </c>
      <c r="N73" s="27">
        <v>0.16</v>
      </c>
      <c r="O73" s="5">
        <f>RevenueByClient16[[#This Row],[Net amount,
contract currency]]*RevenueByClient16[[#This Row],[Sales Tax]]</f>
        <v>50900.012800000004</v>
      </c>
      <c r="P73" s="5">
        <f>RevenueByClient16[[#This Row],[Net amount,
contract currency]]+RevenueByClient16[[#This Row],[Tax amount, contract currency]]</f>
        <v>369025.09280000004</v>
      </c>
      <c r="Q73" s="11">
        <f>RevenueByClient16[[#This Row],[Net amount,
contract currency]]*RevenueByClient16[[#This Row],[Exchange
Rate £]]</f>
        <v>14537.775343363999</v>
      </c>
      <c r="R73" s="11">
        <f>RevenueByClient16[[#This Row],[Tax amount, contract currency]]*RevenueByClient16[[#This Row],[Exchange
Rate £]]</f>
        <v>2326.0440549382402</v>
      </c>
      <c r="S73" s="11">
        <f>SUM(RevenueByClient16[[#This Row],[Net amount, £]:[Tax amount, £]])</f>
        <v>16863.819398302239</v>
      </c>
    </row>
    <row r="74" spans="1:19">
      <c r="A74" s="26" t="s">
        <v>152</v>
      </c>
      <c r="B74" s="30" t="s">
        <v>219</v>
      </c>
      <c r="C74" s="26" t="s">
        <v>153</v>
      </c>
      <c r="D74" t="s">
        <v>156</v>
      </c>
      <c r="E74">
        <v>0</v>
      </c>
      <c r="F74" s="2">
        <v>45380</v>
      </c>
      <c r="G74" s="5" t="str">
        <f>IF(RevenueByClient16[[#This Row],[Invoice No.]]=0,"Not invoiced","Invoiced")</f>
        <v>Not invoiced</v>
      </c>
      <c r="H74" s="2">
        <f>RevenueByClient16[[#This Row],[Invoice date/
Expected Invoice date]]+30</f>
        <v>45410</v>
      </c>
      <c r="I74" s="14" t="s">
        <v>40</v>
      </c>
      <c r="J74" s="2" t="str">
        <f t="shared" si="1"/>
        <v/>
      </c>
      <c r="K74" s="1" t="s">
        <v>7</v>
      </c>
      <c r="L74" s="17">
        <f>INDEX(Table2[[EUR]:[MXN]],MATCH(RevenueByClient16[[#This Row],[Invoice date/
Expected Invoice date]],Table2[Date],1),MATCH(RevenueByClient16[[#This Row],[Contract currency]],Table2[[#Headers],[EUR]:[MXN]],0))</f>
        <v>4.63147E-2</v>
      </c>
      <c r="M74" s="18">
        <v>517253.94</v>
      </c>
      <c r="N74" s="27">
        <v>0.16</v>
      </c>
      <c r="O74" s="5">
        <f>RevenueByClient16[[#This Row],[Net amount,
contract currency]]*RevenueByClient16[[#This Row],[Sales Tax]]</f>
        <v>82760.630400000009</v>
      </c>
      <c r="P74" s="5">
        <f>RevenueByClient16[[#This Row],[Net amount,
contract currency]]+RevenueByClient16[[#This Row],[Tax amount, contract currency]]</f>
        <v>600014.57039999997</v>
      </c>
      <c r="Q74" s="11">
        <f>RevenueByClient16[[#This Row],[Net amount,
contract currency]]*RevenueByClient16[[#This Row],[Exchange
Rate £]]</f>
        <v>23956.461054918</v>
      </c>
      <c r="R74" s="11">
        <f>RevenueByClient16[[#This Row],[Tax amount, contract currency]]*RevenueByClient16[[#This Row],[Exchange
Rate £]]</f>
        <v>3833.0337687868805</v>
      </c>
      <c r="S74" s="11">
        <f>SUM(RevenueByClient16[[#This Row],[Net amount, £]:[Tax amount, £]])</f>
        <v>27789.494823704881</v>
      </c>
    </row>
    <row r="75" spans="1:19">
      <c r="A75" s="26" t="s">
        <v>157</v>
      </c>
      <c r="B75" s="30" t="s">
        <v>219</v>
      </c>
      <c r="C75" s="26" t="s">
        <v>158</v>
      </c>
      <c r="D75" t="s">
        <v>144</v>
      </c>
      <c r="E75">
        <v>484</v>
      </c>
      <c r="F75" s="2">
        <v>45261</v>
      </c>
      <c r="G75" s="5" t="str">
        <f>IF(RevenueByClient16[[#This Row],[Invoice No.]]=0,"Not invoiced","Invoiced")</f>
        <v>Invoiced</v>
      </c>
      <c r="H75" s="2">
        <f>RevenueByClient16[[#This Row],[Invoice date/
Expected Invoice date]]+30+60</f>
        <v>45351</v>
      </c>
      <c r="I75" s="14" t="s">
        <v>40</v>
      </c>
      <c r="J75" s="2" t="str">
        <f t="shared" si="1"/>
        <v>Delayed</v>
      </c>
      <c r="K75" s="1" t="s">
        <v>41</v>
      </c>
      <c r="L75" s="17">
        <f>INDEX(Table2[[EUR]:[MXN]],MATCH(RevenueByClient16[[#This Row],[Invoice date/
Expected Invoice date]],Table2[Date],1),MATCH(RevenueByClient16[[#This Row],[Contract currency]],Table2[[#Headers],[EUR]:[MXN]],0))</f>
        <v>0.787906</v>
      </c>
      <c r="M75" s="18">
        <v>15436</v>
      </c>
      <c r="N75" s="27">
        <v>0</v>
      </c>
      <c r="O75" s="5">
        <f>RevenueByClient16[[#This Row],[Net amount,
contract currency]]*RevenueByClient16[[#This Row],[Sales Tax]]</f>
        <v>0</v>
      </c>
      <c r="P75" s="5">
        <f>RevenueByClient16[[#This Row],[Net amount,
contract currency]]+RevenueByClient16[[#This Row],[Tax amount, contract currency]]</f>
        <v>15436</v>
      </c>
      <c r="Q75" s="11">
        <f>RevenueByClient16[[#This Row],[Net amount,
contract currency]]*RevenueByClient16[[#This Row],[Exchange
Rate £]]</f>
        <v>12162.117016</v>
      </c>
      <c r="R75" s="11">
        <f>RevenueByClient16[[#This Row],[Tax amount, contract currency]]*RevenueByClient16[[#This Row],[Exchange
Rate £]]</f>
        <v>0</v>
      </c>
      <c r="S75" s="11">
        <f>SUM(RevenueByClient16[[#This Row],[Net amount, £]:[Tax amount, £]])</f>
        <v>12162.117016</v>
      </c>
    </row>
    <row r="76" spans="1:19">
      <c r="A76" s="26" t="s">
        <v>159</v>
      </c>
      <c r="B76" s="30" t="s">
        <v>219</v>
      </c>
      <c r="C76" s="26" t="s">
        <v>160</v>
      </c>
      <c r="D76" t="s">
        <v>161</v>
      </c>
      <c r="E76">
        <v>0</v>
      </c>
      <c r="F76" s="2">
        <v>45351</v>
      </c>
      <c r="G76" s="5" t="str">
        <f>IF(RevenueByClient16[[#This Row],[Invoice No.]]=0,"Not invoiced","Invoiced")</f>
        <v>Not invoiced</v>
      </c>
      <c r="H76" s="2">
        <f>RevenueByClient16[[#This Row],[Invoice date/
Expected Invoice date]]+30</f>
        <v>45381</v>
      </c>
      <c r="I76" s="14" t="s">
        <v>40</v>
      </c>
      <c r="J76" s="2" t="str">
        <f t="shared" si="1"/>
        <v/>
      </c>
      <c r="K76" s="1" t="s">
        <v>7</v>
      </c>
      <c r="L76" s="17">
        <f>INDEX(Table2[[EUR]:[MXN]],MATCH(RevenueByClient16[[#This Row],[Invoice date/
Expected Invoice date]],Table2[Date],1),MATCH(RevenueByClient16[[#This Row],[Contract currency]],Table2[[#Headers],[EUR]:[MXN]],0))</f>
        <v>4.63147E-2</v>
      </c>
      <c r="M76" s="18">
        <v>481744.44</v>
      </c>
      <c r="N76" s="27">
        <v>0.16</v>
      </c>
      <c r="O76" s="5">
        <f>RevenueByClient16[[#This Row],[Net amount,
contract currency]]*RevenueByClient16[[#This Row],[Sales Tax]]</f>
        <v>77079.110400000005</v>
      </c>
      <c r="P76" s="5">
        <f>RevenueByClient16[[#This Row],[Net amount,
contract currency]]+RevenueByClient16[[#This Row],[Tax amount, contract currency]]</f>
        <v>558823.55040000007</v>
      </c>
      <c r="Q76" s="11">
        <f>RevenueByClient16[[#This Row],[Net amount,
contract currency]]*RevenueByClient16[[#This Row],[Exchange
Rate £]]</f>
        <v>22311.849215268001</v>
      </c>
      <c r="R76" s="11">
        <f>RevenueByClient16[[#This Row],[Tax amount, contract currency]]*RevenueByClient16[[#This Row],[Exchange
Rate £]]</f>
        <v>3569.8958744428801</v>
      </c>
      <c r="S76" s="11">
        <f>SUM(RevenueByClient16[[#This Row],[Net amount, £]:[Tax amount, £]])</f>
        <v>25881.745089710879</v>
      </c>
    </row>
    <row r="77" spans="1:19">
      <c r="A77" s="26" t="s">
        <v>159</v>
      </c>
      <c r="B77" s="30" t="s">
        <v>219</v>
      </c>
      <c r="C77" s="26" t="s">
        <v>160</v>
      </c>
      <c r="D77" t="s">
        <v>162</v>
      </c>
      <c r="E77">
        <v>0</v>
      </c>
      <c r="F77" s="2">
        <v>45380</v>
      </c>
      <c r="G77" s="5" t="str">
        <f>IF(RevenueByClient16[[#This Row],[Invoice No.]]=0,"Not invoiced","Invoiced")</f>
        <v>Not invoiced</v>
      </c>
      <c r="H77" s="2">
        <f>RevenueByClient16[[#This Row],[Invoice date/
Expected Invoice date]]+30</f>
        <v>45410</v>
      </c>
      <c r="I77" s="14" t="s">
        <v>40</v>
      </c>
      <c r="J77" s="2" t="str">
        <f t="shared" si="1"/>
        <v/>
      </c>
      <c r="K77" s="1" t="s">
        <v>7</v>
      </c>
      <c r="L77" s="17">
        <f>INDEX(Table2[[EUR]:[MXN]],MATCH(RevenueByClient16[[#This Row],[Invoice date/
Expected Invoice date]],Table2[Date],1),MATCH(RevenueByClient16[[#This Row],[Contract currency]],Table2[[#Headers],[EUR]:[MXN]],0))</f>
        <v>4.63147E-2</v>
      </c>
      <c r="M77" s="18">
        <v>259371.78</v>
      </c>
      <c r="N77" s="27">
        <v>0.16</v>
      </c>
      <c r="O77" s="5">
        <f>RevenueByClient16[[#This Row],[Net amount,
contract currency]]*RevenueByClient16[[#This Row],[Sales Tax]]</f>
        <v>41499.484799999998</v>
      </c>
      <c r="P77" s="5">
        <f>RevenueByClient16[[#This Row],[Net amount,
contract currency]]+RevenueByClient16[[#This Row],[Tax amount, contract currency]]</f>
        <v>300871.2648</v>
      </c>
      <c r="Q77" s="11">
        <f>RevenueByClient16[[#This Row],[Net amount,
contract currency]]*RevenueByClient16[[#This Row],[Exchange
Rate £]]</f>
        <v>12012.726179166</v>
      </c>
      <c r="R77" s="11">
        <f>RevenueByClient16[[#This Row],[Tax amount, contract currency]]*RevenueByClient16[[#This Row],[Exchange
Rate £]]</f>
        <v>1922.0361886665598</v>
      </c>
      <c r="S77" s="11">
        <f>SUM(RevenueByClient16[[#This Row],[Net amount, £]:[Tax amount, £]])</f>
        <v>13934.76236783256</v>
      </c>
    </row>
    <row r="78" spans="1:19">
      <c r="A78" s="26" t="s">
        <v>163</v>
      </c>
      <c r="B78" s="30" t="s">
        <v>218</v>
      </c>
      <c r="C78" s="26" t="s">
        <v>164</v>
      </c>
      <c r="D78" s="20" t="s">
        <v>165</v>
      </c>
      <c r="E78">
        <v>481</v>
      </c>
      <c r="F78" s="2">
        <v>45260</v>
      </c>
      <c r="G78" s="5" t="str">
        <f>IF(RevenueByClient16[[#This Row],[Invoice No.]]=0,"Not invoiced","Invoiced")</f>
        <v>Invoiced</v>
      </c>
      <c r="H78" s="15">
        <v>45273</v>
      </c>
      <c r="I78" s="14" t="s">
        <v>37</v>
      </c>
      <c r="J78" s="2" t="str">
        <f t="shared" si="1"/>
        <v/>
      </c>
      <c r="K78" s="1" t="s">
        <v>41</v>
      </c>
      <c r="L78" s="17">
        <f>INDEX(Table2[[EUR]:[MXN]],MATCH(RevenueByClient16[[#This Row],[Invoice date/
Expected Invoice date]],Table2[Date],1),MATCH(RevenueByClient16[[#This Row],[Contract currency]],Table2[[#Headers],[EUR]:[MXN]],0))</f>
        <v>0.787906</v>
      </c>
      <c r="M78" s="18">
        <v>3500</v>
      </c>
      <c r="N78" s="27">
        <v>0</v>
      </c>
      <c r="O78" s="5">
        <f>RevenueByClient16[[#This Row],[Net amount,
contract currency]]*RevenueByClient16[[#This Row],[Sales Tax]]</f>
        <v>0</v>
      </c>
      <c r="P78" s="5">
        <f>RevenueByClient16[[#This Row],[Net amount,
contract currency]]+RevenueByClient16[[#This Row],[Tax amount, contract currency]]</f>
        <v>3500</v>
      </c>
      <c r="Q78" s="11">
        <f>RevenueByClient16[[#This Row],[Net amount,
contract currency]]*RevenueByClient16[[#This Row],[Exchange
Rate £]]</f>
        <v>2757.6709999999998</v>
      </c>
      <c r="R78" s="11">
        <f>RevenueByClient16[[#This Row],[Tax amount, contract currency]]*RevenueByClient16[[#This Row],[Exchange
Rate £]]</f>
        <v>0</v>
      </c>
      <c r="S78" s="11">
        <f>SUM(RevenueByClient16[[#This Row],[Net amount, £]:[Tax amount, £]])</f>
        <v>2757.6709999999998</v>
      </c>
    </row>
    <row r="79" spans="1:19">
      <c r="A79" s="25" t="s">
        <v>166</v>
      </c>
      <c r="B79" s="30" t="s">
        <v>218</v>
      </c>
      <c r="C79" s="26" t="s">
        <v>167</v>
      </c>
      <c r="D79" s="20" t="s">
        <v>168</v>
      </c>
      <c r="E79">
        <v>502</v>
      </c>
      <c r="F79" s="2">
        <v>45264</v>
      </c>
      <c r="G79" s="5" t="str">
        <f>IF(RevenueByClient16[[#This Row],[Invoice No.]]=0,"Not invoiced","Invoiced")</f>
        <v>Invoiced</v>
      </c>
      <c r="H79" s="15">
        <v>45268</v>
      </c>
      <c r="I79" s="14" t="s">
        <v>37</v>
      </c>
      <c r="J79" s="2" t="str">
        <f t="shared" si="1"/>
        <v/>
      </c>
      <c r="K79" s="1" t="s">
        <v>41</v>
      </c>
      <c r="L79" s="17">
        <f>INDEX(Table2[[EUR]:[MXN]],MATCH(RevenueByClient16[[#This Row],[Invoice date/
Expected Invoice date]],Table2[Date],1),MATCH(RevenueByClient16[[#This Row],[Contract currency]],Table2[[#Headers],[EUR]:[MXN]],0))</f>
        <v>0.787906</v>
      </c>
      <c r="M79" s="18">
        <v>8791.15</v>
      </c>
      <c r="N79" s="27">
        <v>0</v>
      </c>
      <c r="O79" s="5">
        <f>RevenueByClient16[[#This Row],[Net amount,
contract currency]]*RevenueByClient16[[#This Row],[Sales Tax]]</f>
        <v>0</v>
      </c>
      <c r="P79" s="5">
        <f>RevenueByClient16[[#This Row],[Net amount,
contract currency]]+RevenueByClient16[[#This Row],[Tax amount, contract currency]]</f>
        <v>8791.15</v>
      </c>
      <c r="Q79" s="11">
        <f>RevenueByClient16[[#This Row],[Net amount,
contract currency]]*RevenueByClient16[[#This Row],[Exchange
Rate £]]</f>
        <v>6926.5998319</v>
      </c>
      <c r="R79" s="11">
        <f>RevenueByClient16[[#This Row],[Tax amount, contract currency]]*RevenueByClient16[[#This Row],[Exchange
Rate £]]</f>
        <v>0</v>
      </c>
      <c r="S79" s="11">
        <f>SUM(RevenueByClient16[[#This Row],[Net amount, £]:[Tax amount, £]])</f>
        <v>6926.5998319</v>
      </c>
    </row>
    <row r="80" spans="1:19">
      <c r="A80" s="26" t="s">
        <v>166</v>
      </c>
      <c r="B80" s="30" t="s">
        <v>218</v>
      </c>
      <c r="C80" s="26" t="s">
        <v>167</v>
      </c>
      <c r="D80" s="20" t="s">
        <v>169</v>
      </c>
      <c r="E80">
        <v>0</v>
      </c>
      <c r="F80" s="2">
        <v>45356</v>
      </c>
      <c r="G80" s="5" t="str">
        <f>IF(RevenueByClient16[[#This Row],[Invoice No.]]=0,"Not invoiced","Invoiced")</f>
        <v>Not invoiced</v>
      </c>
      <c r="H80" s="2">
        <f>RevenueByClient16[[#This Row],[Invoice date/
Expected Invoice date]]+30</f>
        <v>45386</v>
      </c>
      <c r="I80" s="14" t="s">
        <v>40</v>
      </c>
      <c r="J80" s="2" t="str">
        <f t="shared" si="1"/>
        <v/>
      </c>
      <c r="K80" s="1" t="s">
        <v>41</v>
      </c>
      <c r="L80" s="17">
        <f>INDEX(Table2[[EUR]:[MXN]],MATCH(RevenueByClient16[[#This Row],[Invoice date/
Expected Invoice date]],Table2[Date],1),MATCH(RevenueByClient16[[#This Row],[Contract currency]],Table2[[#Headers],[EUR]:[MXN]],0))</f>
        <v>0.78516900000000001</v>
      </c>
      <c r="M80" s="18">
        <v>23472.31</v>
      </c>
      <c r="N80" s="27">
        <v>0</v>
      </c>
      <c r="O80" s="5">
        <f>RevenueByClient16[[#This Row],[Net amount,
contract currency]]*RevenueByClient16[[#This Row],[Sales Tax]]</f>
        <v>0</v>
      </c>
      <c r="P80" s="5">
        <f>RevenueByClient16[[#This Row],[Net amount,
contract currency]]+RevenueByClient16[[#This Row],[Tax amount, contract currency]]</f>
        <v>23472.31</v>
      </c>
      <c r="Q80" s="11">
        <f>RevenueByClient16[[#This Row],[Net amount,
contract currency]]*RevenueByClient16[[#This Row],[Exchange
Rate £]]</f>
        <v>18429.730170390001</v>
      </c>
      <c r="R80" s="11">
        <f>RevenueByClient16[[#This Row],[Tax amount, contract currency]]*RevenueByClient16[[#This Row],[Exchange
Rate £]]</f>
        <v>0</v>
      </c>
      <c r="S80" s="11">
        <f>SUM(RevenueByClient16[[#This Row],[Net amount, £]:[Tax amount, £]])</f>
        <v>18429.730170390001</v>
      </c>
    </row>
    <row r="81" spans="1:19">
      <c r="A81" s="26" t="s">
        <v>166</v>
      </c>
      <c r="B81" s="30" t="s">
        <v>218</v>
      </c>
      <c r="C81" s="26" t="s">
        <v>167</v>
      </c>
      <c r="D81" s="20" t="s">
        <v>170</v>
      </c>
      <c r="E81">
        <v>0</v>
      </c>
      <c r="F81" s="2">
        <v>45478</v>
      </c>
      <c r="G81" s="5" t="str">
        <f>IF(RevenueByClient16[[#This Row],[Invoice No.]]=0,"Not invoiced","Invoiced")</f>
        <v>Not invoiced</v>
      </c>
      <c r="H81" s="2">
        <f>RevenueByClient16[[#This Row],[Invoice date/
Expected Invoice date]]+30</f>
        <v>45508</v>
      </c>
      <c r="I81" s="14" t="s">
        <v>40</v>
      </c>
      <c r="J81" s="2" t="str">
        <f t="shared" si="1"/>
        <v/>
      </c>
      <c r="K81" s="1" t="s">
        <v>41</v>
      </c>
      <c r="L81" s="17">
        <f>INDEX(Table2[[EUR]:[MXN]],MATCH(RevenueByClient16[[#This Row],[Invoice date/
Expected Invoice date]],Table2[Date],1),MATCH(RevenueByClient16[[#This Row],[Contract currency]],Table2[[#Headers],[EUR]:[MXN]],0))</f>
        <v>0.78516900000000001</v>
      </c>
      <c r="M81" s="18">
        <v>17211</v>
      </c>
      <c r="N81" s="27">
        <v>0</v>
      </c>
      <c r="O81" s="5">
        <f>RevenueByClient16[[#This Row],[Net amount,
contract currency]]*RevenueByClient16[[#This Row],[Sales Tax]]</f>
        <v>0</v>
      </c>
      <c r="P81" s="5">
        <f>RevenueByClient16[[#This Row],[Net amount,
contract currency]]+RevenueByClient16[[#This Row],[Tax amount, contract currency]]</f>
        <v>17211</v>
      </c>
      <c r="Q81" s="11">
        <f>RevenueByClient16[[#This Row],[Net amount,
contract currency]]*RevenueByClient16[[#This Row],[Exchange
Rate £]]</f>
        <v>13513.543659000001</v>
      </c>
      <c r="R81" s="11">
        <f>RevenueByClient16[[#This Row],[Tax amount, contract currency]]*RevenueByClient16[[#This Row],[Exchange
Rate £]]</f>
        <v>0</v>
      </c>
      <c r="S81" s="11">
        <f>SUM(RevenueByClient16[[#This Row],[Net amount, £]:[Tax amount, £]])</f>
        <v>13513.543659000001</v>
      </c>
    </row>
    <row r="82" spans="1:19">
      <c r="A82" s="26" t="s">
        <v>171</v>
      </c>
      <c r="B82" s="30" t="s">
        <v>218</v>
      </c>
      <c r="C82" s="26" t="s">
        <v>172</v>
      </c>
      <c r="D82" s="20" t="s">
        <v>173</v>
      </c>
      <c r="E82">
        <v>0</v>
      </c>
      <c r="F82" s="2">
        <v>45322</v>
      </c>
      <c r="G82" s="5" t="str">
        <f>IF(RevenueByClient16[[#This Row],[Invoice No.]]=0,"Not invoiced","Invoiced")</f>
        <v>Not invoiced</v>
      </c>
      <c r="H82" s="2">
        <f>RevenueByClient16[[#This Row],[Invoice date/
Expected Invoice date]]+30</f>
        <v>45352</v>
      </c>
      <c r="I82" s="14" t="s">
        <v>40</v>
      </c>
      <c r="J82" s="2" t="str">
        <f t="shared" si="1"/>
        <v/>
      </c>
      <c r="K82" s="1" t="s">
        <v>41</v>
      </c>
      <c r="L82" s="17">
        <f>INDEX(Table2[[EUR]:[MXN]],MATCH(RevenueByClient16[[#This Row],[Invoice date/
Expected Invoice date]],Table2[Date],1),MATCH(RevenueByClient16[[#This Row],[Contract currency]],Table2[[#Headers],[EUR]:[MXN]],0))</f>
        <v>0.78516900000000001</v>
      </c>
      <c r="M82" s="18">
        <v>18580.169999999998</v>
      </c>
      <c r="N82" s="27">
        <v>0</v>
      </c>
      <c r="O82" s="5">
        <f>RevenueByClient16[[#This Row],[Net amount,
contract currency]]*RevenueByClient16[[#This Row],[Sales Tax]]</f>
        <v>0</v>
      </c>
      <c r="P82" s="5">
        <f>RevenueByClient16[[#This Row],[Net amount,
contract currency]]+RevenueByClient16[[#This Row],[Tax amount, contract currency]]</f>
        <v>18580.169999999998</v>
      </c>
      <c r="Q82" s="11">
        <f>RevenueByClient16[[#This Row],[Net amount,
contract currency]]*RevenueByClient16[[#This Row],[Exchange
Rate £]]</f>
        <v>14588.573498729998</v>
      </c>
      <c r="R82" s="11">
        <f>RevenueByClient16[[#This Row],[Tax amount, contract currency]]*RevenueByClient16[[#This Row],[Exchange
Rate £]]</f>
        <v>0</v>
      </c>
      <c r="S82" s="11">
        <f>SUM(RevenueByClient16[[#This Row],[Net amount, £]:[Tax amount, £]])</f>
        <v>14588.573498729998</v>
      </c>
    </row>
    <row r="83" spans="1:19">
      <c r="A83" s="26" t="s">
        <v>171</v>
      </c>
      <c r="B83" s="30" t="s">
        <v>218</v>
      </c>
      <c r="C83" s="26" t="s">
        <v>172</v>
      </c>
      <c r="D83" s="20" t="s">
        <v>174</v>
      </c>
      <c r="E83">
        <v>0</v>
      </c>
      <c r="F83" s="2">
        <v>45337</v>
      </c>
      <c r="G83" s="5" t="str">
        <f>IF(RevenueByClient16[[#This Row],[Invoice No.]]=0,"Not invoiced","Invoiced")</f>
        <v>Not invoiced</v>
      </c>
      <c r="H83" s="2">
        <f>RevenueByClient16[[#This Row],[Invoice date/
Expected Invoice date]]+30</f>
        <v>45367</v>
      </c>
      <c r="I83" s="14" t="s">
        <v>40</v>
      </c>
      <c r="J83" s="2" t="str">
        <f t="shared" si="1"/>
        <v/>
      </c>
      <c r="K83" s="1" t="s">
        <v>41</v>
      </c>
      <c r="L83" s="17">
        <f>INDEX(Table2[[EUR]:[MXN]],MATCH(RevenueByClient16[[#This Row],[Invoice date/
Expected Invoice date]],Table2[Date],1),MATCH(RevenueByClient16[[#This Row],[Contract currency]],Table2[[#Headers],[EUR]:[MXN]],0))</f>
        <v>0.78516900000000001</v>
      </c>
      <c r="M83" s="18">
        <v>1229.7</v>
      </c>
      <c r="N83" s="27">
        <v>0</v>
      </c>
      <c r="O83" s="5">
        <f>RevenueByClient16[[#This Row],[Net amount,
contract currency]]*RevenueByClient16[[#This Row],[Sales Tax]]</f>
        <v>0</v>
      </c>
      <c r="P83" s="5">
        <f>RevenueByClient16[[#This Row],[Net amount,
contract currency]]+RevenueByClient16[[#This Row],[Tax amount, contract currency]]</f>
        <v>1229.7</v>
      </c>
      <c r="Q83" s="11">
        <f>RevenueByClient16[[#This Row],[Net amount,
contract currency]]*RevenueByClient16[[#This Row],[Exchange
Rate £]]</f>
        <v>965.52231930000005</v>
      </c>
      <c r="R83" s="11">
        <f>RevenueByClient16[[#This Row],[Tax amount, contract currency]]*RevenueByClient16[[#This Row],[Exchange
Rate £]]</f>
        <v>0</v>
      </c>
      <c r="S83" s="11">
        <f>SUM(RevenueByClient16[[#This Row],[Net amount, £]:[Tax amount, £]])</f>
        <v>965.52231930000005</v>
      </c>
    </row>
    <row r="84" spans="1:19">
      <c r="A84" s="26" t="s">
        <v>175</v>
      </c>
      <c r="B84" s="30" t="s">
        <v>219</v>
      </c>
      <c r="C84" s="26" t="s">
        <v>176</v>
      </c>
      <c r="D84" s="20" t="s">
        <v>177</v>
      </c>
      <c r="E84">
        <v>499</v>
      </c>
      <c r="F84" s="2">
        <v>45275</v>
      </c>
      <c r="G84" s="5" t="str">
        <f>IF(RevenueByClient16[[#This Row],[Invoice No.]]=0,"Not invoiced","Invoiced")</f>
        <v>Invoiced</v>
      </c>
      <c r="H84" s="15">
        <v>45281</v>
      </c>
      <c r="I84" s="14" t="s">
        <v>37</v>
      </c>
      <c r="J84" s="2" t="str">
        <f t="shared" si="1"/>
        <v/>
      </c>
      <c r="K84" s="1" t="s">
        <v>41</v>
      </c>
      <c r="L84" s="17">
        <f>INDEX(Table2[[EUR]:[MXN]],MATCH(RevenueByClient16[[#This Row],[Invoice date/
Expected Invoice date]],Table2[Date],1),MATCH(RevenueByClient16[[#This Row],[Contract currency]],Table2[[#Headers],[EUR]:[MXN]],0))</f>
        <v>0.787906</v>
      </c>
      <c r="M84" s="18">
        <v>21395.279999999999</v>
      </c>
      <c r="N84" s="27">
        <v>0</v>
      </c>
      <c r="O84" s="5">
        <f>RevenueByClient16[[#This Row],[Net amount,
contract currency]]*RevenueByClient16[[#This Row],[Sales Tax]]</f>
        <v>0</v>
      </c>
      <c r="P84" s="5">
        <f>RevenueByClient16[[#This Row],[Net amount,
contract currency]]+RevenueByClient16[[#This Row],[Tax amount, contract currency]]</f>
        <v>21395.279999999999</v>
      </c>
      <c r="Q84" s="11">
        <f>RevenueByClient16[[#This Row],[Net amount,
contract currency]]*RevenueByClient16[[#This Row],[Exchange
Rate £]]</f>
        <v>16857.469483679997</v>
      </c>
      <c r="R84" s="11">
        <f>RevenueByClient16[[#This Row],[Tax amount, contract currency]]*RevenueByClient16[[#This Row],[Exchange
Rate £]]</f>
        <v>0</v>
      </c>
      <c r="S84" s="11">
        <f>SUM(RevenueByClient16[[#This Row],[Net amount, £]:[Tax amount, £]])</f>
        <v>16857.469483679997</v>
      </c>
    </row>
    <row r="85" spans="1:19">
      <c r="A85" s="26" t="s">
        <v>178</v>
      </c>
      <c r="B85" s="30" t="s">
        <v>219</v>
      </c>
      <c r="C85" s="26" t="s">
        <v>179</v>
      </c>
      <c r="D85" t="s">
        <v>17</v>
      </c>
      <c r="E85">
        <v>485</v>
      </c>
      <c r="F85" s="2">
        <v>45257</v>
      </c>
      <c r="G85" s="5" t="str">
        <f>IF(RevenueByClient16[[#This Row],[Invoice No.]]=0,"Not invoiced","Invoiced")</f>
        <v>Invoiced</v>
      </c>
      <c r="H85" s="15">
        <v>45286</v>
      </c>
      <c r="I85" s="14" t="s">
        <v>37</v>
      </c>
      <c r="J85" s="2" t="str">
        <f t="shared" si="1"/>
        <v/>
      </c>
      <c r="K85" s="1" t="s">
        <v>7</v>
      </c>
      <c r="L85" s="17">
        <f>INDEX(Table2[[EUR]:[MXN]],MATCH(RevenueByClient16[[#This Row],[Invoice date/
Expected Invoice date]],Table2[Date],1),MATCH(RevenueByClient16[[#This Row],[Contract currency]],Table2[[#Headers],[EUR]:[MXN]],0))</f>
        <v>4.5698299999999997E-2</v>
      </c>
      <c r="M85" s="18">
        <v>36702.980000000003</v>
      </c>
      <c r="N85" s="27">
        <v>0.16</v>
      </c>
      <c r="O85" s="5">
        <f>RevenueByClient16[[#This Row],[Net amount,
contract currency]]*RevenueByClient16[[#This Row],[Sales Tax]]</f>
        <v>5872.4768000000004</v>
      </c>
      <c r="P85" s="5">
        <f>RevenueByClient16[[#This Row],[Net amount,
contract currency]]+RevenueByClient16[[#This Row],[Tax amount, contract currency]]</f>
        <v>42575.4568</v>
      </c>
      <c r="Q85" s="11">
        <f>RevenueByClient16[[#This Row],[Net amount,
contract currency]]*RevenueByClient16[[#This Row],[Exchange
Rate £]]</f>
        <v>1677.2637909340001</v>
      </c>
      <c r="R85" s="11">
        <f>RevenueByClient16[[#This Row],[Tax amount, contract currency]]*RevenueByClient16[[#This Row],[Exchange
Rate £]]</f>
        <v>268.36220654943997</v>
      </c>
      <c r="S85" s="11">
        <f>SUM(RevenueByClient16[[#This Row],[Net amount, £]:[Tax amount, £]])</f>
        <v>1945.6259974834402</v>
      </c>
    </row>
    <row r="86" spans="1:19">
      <c r="A86" s="26" t="s">
        <v>178</v>
      </c>
      <c r="B86" s="30" t="s">
        <v>219</v>
      </c>
      <c r="C86" s="26" t="s">
        <v>179</v>
      </c>
      <c r="D86" t="s">
        <v>18</v>
      </c>
      <c r="E86">
        <v>486</v>
      </c>
      <c r="F86" s="2">
        <v>45257</v>
      </c>
      <c r="G86" s="5" t="str">
        <f>IF(RevenueByClient16[[#This Row],[Invoice No.]]=0,"Not invoiced","Invoiced")</f>
        <v>Invoiced</v>
      </c>
      <c r="H86" s="15">
        <v>45286</v>
      </c>
      <c r="I86" s="14" t="s">
        <v>37</v>
      </c>
      <c r="J86" s="2" t="str">
        <f t="shared" si="1"/>
        <v/>
      </c>
      <c r="K86" s="1" t="s">
        <v>7</v>
      </c>
      <c r="L86" s="17">
        <f>INDEX(Table2[[EUR]:[MXN]],MATCH(RevenueByClient16[[#This Row],[Invoice date/
Expected Invoice date]],Table2[Date],1),MATCH(RevenueByClient16[[#This Row],[Contract currency]],Table2[[#Headers],[EUR]:[MXN]],0))</f>
        <v>4.5698299999999997E-2</v>
      </c>
      <c r="M86" s="18">
        <v>36702.980000000003</v>
      </c>
      <c r="N86" s="27">
        <v>0.16</v>
      </c>
      <c r="O86" s="5">
        <f>RevenueByClient16[[#This Row],[Net amount,
contract currency]]*RevenueByClient16[[#This Row],[Sales Tax]]</f>
        <v>5872.4768000000004</v>
      </c>
      <c r="P86" s="5">
        <f>RevenueByClient16[[#This Row],[Net amount,
contract currency]]+RevenueByClient16[[#This Row],[Tax amount, contract currency]]</f>
        <v>42575.4568</v>
      </c>
      <c r="Q86" s="11">
        <f>RevenueByClient16[[#This Row],[Net amount,
contract currency]]*RevenueByClient16[[#This Row],[Exchange
Rate £]]</f>
        <v>1677.2637909340001</v>
      </c>
      <c r="R86" s="11">
        <f>RevenueByClient16[[#This Row],[Tax amount, contract currency]]*RevenueByClient16[[#This Row],[Exchange
Rate £]]</f>
        <v>268.36220654943997</v>
      </c>
      <c r="S86" s="11">
        <f>SUM(RevenueByClient16[[#This Row],[Net amount, £]:[Tax amount, £]])</f>
        <v>1945.6259974834402</v>
      </c>
    </row>
    <row r="87" spans="1:19">
      <c r="A87" s="26" t="s">
        <v>178</v>
      </c>
      <c r="B87" s="30" t="s">
        <v>219</v>
      </c>
      <c r="C87" s="26" t="s">
        <v>179</v>
      </c>
      <c r="D87" t="s">
        <v>19</v>
      </c>
      <c r="E87">
        <v>487</v>
      </c>
      <c r="F87" s="2">
        <v>45257</v>
      </c>
      <c r="G87" s="5" t="str">
        <f>IF(RevenueByClient16[[#This Row],[Invoice No.]]=0,"Not invoiced","Invoiced")</f>
        <v>Invoiced</v>
      </c>
      <c r="H87" s="15">
        <v>45286</v>
      </c>
      <c r="I87" s="14" t="s">
        <v>37</v>
      </c>
      <c r="J87" s="2" t="str">
        <f t="shared" si="1"/>
        <v/>
      </c>
      <c r="K87" s="1" t="s">
        <v>7</v>
      </c>
      <c r="L87" s="17">
        <f>INDEX(Table2[[EUR]:[MXN]],MATCH(RevenueByClient16[[#This Row],[Invoice date/
Expected Invoice date]],Table2[Date],1),MATCH(RevenueByClient16[[#This Row],[Contract currency]],Table2[[#Headers],[EUR]:[MXN]],0))</f>
        <v>4.5698299999999997E-2</v>
      </c>
      <c r="M87" s="18">
        <v>36702.980000000003</v>
      </c>
      <c r="N87" s="27">
        <v>0.16</v>
      </c>
      <c r="O87" s="5">
        <f>RevenueByClient16[[#This Row],[Net amount,
contract currency]]*RevenueByClient16[[#This Row],[Sales Tax]]</f>
        <v>5872.4768000000004</v>
      </c>
      <c r="P87" s="5">
        <f>RevenueByClient16[[#This Row],[Net amount,
contract currency]]+RevenueByClient16[[#This Row],[Tax amount, contract currency]]</f>
        <v>42575.4568</v>
      </c>
      <c r="Q87" s="11">
        <f>RevenueByClient16[[#This Row],[Net amount,
contract currency]]*RevenueByClient16[[#This Row],[Exchange
Rate £]]</f>
        <v>1677.2637909340001</v>
      </c>
      <c r="R87" s="11">
        <f>RevenueByClient16[[#This Row],[Tax amount, contract currency]]*RevenueByClient16[[#This Row],[Exchange
Rate £]]</f>
        <v>268.36220654943997</v>
      </c>
      <c r="S87" s="11">
        <f>SUM(RevenueByClient16[[#This Row],[Net amount, £]:[Tax amount, £]])</f>
        <v>1945.6259974834402</v>
      </c>
    </row>
    <row r="88" spans="1:19">
      <c r="A88" s="26" t="s">
        <v>178</v>
      </c>
      <c r="B88" s="30" t="s">
        <v>219</v>
      </c>
      <c r="C88" s="26" t="s">
        <v>179</v>
      </c>
      <c r="D88" t="s">
        <v>20</v>
      </c>
      <c r="E88">
        <v>488</v>
      </c>
      <c r="F88" s="2">
        <v>45257</v>
      </c>
      <c r="G88" s="5" t="str">
        <f>IF(RevenueByClient16[[#This Row],[Invoice No.]]=0,"Not invoiced","Invoiced")</f>
        <v>Invoiced</v>
      </c>
      <c r="H88" s="15">
        <v>45286</v>
      </c>
      <c r="I88" s="14" t="s">
        <v>37</v>
      </c>
      <c r="J88" s="2" t="str">
        <f t="shared" si="1"/>
        <v/>
      </c>
      <c r="K88" s="1" t="s">
        <v>7</v>
      </c>
      <c r="L88" s="17">
        <f>INDEX(Table2[[EUR]:[MXN]],MATCH(RevenueByClient16[[#This Row],[Invoice date/
Expected Invoice date]],Table2[Date],1),MATCH(RevenueByClient16[[#This Row],[Contract currency]],Table2[[#Headers],[EUR]:[MXN]],0))</f>
        <v>4.5698299999999997E-2</v>
      </c>
      <c r="M88" s="18">
        <v>36702.980000000003</v>
      </c>
      <c r="N88" s="27">
        <v>0.16</v>
      </c>
      <c r="O88" s="5">
        <f>RevenueByClient16[[#This Row],[Net amount,
contract currency]]*RevenueByClient16[[#This Row],[Sales Tax]]</f>
        <v>5872.4768000000004</v>
      </c>
      <c r="P88" s="5">
        <f>RevenueByClient16[[#This Row],[Net amount,
contract currency]]+RevenueByClient16[[#This Row],[Tax amount, contract currency]]</f>
        <v>42575.4568</v>
      </c>
      <c r="Q88" s="11">
        <f>RevenueByClient16[[#This Row],[Net amount,
contract currency]]*RevenueByClient16[[#This Row],[Exchange
Rate £]]</f>
        <v>1677.2637909340001</v>
      </c>
      <c r="R88" s="11">
        <f>RevenueByClient16[[#This Row],[Tax amount, contract currency]]*RevenueByClient16[[#This Row],[Exchange
Rate £]]</f>
        <v>268.36220654943997</v>
      </c>
      <c r="S88" s="11">
        <f>SUM(RevenueByClient16[[#This Row],[Net amount, £]:[Tax amount, £]])</f>
        <v>1945.6259974834402</v>
      </c>
    </row>
    <row r="89" spans="1:19">
      <c r="A89" s="26" t="s">
        <v>178</v>
      </c>
      <c r="B89" s="30" t="s">
        <v>219</v>
      </c>
      <c r="C89" s="26" t="s">
        <v>179</v>
      </c>
      <c r="D89" t="s">
        <v>21</v>
      </c>
      <c r="E89">
        <v>489</v>
      </c>
      <c r="F89" s="2">
        <v>45257</v>
      </c>
      <c r="G89" s="5" t="str">
        <f>IF(RevenueByClient16[[#This Row],[Invoice No.]]=0,"Not invoiced","Invoiced")</f>
        <v>Invoiced</v>
      </c>
      <c r="H89" s="15">
        <v>45286</v>
      </c>
      <c r="I89" s="14" t="s">
        <v>37</v>
      </c>
      <c r="J89" s="2" t="str">
        <f t="shared" si="1"/>
        <v/>
      </c>
      <c r="K89" s="1" t="s">
        <v>7</v>
      </c>
      <c r="L89" s="17">
        <f>INDEX(Table2[[EUR]:[MXN]],MATCH(RevenueByClient16[[#This Row],[Invoice date/
Expected Invoice date]],Table2[Date],1),MATCH(RevenueByClient16[[#This Row],[Contract currency]],Table2[[#Headers],[EUR]:[MXN]],0))</f>
        <v>4.5698299999999997E-2</v>
      </c>
      <c r="M89" s="18">
        <v>36702.980000000003</v>
      </c>
      <c r="N89" s="27">
        <v>0.16</v>
      </c>
      <c r="O89" s="5">
        <f>RevenueByClient16[[#This Row],[Net amount,
contract currency]]*RevenueByClient16[[#This Row],[Sales Tax]]</f>
        <v>5872.4768000000004</v>
      </c>
      <c r="P89" s="5">
        <f>RevenueByClient16[[#This Row],[Net amount,
contract currency]]+RevenueByClient16[[#This Row],[Tax amount, contract currency]]</f>
        <v>42575.4568</v>
      </c>
      <c r="Q89" s="11">
        <f>RevenueByClient16[[#This Row],[Net amount,
contract currency]]*RevenueByClient16[[#This Row],[Exchange
Rate £]]</f>
        <v>1677.2637909340001</v>
      </c>
      <c r="R89" s="11">
        <f>RevenueByClient16[[#This Row],[Tax amount, contract currency]]*RevenueByClient16[[#This Row],[Exchange
Rate £]]</f>
        <v>268.36220654943997</v>
      </c>
      <c r="S89" s="11">
        <f>SUM(RevenueByClient16[[#This Row],[Net amount, £]:[Tax amount, £]])</f>
        <v>1945.6259974834402</v>
      </c>
    </row>
    <row r="90" spans="1:19">
      <c r="A90" s="26" t="s">
        <v>178</v>
      </c>
      <c r="B90" s="30" t="s">
        <v>219</v>
      </c>
      <c r="C90" s="26" t="s">
        <v>179</v>
      </c>
      <c r="D90" t="s">
        <v>180</v>
      </c>
      <c r="E90">
        <v>490</v>
      </c>
      <c r="F90" s="2">
        <v>45257</v>
      </c>
      <c r="G90" s="5" t="str">
        <f>IF(RevenueByClient16[[#This Row],[Invoice No.]]=0,"Not invoiced","Invoiced")</f>
        <v>Invoiced</v>
      </c>
      <c r="H90" s="2">
        <f>RevenueByClient16[[#This Row],[Invoice date/
Expected Invoice date]]+30+20+20</f>
        <v>45327</v>
      </c>
      <c r="I90" s="14" t="s">
        <v>40</v>
      </c>
      <c r="J90" s="2" t="str">
        <f t="shared" si="1"/>
        <v>Delayed</v>
      </c>
      <c r="K90" s="1" t="s">
        <v>7</v>
      </c>
      <c r="L90" s="17">
        <f>INDEX(Table2[[EUR]:[MXN]],MATCH(RevenueByClient16[[#This Row],[Invoice date/
Expected Invoice date]],Table2[Date],1),MATCH(RevenueByClient16[[#This Row],[Contract currency]],Table2[[#Headers],[EUR]:[MXN]],0))</f>
        <v>4.5698299999999997E-2</v>
      </c>
      <c r="M90" s="18">
        <v>36702.980000000003</v>
      </c>
      <c r="N90" s="27">
        <v>0.16</v>
      </c>
      <c r="O90" s="5">
        <f>RevenueByClient16[[#This Row],[Net amount,
contract currency]]*RevenueByClient16[[#This Row],[Sales Tax]]</f>
        <v>5872.4768000000004</v>
      </c>
      <c r="P90" s="5">
        <f>RevenueByClient16[[#This Row],[Net amount,
contract currency]]+RevenueByClient16[[#This Row],[Tax amount, contract currency]]</f>
        <v>42575.4568</v>
      </c>
      <c r="Q90" s="11">
        <f>RevenueByClient16[[#This Row],[Net amount,
contract currency]]*RevenueByClient16[[#This Row],[Exchange
Rate £]]</f>
        <v>1677.2637909340001</v>
      </c>
      <c r="R90" s="11">
        <f>RevenueByClient16[[#This Row],[Tax amount, contract currency]]*RevenueByClient16[[#This Row],[Exchange
Rate £]]</f>
        <v>268.36220654943997</v>
      </c>
      <c r="S90" s="11">
        <f>SUM(RevenueByClient16[[#This Row],[Net amount, £]:[Tax amount, £]])</f>
        <v>1945.6259974834402</v>
      </c>
    </row>
    <row r="91" spans="1:19">
      <c r="A91" s="26" t="s">
        <v>178</v>
      </c>
      <c r="B91" s="30" t="s">
        <v>219</v>
      </c>
      <c r="C91" s="26" t="s">
        <v>179</v>
      </c>
      <c r="D91" t="s">
        <v>181</v>
      </c>
      <c r="E91">
        <v>491</v>
      </c>
      <c r="F91" s="2">
        <v>45257</v>
      </c>
      <c r="G91" s="5" t="str">
        <f>IF(RevenueByClient16[[#This Row],[Invoice No.]]=0,"Not invoiced","Invoiced")</f>
        <v>Invoiced</v>
      </c>
      <c r="H91" s="2">
        <f>RevenueByClient16[[#This Row],[Invoice date/
Expected Invoice date]]+30+20+20</f>
        <v>45327</v>
      </c>
      <c r="I91" s="14" t="s">
        <v>40</v>
      </c>
      <c r="J91" s="2" t="str">
        <f t="shared" si="1"/>
        <v>Delayed</v>
      </c>
      <c r="K91" s="1" t="s">
        <v>7</v>
      </c>
      <c r="L91" s="17">
        <f>INDEX(Table2[[EUR]:[MXN]],MATCH(RevenueByClient16[[#This Row],[Invoice date/
Expected Invoice date]],Table2[Date],1),MATCH(RevenueByClient16[[#This Row],[Contract currency]],Table2[[#Headers],[EUR]:[MXN]],0))</f>
        <v>4.5698299999999997E-2</v>
      </c>
      <c r="M91" s="18">
        <v>36702.980000000003</v>
      </c>
      <c r="N91" s="27">
        <v>0.16</v>
      </c>
      <c r="O91" s="5">
        <f>RevenueByClient16[[#This Row],[Net amount,
contract currency]]*RevenueByClient16[[#This Row],[Sales Tax]]</f>
        <v>5872.4768000000004</v>
      </c>
      <c r="P91" s="5">
        <f>RevenueByClient16[[#This Row],[Net amount,
contract currency]]+RevenueByClient16[[#This Row],[Tax amount, contract currency]]</f>
        <v>42575.4568</v>
      </c>
      <c r="Q91" s="11">
        <f>RevenueByClient16[[#This Row],[Net amount,
contract currency]]*RevenueByClient16[[#This Row],[Exchange
Rate £]]</f>
        <v>1677.2637909340001</v>
      </c>
      <c r="R91" s="11">
        <f>RevenueByClient16[[#This Row],[Tax amount, contract currency]]*RevenueByClient16[[#This Row],[Exchange
Rate £]]</f>
        <v>268.36220654943997</v>
      </c>
      <c r="S91" s="11">
        <f>SUM(RevenueByClient16[[#This Row],[Net amount, £]:[Tax amount, £]])</f>
        <v>1945.6259974834402</v>
      </c>
    </row>
    <row r="92" spans="1:19">
      <c r="A92" s="26" t="s">
        <v>178</v>
      </c>
      <c r="B92" s="30" t="s">
        <v>219</v>
      </c>
      <c r="C92" s="26" t="s">
        <v>179</v>
      </c>
      <c r="D92" t="s">
        <v>182</v>
      </c>
      <c r="E92">
        <v>492</v>
      </c>
      <c r="F92" s="2">
        <v>45257</v>
      </c>
      <c r="G92" s="5" t="str">
        <f>IF(RevenueByClient16[[#This Row],[Invoice No.]]=0,"Not invoiced","Invoiced")</f>
        <v>Invoiced</v>
      </c>
      <c r="H92" s="2">
        <f>RevenueByClient16[[#This Row],[Invoice date/
Expected Invoice date]]+30+20+20</f>
        <v>45327</v>
      </c>
      <c r="I92" s="14" t="s">
        <v>40</v>
      </c>
      <c r="J92" s="2" t="str">
        <f t="shared" si="1"/>
        <v>Delayed</v>
      </c>
      <c r="K92" s="1" t="s">
        <v>7</v>
      </c>
      <c r="L92" s="17">
        <f>INDEX(Table2[[EUR]:[MXN]],MATCH(RevenueByClient16[[#This Row],[Invoice date/
Expected Invoice date]],Table2[Date],1),MATCH(RevenueByClient16[[#This Row],[Contract currency]],Table2[[#Headers],[EUR]:[MXN]],0))</f>
        <v>4.5698299999999997E-2</v>
      </c>
      <c r="M92" s="18">
        <v>36702.980000000003</v>
      </c>
      <c r="N92" s="27">
        <v>0.16</v>
      </c>
      <c r="O92" s="5">
        <f>RevenueByClient16[[#This Row],[Net amount,
contract currency]]*RevenueByClient16[[#This Row],[Sales Tax]]</f>
        <v>5872.4768000000004</v>
      </c>
      <c r="P92" s="5">
        <f>RevenueByClient16[[#This Row],[Net amount,
contract currency]]+RevenueByClient16[[#This Row],[Tax amount, contract currency]]</f>
        <v>42575.4568</v>
      </c>
      <c r="Q92" s="11">
        <f>RevenueByClient16[[#This Row],[Net amount,
contract currency]]*RevenueByClient16[[#This Row],[Exchange
Rate £]]</f>
        <v>1677.2637909340001</v>
      </c>
      <c r="R92" s="11">
        <f>RevenueByClient16[[#This Row],[Tax amount, contract currency]]*RevenueByClient16[[#This Row],[Exchange
Rate £]]</f>
        <v>268.36220654943997</v>
      </c>
      <c r="S92" s="11">
        <f>SUM(RevenueByClient16[[#This Row],[Net amount, £]:[Tax amount, £]])</f>
        <v>1945.6259974834402</v>
      </c>
    </row>
    <row r="93" spans="1:19">
      <c r="A93" s="26" t="s">
        <v>178</v>
      </c>
      <c r="B93" s="30" t="s">
        <v>219</v>
      </c>
      <c r="C93" s="26" t="s">
        <v>179</v>
      </c>
      <c r="D93" t="s">
        <v>183</v>
      </c>
      <c r="E93">
        <v>0</v>
      </c>
      <c r="F93" s="2">
        <v>45316</v>
      </c>
      <c r="G93" s="5" t="str">
        <f>IF(RevenueByClient16[[#This Row],[Invoice No.]]=0,"Not invoiced","Invoiced")</f>
        <v>Not invoiced</v>
      </c>
      <c r="H93" s="2">
        <f>RevenueByClient16[[#This Row],[Invoice date/
Expected Invoice date]]+30</f>
        <v>45346</v>
      </c>
      <c r="I93" s="14" t="s">
        <v>40</v>
      </c>
      <c r="J93" s="2" t="str">
        <f t="shared" si="1"/>
        <v/>
      </c>
      <c r="K93" s="1" t="s">
        <v>7</v>
      </c>
      <c r="L93" s="17">
        <f>INDEX(Table2[[EUR]:[MXN]],MATCH(RevenueByClient16[[#This Row],[Invoice date/
Expected Invoice date]],Table2[Date],1),MATCH(RevenueByClient16[[#This Row],[Contract currency]],Table2[[#Headers],[EUR]:[MXN]],0))</f>
        <v>4.63147E-2</v>
      </c>
      <c r="M93" s="18">
        <v>18357.41</v>
      </c>
      <c r="N93" s="27">
        <v>0.16</v>
      </c>
      <c r="O93" s="5">
        <f>RevenueByClient16[[#This Row],[Net amount,
contract currency]]*RevenueByClient16[[#This Row],[Sales Tax]]</f>
        <v>2937.1856000000002</v>
      </c>
      <c r="P93" s="5">
        <f>RevenueByClient16[[#This Row],[Net amount,
contract currency]]+RevenueByClient16[[#This Row],[Tax amount, contract currency]]</f>
        <v>21294.595600000001</v>
      </c>
      <c r="Q93" s="11">
        <f>RevenueByClient16[[#This Row],[Net amount,
contract currency]]*RevenueByClient16[[#This Row],[Exchange
Rate £]]</f>
        <v>850.21793692699998</v>
      </c>
      <c r="R93" s="11">
        <f>RevenueByClient16[[#This Row],[Tax amount, contract currency]]*RevenueByClient16[[#This Row],[Exchange
Rate £]]</f>
        <v>136.03486990832002</v>
      </c>
      <c r="S93" s="11">
        <f>SUM(RevenueByClient16[[#This Row],[Net amount, £]:[Tax amount, £]])</f>
        <v>986.25280683532003</v>
      </c>
    </row>
    <row r="94" spans="1:19">
      <c r="A94" s="26" t="s">
        <v>178</v>
      </c>
      <c r="B94" s="30" t="s">
        <v>219</v>
      </c>
      <c r="C94" s="26" t="s">
        <v>179</v>
      </c>
      <c r="D94" t="s">
        <v>184</v>
      </c>
      <c r="E94">
        <v>0</v>
      </c>
      <c r="F94" s="2">
        <v>45316</v>
      </c>
      <c r="G94" s="5" t="str">
        <f>IF(RevenueByClient16[[#This Row],[Invoice No.]]=0,"Not invoiced","Invoiced")</f>
        <v>Not invoiced</v>
      </c>
      <c r="H94" s="2">
        <f>RevenueByClient16[[#This Row],[Invoice date/
Expected Invoice date]]+30</f>
        <v>45346</v>
      </c>
      <c r="I94" s="14" t="s">
        <v>40</v>
      </c>
      <c r="J94" s="2" t="str">
        <f t="shared" si="1"/>
        <v/>
      </c>
      <c r="K94" s="1" t="s">
        <v>7</v>
      </c>
      <c r="L94" s="17">
        <f>INDEX(Table2[[EUR]:[MXN]],MATCH(RevenueByClient16[[#This Row],[Invoice date/
Expected Invoice date]],Table2[Date],1),MATCH(RevenueByClient16[[#This Row],[Contract currency]],Table2[[#Headers],[EUR]:[MXN]],0))</f>
        <v>4.63147E-2</v>
      </c>
      <c r="M94" s="18">
        <v>18357.41</v>
      </c>
      <c r="N94" s="27">
        <v>0.16</v>
      </c>
      <c r="O94" s="5">
        <f>RevenueByClient16[[#This Row],[Net amount,
contract currency]]*RevenueByClient16[[#This Row],[Sales Tax]]</f>
        <v>2937.1856000000002</v>
      </c>
      <c r="P94" s="5">
        <f>RevenueByClient16[[#This Row],[Net amount,
contract currency]]+RevenueByClient16[[#This Row],[Tax amount, contract currency]]</f>
        <v>21294.595600000001</v>
      </c>
      <c r="Q94" s="11">
        <f>RevenueByClient16[[#This Row],[Net amount,
contract currency]]*RevenueByClient16[[#This Row],[Exchange
Rate £]]</f>
        <v>850.21793692699998</v>
      </c>
      <c r="R94" s="11">
        <f>RevenueByClient16[[#This Row],[Tax amount, contract currency]]*RevenueByClient16[[#This Row],[Exchange
Rate £]]</f>
        <v>136.03486990832002</v>
      </c>
      <c r="S94" s="11">
        <f>SUM(RevenueByClient16[[#This Row],[Net amount, £]:[Tax amount, £]])</f>
        <v>986.25280683532003</v>
      </c>
    </row>
    <row r="95" spans="1:19">
      <c r="A95" s="26" t="s">
        <v>178</v>
      </c>
      <c r="B95" s="30" t="s">
        <v>219</v>
      </c>
      <c r="C95" s="26" t="s">
        <v>179</v>
      </c>
      <c r="D95" t="s">
        <v>185</v>
      </c>
      <c r="E95">
        <v>0</v>
      </c>
      <c r="F95" s="2">
        <v>45316</v>
      </c>
      <c r="G95" s="5" t="str">
        <f>IF(RevenueByClient16[[#This Row],[Invoice No.]]=0,"Not invoiced","Invoiced")</f>
        <v>Not invoiced</v>
      </c>
      <c r="H95" s="2">
        <f>RevenueByClient16[[#This Row],[Invoice date/
Expected Invoice date]]+30</f>
        <v>45346</v>
      </c>
      <c r="I95" s="14" t="s">
        <v>40</v>
      </c>
      <c r="J95" s="2" t="str">
        <f t="shared" si="1"/>
        <v/>
      </c>
      <c r="K95" s="1" t="s">
        <v>7</v>
      </c>
      <c r="L95" s="17">
        <f>INDEX(Table2[[EUR]:[MXN]],MATCH(RevenueByClient16[[#This Row],[Invoice date/
Expected Invoice date]],Table2[Date],1),MATCH(RevenueByClient16[[#This Row],[Contract currency]],Table2[[#Headers],[EUR]:[MXN]],0))</f>
        <v>4.63147E-2</v>
      </c>
      <c r="M95" s="18">
        <v>18357.41</v>
      </c>
      <c r="N95" s="27">
        <v>0.16</v>
      </c>
      <c r="O95" s="5">
        <f>RevenueByClient16[[#This Row],[Net amount,
contract currency]]*RevenueByClient16[[#This Row],[Sales Tax]]</f>
        <v>2937.1856000000002</v>
      </c>
      <c r="P95" s="5">
        <f>RevenueByClient16[[#This Row],[Net amount,
contract currency]]+RevenueByClient16[[#This Row],[Tax amount, contract currency]]</f>
        <v>21294.595600000001</v>
      </c>
      <c r="Q95" s="11">
        <f>RevenueByClient16[[#This Row],[Net amount,
contract currency]]*RevenueByClient16[[#This Row],[Exchange
Rate £]]</f>
        <v>850.21793692699998</v>
      </c>
      <c r="R95" s="11">
        <f>RevenueByClient16[[#This Row],[Tax amount, contract currency]]*RevenueByClient16[[#This Row],[Exchange
Rate £]]</f>
        <v>136.03486990832002</v>
      </c>
      <c r="S95" s="11">
        <f>SUM(RevenueByClient16[[#This Row],[Net amount, £]:[Tax amount, £]])</f>
        <v>986.25280683532003</v>
      </c>
    </row>
    <row r="96" spans="1:19">
      <c r="A96" s="26" t="s">
        <v>178</v>
      </c>
      <c r="B96" s="30" t="s">
        <v>219</v>
      </c>
      <c r="C96" s="26" t="s">
        <v>179</v>
      </c>
      <c r="D96" t="s">
        <v>186</v>
      </c>
      <c r="E96">
        <v>0</v>
      </c>
      <c r="F96" s="2">
        <v>45316</v>
      </c>
      <c r="G96" s="5" t="str">
        <f>IF(RevenueByClient16[[#This Row],[Invoice No.]]=0,"Not invoiced","Invoiced")</f>
        <v>Not invoiced</v>
      </c>
      <c r="H96" s="2">
        <f>RevenueByClient16[[#This Row],[Invoice date/
Expected Invoice date]]+30</f>
        <v>45346</v>
      </c>
      <c r="I96" s="14" t="s">
        <v>40</v>
      </c>
      <c r="J96" s="2" t="str">
        <f t="shared" si="1"/>
        <v/>
      </c>
      <c r="K96" s="1" t="s">
        <v>7</v>
      </c>
      <c r="L96" s="17">
        <f>INDEX(Table2[[EUR]:[MXN]],MATCH(RevenueByClient16[[#This Row],[Invoice date/
Expected Invoice date]],Table2[Date],1),MATCH(RevenueByClient16[[#This Row],[Contract currency]],Table2[[#Headers],[EUR]:[MXN]],0))</f>
        <v>4.63147E-2</v>
      </c>
      <c r="M96" s="18">
        <v>18357.41</v>
      </c>
      <c r="N96" s="27">
        <v>0.16</v>
      </c>
      <c r="O96" s="5">
        <f>RevenueByClient16[[#This Row],[Net amount,
contract currency]]*RevenueByClient16[[#This Row],[Sales Tax]]</f>
        <v>2937.1856000000002</v>
      </c>
      <c r="P96" s="5">
        <f>RevenueByClient16[[#This Row],[Net amount,
contract currency]]+RevenueByClient16[[#This Row],[Tax amount, contract currency]]</f>
        <v>21294.595600000001</v>
      </c>
      <c r="Q96" s="11">
        <f>RevenueByClient16[[#This Row],[Net amount,
contract currency]]*RevenueByClient16[[#This Row],[Exchange
Rate £]]</f>
        <v>850.21793692699998</v>
      </c>
      <c r="R96" s="11">
        <f>RevenueByClient16[[#This Row],[Tax amount, contract currency]]*RevenueByClient16[[#This Row],[Exchange
Rate £]]</f>
        <v>136.03486990832002</v>
      </c>
      <c r="S96" s="11">
        <f>SUM(RevenueByClient16[[#This Row],[Net amount, £]:[Tax amount, £]])</f>
        <v>986.25280683532003</v>
      </c>
    </row>
    <row r="97" spans="1:19">
      <c r="A97" s="26" t="s">
        <v>178</v>
      </c>
      <c r="B97" s="30" t="s">
        <v>219</v>
      </c>
      <c r="C97" s="26" t="s">
        <v>179</v>
      </c>
      <c r="D97" t="s">
        <v>187</v>
      </c>
      <c r="E97">
        <v>0</v>
      </c>
      <c r="F97" s="2">
        <v>45316</v>
      </c>
      <c r="G97" s="5" t="str">
        <f>IF(RevenueByClient16[[#This Row],[Invoice No.]]=0,"Not invoiced","Invoiced")</f>
        <v>Not invoiced</v>
      </c>
      <c r="H97" s="2">
        <f>RevenueByClient16[[#This Row],[Invoice date/
Expected Invoice date]]+30</f>
        <v>45346</v>
      </c>
      <c r="I97" s="14" t="s">
        <v>40</v>
      </c>
      <c r="J97" s="2" t="str">
        <f t="shared" si="1"/>
        <v/>
      </c>
      <c r="K97" s="1" t="s">
        <v>7</v>
      </c>
      <c r="L97" s="17">
        <f>INDEX(Table2[[EUR]:[MXN]],MATCH(RevenueByClient16[[#This Row],[Invoice date/
Expected Invoice date]],Table2[Date],1),MATCH(RevenueByClient16[[#This Row],[Contract currency]],Table2[[#Headers],[EUR]:[MXN]],0))</f>
        <v>4.63147E-2</v>
      </c>
      <c r="M97" s="18">
        <v>18357.41</v>
      </c>
      <c r="N97" s="27">
        <v>0.16</v>
      </c>
      <c r="O97" s="5">
        <f>RevenueByClient16[[#This Row],[Net amount,
contract currency]]*RevenueByClient16[[#This Row],[Sales Tax]]</f>
        <v>2937.1856000000002</v>
      </c>
      <c r="P97" s="5">
        <f>RevenueByClient16[[#This Row],[Net amount,
contract currency]]+RevenueByClient16[[#This Row],[Tax amount, contract currency]]</f>
        <v>21294.595600000001</v>
      </c>
      <c r="Q97" s="11">
        <f>RevenueByClient16[[#This Row],[Net amount,
contract currency]]*RevenueByClient16[[#This Row],[Exchange
Rate £]]</f>
        <v>850.21793692699998</v>
      </c>
      <c r="R97" s="11">
        <f>RevenueByClient16[[#This Row],[Tax amount, contract currency]]*RevenueByClient16[[#This Row],[Exchange
Rate £]]</f>
        <v>136.03486990832002</v>
      </c>
      <c r="S97" s="11">
        <f>SUM(RevenueByClient16[[#This Row],[Net amount, £]:[Tax amount, £]])</f>
        <v>986.25280683532003</v>
      </c>
    </row>
    <row r="98" spans="1:19">
      <c r="A98" s="26" t="s">
        <v>178</v>
      </c>
      <c r="B98" s="30" t="s">
        <v>219</v>
      </c>
      <c r="C98" s="26" t="s">
        <v>179</v>
      </c>
      <c r="D98" t="s">
        <v>188</v>
      </c>
      <c r="E98">
        <v>0</v>
      </c>
      <c r="F98" s="2">
        <v>45316</v>
      </c>
      <c r="G98" s="5" t="str">
        <f>IF(RevenueByClient16[[#This Row],[Invoice No.]]=0,"Not invoiced","Invoiced")</f>
        <v>Not invoiced</v>
      </c>
      <c r="H98" s="2">
        <f>RevenueByClient16[[#This Row],[Invoice date/
Expected Invoice date]]+30</f>
        <v>45346</v>
      </c>
      <c r="I98" s="14" t="s">
        <v>40</v>
      </c>
      <c r="J98" s="2" t="str">
        <f t="shared" si="1"/>
        <v/>
      </c>
      <c r="K98" s="1" t="s">
        <v>7</v>
      </c>
      <c r="L98" s="17">
        <f>INDEX(Table2[[EUR]:[MXN]],MATCH(RevenueByClient16[[#This Row],[Invoice date/
Expected Invoice date]],Table2[Date],1),MATCH(RevenueByClient16[[#This Row],[Contract currency]],Table2[[#Headers],[EUR]:[MXN]],0))</f>
        <v>4.63147E-2</v>
      </c>
      <c r="M98" s="18">
        <v>18357.41</v>
      </c>
      <c r="N98" s="27">
        <v>0.16</v>
      </c>
      <c r="O98" s="5">
        <f>RevenueByClient16[[#This Row],[Net amount,
contract currency]]*RevenueByClient16[[#This Row],[Sales Tax]]</f>
        <v>2937.1856000000002</v>
      </c>
      <c r="P98" s="5">
        <f>RevenueByClient16[[#This Row],[Net amount,
contract currency]]+RevenueByClient16[[#This Row],[Tax amount, contract currency]]</f>
        <v>21294.595600000001</v>
      </c>
      <c r="Q98" s="11">
        <f>RevenueByClient16[[#This Row],[Net amount,
contract currency]]*RevenueByClient16[[#This Row],[Exchange
Rate £]]</f>
        <v>850.21793692699998</v>
      </c>
      <c r="R98" s="11">
        <f>RevenueByClient16[[#This Row],[Tax amount, contract currency]]*RevenueByClient16[[#This Row],[Exchange
Rate £]]</f>
        <v>136.03486990832002</v>
      </c>
      <c r="S98" s="11">
        <f>SUM(RevenueByClient16[[#This Row],[Net amount, £]:[Tax amount, £]])</f>
        <v>986.25280683532003</v>
      </c>
    </row>
    <row r="99" spans="1:19">
      <c r="A99" s="26" t="s">
        <v>178</v>
      </c>
      <c r="B99" s="30" t="s">
        <v>219</v>
      </c>
      <c r="C99" s="26" t="s">
        <v>179</v>
      </c>
      <c r="D99" t="s">
        <v>189</v>
      </c>
      <c r="E99">
        <v>0</v>
      </c>
      <c r="F99" s="2">
        <v>45316</v>
      </c>
      <c r="G99" s="5" t="str">
        <f>IF(RevenueByClient16[[#This Row],[Invoice No.]]=0,"Not invoiced","Invoiced")</f>
        <v>Not invoiced</v>
      </c>
      <c r="H99" s="2">
        <f>RevenueByClient16[[#This Row],[Invoice date/
Expected Invoice date]]+30</f>
        <v>45346</v>
      </c>
      <c r="I99" s="14" t="s">
        <v>40</v>
      </c>
      <c r="J99" s="2" t="str">
        <f t="shared" si="1"/>
        <v/>
      </c>
      <c r="K99" s="1" t="s">
        <v>7</v>
      </c>
      <c r="L99" s="17">
        <f>INDEX(Table2[[EUR]:[MXN]],MATCH(RevenueByClient16[[#This Row],[Invoice date/
Expected Invoice date]],Table2[Date],1),MATCH(RevenueByClient16[[#This Row],[Contract currency]],Table2[[#Headers],[EUR]:[MXN]],0))</f>
        <v>4.63147E-2</v>
      </c>
      <c r="M99" s="18">
        <v>18357.41</v>
      </c>
      <c r="N99" s="27">
        <v>0.16</v>
      </c>
      <c r="O99" s="5">
        <f>RevenueByClient16[[#This Row],[Net amount,
contract currency]]*RevenueByClient16[[#This Row],[Sales Tax]]</f>
        <v>2937.1856000000002</v>
      </c>
      <c r="P99" s="5">
        <f>RevenueByClient16[[#This Row],[Net amount,
contract currency]]+RevenueByClient16[[#This Row],[Tax amount, contract currency]]</f>
        <v>21294.595600000001</v>
      </c>
      <c r="Q99" s="11">
        <f>RevenueByClient16[[#This Row],[Net amount,
contract currency]]*RevenueByClient16[[#This Row],[Exchange
Rate £]]</f>
        <v>850.21793692699998</v>
      </c>
      <c r="R99" s="11">
        <f>RevenueByClient16[[#This Row],[Tax amount, contract currency]]*RevenueByClient16[[#This Row],[Exchange
Rate £]]</f>
        <v>136.03486990832002</v>
      </c>
      <c r="S99" s="11">
        <f>SUM(RevenueByClient16[[#This Row],[Net amount, £]:[Tax amount, £]])</f>
        <v>986.25280683532003</v>
      </c>
    </row>
    <row r="100" spans="1:19">
      <c r="A100" s="26" t="s">
        <v>178</v>
      </c>
      <c r="B100" s="30" t="s">
        <v>219</v>
      </c>
      <c r="C100" s="26" t="s">
        <v>179</v>
      </c>
      <c r="D100" t="s">
        <v>190</v>
      </c>
      <c r="E100">
        <v>0</v>
      </c>
      <c r="F100" s="2">
        <v>45316</v>
      </c>
      <c r="G100" s="5" t="str">
        <f>IF(RevenueByClient16[[#This Row],[Invoice No.]]=0,"Not invoiced","Invoiced")</f>
        <v>Not invoiced</v>
      </c>
      <c r="H100" s="2">
        <f>RevenueByClient16[[#This Row],[Invoice date/
Expected Invoice date]]+30</f>
        <v>45346</v>
      </c>
      <c r="I100" s="14" t="s">
        <v>40</v>
      </c>
      <c r="J100" s="2" t="str">
        <f t="shared" si="1"/>
        <v/>
      </c>
      <c r="K100" s="1" t="s">
        <v>7</v>
      </c>
      <c r="L100" s="17">
        <f>INDEX(Table2[[EUR]:[MXN]],MATCH(RevenueByClient16[[#This Row],[Invoice date/
Expected Invoice date]],Table2[Date],1),MATCH(RevenueByClient16[[#This Row],[Contract currency]],Table2[[#Headers],[EUR]:[MXN]],0))</f>
        <v>4.63147E-2</v>
      </c>
      <c r="M100" s="18">
        <v>18357.41</v>
      </c>
      <c r="N100" s="27">
        <v>0.16</v>
      </c>
      <c r="O100" s="5">
        <f>RevenueByClient16[[#This Row],[Net amount,
contract currency]]*RevenueByClient16[[#This Row],[Sales Tax]]</f>
        <v>2937.1856000000002</v>
      </c>
      <c r="P100" s="5">
        <f>RevenueByClient16[[#This Row],[Net amount,
contract currency]]+RevenueByClient16[[#This Row],[Tax amount, contract currency]]</f>
        <v>21294.595600000001</v>
      </c>
      <c r="Q100" s="11">
        <f>RevenueByClient16[[#This Row],[Net amount,
contract currency]]*RevenueByClient16[[#This Row],[Exchange
Rate £]]</f>
        <v>850.21793692699998</v>
      </c>
      <c r="R100" s="11">
        <f>RevenueByClient16[[#This Row],[Tax amount, contract currency]]*RevenueByClient16[[#This Row],[Exchange
Rate £]]</f>
        <v>136.03486990832002</v>
      </c>
      <c r="S100" s="11">
        <f>SUM(RevenueByClient16[[#This Row],[Net amount, £]:[Tax amount, £]])</f>
        <v>986.25280683532003</v>
      </c>
    </row>
    <row r="101" spans="1:19">
      <c r="A101" s="26" t="s">
        <v>178</v>
      </c>
      <c r="B101" s="30" t="s">
        <v>219</v>
      </c>
      <c r="C101" s="26" t="s">
        <v>179</v>
      </c>
      <c r="D101" t="s">
        <v>191</v>
      </c>
      <c r="E101">
        <v>0</v>
      </c>
      <c r="F101" s="2">
        <v>45380</v>
      </c>
      <c r="G101" s="5" t="str">
        <f>IF(RevenueByClient16[[#This Row],[Invoice No.]]=0,"Not invoiced","Invoiced")</f>
        <v>Not invoiced</v>
      </c>
      <c r="H101" s="2">
        <f>RevenueByClient16[[#This Row],[Invoice date/
Expected Invoice date]]+30</f>
        <v>45410</v>
      </c>
      <c r="I101" s="14" t="s">
        <v>40</v>
      </c>
      <c r="J101" s="2" t="str">
        <f t="shared" si="1"/>
        <v/>
      </c>
      <c r="K101" s="1" t="s">
        <v>7</v>
      </c>
      <c r="L101" s="17">
        <f>INDEX(Table2[[EUR]:[MXN]],MATCH(RevenueByClient16[[#This Row],[Invoice date/
Expected Invoice date]],Table2[Date],1),MATCH(RevenueByClient16[[#This Row],[Contract currency]],Table2[[#Headers],[EUR]:[MXN]],0))</f>
        <v>4.63147E-2</v>
      </c>
      <c r="M101" s="18">
        <v>36702.980000000003</v>
      </c>
      <c r="N101" s="27">
        <v>0.16</v>
      </c>
      <c r="O101" s="5">
        <f>RevenueByClient16[[#This Row],[Net amount,
contract currency]]*RevenueByClient16[[#This Row],[Sales Tax]]</f>
        <v>5872.4768000000004</v>
      </c>
      <c r="P101" s="5">
        <f>RevenueByClient16[[#This Row],[Net amount,
contract currency]]+RevenueByClient16[[#This Row],[Tax amount, contract currency]]</f>
        <v>42575.4568</v>
      </c>
      <c r="Q101" s="11">
        <f>RevenueByClient16[[#This Row],[Net amount,
contract currency]]*RevenueByClient16[[#This Row],[Exchange
Rate £]]</f>
        <v>1699.8875078060003</v>
      </c>
      <c r="R101" s="11">
        <f>RevenueByClient16[[#This Row],[Tax amount, contract currency]]*RevenueByClient16[[#This Row],[Exchange
Rate £]]</f>
        <v>271.98200124896005</v>
      </c>
      <c r="S101" s="11">
        <f>SUM(RevenueByClient16[[#This Row],[Net amount, £]:[Tax amount, £]])</f>
        <v>1971.8695090549604</v>
      </c>
    </row>
    <row r="102" spans="1:19">
      <c r="A102" s="26" t="s">
        <v>178</v>
      </c>
      <c r="B102" s="30" t="s">
        <v>219</v>
      </c>
      <c r="C102" s="26" t="s">
        <v>179</v>
      </c>
      <c r="D102" t="s">
        <v>192</v>
      </c>
      <c r="E102">
        <v>0</v>
      </c>
      <c r="F102" s="2">
        <v>45380</v>
      </c>
      <c r="G102" s="5" t="str">
        <f>IF(RevenueByClient16[[#This Row],[Invoice No.]]=0,"Not invoiced","Invoiced")</f>
        <v>Not invoiced</v>
      </c>
      <c r="H102" s="2">
        <f>RevenueByClient16[[#This Row],[Invoice date/
Expected Invoice date]]+30</f>
        <v>45410</v>
      </c>
      <c r="I102" s="14" t="s">
        <v>40</v>
      </c>
      <c r="J102" s="2" t="str">
        <f t="shared" si="1"/>
        <v/>
      </c>
      <c r="K102" s="1" t="s">
        <v>7</v>
      </c>
      <c r="L102" s="17">
        <f>INDEX(Table2[[EUR]:[MXN]],MATCH(RevenueByClient16[[#This Row],[Invoice date/
Expected Invoice date]],Table2[Date],1),MATCH(RevenueByClient16[[#This Row],[Contract currency]],Table2[[#Headers],[EUR]:[MXN]],0))</f>
        <v>4.63147E-2</v>
      </c>
      <c r="M102" s="18">
        <v>36702.980000000003</v>
      </c>
      <c r="N102" s="27">
        <v>0.16</v>
      </c>
      <c r="O102" s="5">
        <f>RevenueByClient16[[#This Row],[Net amount,
contract currency]]*RevenueByClient16[[#This Row],[Sales Tax]]</f>
        <v>5872.4768000000004</v>
      </c>
      <c r="P102" s="5">
        <f>RevenueByClient16[[#This Row],[Net amount,
contract currency]]+RevenueByClient16[[#This Row],[Tax amount, contract currency]]</f>
        <v>42575.4568</v>
      </c>
      <c r="Q102" s="11">
        <f>RevenueByClient16[[#This Row],[Net amount,
contract currency]]*RevenueByClient16[[#This Row],[Exchange
Rate £]]</f>
        <v>1699.8875078060003</v>
      </c>
      <c r="R102" s="11">
        <f>RevenueByClient16[[#This Row],[Tax amount, contract currency]]*RevenueByClient16[[#This Row],[Exchange
Rate £]]</f>
        <v>271.98200124896005</v>
      </c>
      <c r="S102" s="11">
        <f>SUM(RevenueByClient16[[#This Row],[Net amount, £]:[Tax amount, £]])</f>
        <v>1971.8695090549604</v>
      </c>
    </row>
    <row r="103" spans="1:19">
      <c r="A103" s="26" t="s">
        <v>178</v>
      </c>
      <c r="B103" s="30" t="s">
        <v>219</v>
      </c>
      <c r="C103" s="26" t="s">
        <v>179</v>
      </c>
      <c r="D103" t="s">
        <v>193</v>
      </c>
      <c r="E103">
        <v>0</v>
      </c>
      <c r="F103" s="2">
        <v>45380</v>
      </c>
      <c r="G103" s="5" t="str">
        <f>IF(RevenueByClient16[[#This Row],[Invoice No.]]=0,"Not invoiced","Invoiced")</f>
        <v>Not invoiced</v>
      </c>
      <c r="H103" s="2">
        <f>RevenueByClient16[[#This Row],[Invoice date/
Expected Invoice date]]+30</f>
        <v>45410</v>
      </c>
      <c r="I103" s="14" t="s">
        <v>40</v>
      </c>
      <c r="J103" s="2" t="str">
        <f t="shared" si="1"/>
        <v/>
      </c>
      <c r="K103" s="1" t="s">
        <v>7</v>
      </c>
      <c r="L103" s="17">
        <f>INDEX(Table2[[EUR]:[MXN]],MATCH(RevenueByClient16[[#This Row],[Invoice date/
Expected Invoice date]],Table2[Date],1),MATCH(RevenueByClient16[[#This Row],[Contract currency]],Table2[[#Headers],[EUR]:[MXN]],0))</f>
        <v>4.63147E-2</v>
      </c>
      <c r="M103" s="18">
        <v>36702.980000000003</v>
      </c>
      <c r="N103" s="27">
        <v>0.16</v>
      </c>
      <c r="O103" s="5">
        <f>RevenueByClient16[[#This Row],[Net amount,
contract currency]]*RevenueByClient16[[#This Row],[Sales Tax]]</f>
        <v>5872.4768000000004</v>
      </c>
      <c r="P103" s="5">
        <f>RevenueByClient16[[#This Row],[Net amount,
contract currency]]+RevenueByClient16[[#This Row],[Tax amount, contract currency]]</f>
        <v>42575.4568</v>
      </c>
      <c r="Q103" s="11">
        <f>RevenueByClient16[[#This Row],[Net amount,
contract currency]]*RevenueByClient16[[#This Row],[Exchange
Rate £]]</f>
        <v>1699.8875078060003</v>
      </c>
      <c r="R103" s="11">
        <f>RevenueByClient16[[#This Row],[Tax amount, contract currency]]*RevenueByClient16[[#This Row],[Exchange
Rate £]]</f>
        <v>271.98200124896005</v>
      </c>
      <c r="S103" s="11">
        <f>SUM(RevenueByClient16[[#This Row],[Net amount, £]:[Tax amount, £]])</f>
        <v>1971.8695090549604</v>
      </c>
    </row>
    <row r="104" spans="1:19">
      <c r="A104" s="26" t="s">
        <v>178</v>
      </c>
      <c r="B104" s="30" t="s">
        <v>219</v>
      </c>
      <c r="C104" s="26" t="s">
        <v>179</v>
      </c>
      <c r="D104" t="s">
        <v>194</v>
      </c>
      <c r="E104">
        <v>0</v>
      </c>
      <c r="F104" s="2">
        <v>45380</v>
      </c>
      <c r="G104" s="5" t="str">
        <f>IF(RevenueByClient16[[#This Row],[Invoice No.]]=0,"Not invoiced","Invoiced")</f>
        <v>Not invoiced</v>
      </c>
      <c r="H104" s="2">
        <f>RevenueByClient16[[#This Row],[Invoice date/
Expected Invoice date]]+30</f>
        <v>45410</v>
      </c>
      <c r="I104" s="14" t="s">
        <v>40</v>
      </c>
      <c r="J104" s="2" t="str">
        <f t="shared" si="1"/>
        <v/>
      </c>
      <c r="K104" s="1" t="s">
        <v>7</v>
      </c>
      <c r="L104" s="17">
        <f>INDEX(Table2[[EUR]:[MXN]],MATCH(RevenueByClient16[[#This Row],[Invoice date/
Expected Invoice date]],Table2[Date],1),MATCH(RevenueByClient16[[#This Row],[Contract currency]],Table2[[#Headers],[EUR]:[MXN]],0))</f>
        <v>4.63147E-2</v>
      </c>
      <c r="M104" s="18">
        <v>36702.980000000003</v>
      </c>
      <c r="N104" s="27">
        <v>0.16</v>
      </c>
      <c r="O104" s="5">
        <f>RevenueByClient16[[#This Row],[Net amount,
contract currency]]*RevenueByClient16[[#This Row],[Sales Tax]]</f>
        <v>5872.4768000000004</v>
      </c>
      <c r="P104" s="5">
        <f>RevenueByClient16[[#This Row],[Net amount,
contract currency]]+RevenueByClient16[[#This Row],[Tax amount, contract currency]]</f>
        <v>42575.4568</v>
      </c>
      <c r="Q104" s="11">
        <f>RevenueByClient16[[#This Row],[Net amount,
contract currency]]*RevenueByClient16[[#This Row],[Exchange
Rate £]]</f>
        <v>1699.8875078060003</v>
      </c>
      <c r="R104" s="11">
        <f>RevenueByClient16[[#This Row],[Tax amount, contract currency]]*RevenueByClient16[[#This Row],[Exchange
Rate £]]</f>
        <v>271.98200124896005</v>
      </c>
      <c r="S104" s="11">
        <f>SUM(RevenueByClient16[[#This Row],[Net amount, £]:[Tax amount, £]])</f>
        <v>1971.8695090549604</v>
      </c>
    </row>
    <row r="105" spans="1:19">
      <c r="A105" s="26" t="s">
        <v>178</v>
      </c>
      <c r="B105" s="30" t="s">
        <v>219</v>
      </c>
      <c r="C105" s="26" t="s">
        <v>179</v>
      </c>
      <c r="D105" t="s">
        <v>195</v>
      </c>
      <c r="E105">
        <v>0</v>
      </c>
      <c r="F105" s="2">
        <v>45380</v>
      </c>
      <c r="G105" s="5" t="str">
        <f>IF(RevenueByClient16[[#This Row],[Invoice No.]]=0,"Not invoiced","Invoiced")</f>
        <v>Not invoiced</v>
      </c>
      <c r="H105" s="2">
        <f>RevenueByClient16[[#This Row],[Invoice date/
Expected Invoice date]]+30</f>
        <v>45410</v>
      </c>
      <c r="I105" s="14" t="s">
        <v>40</v>
      </c>
      <c r="J105" s="2" t="str">
        <f t="shared" si="1"/>
        <v/>
      </c>
      <c r="K105" s="1" t="s">
        <v>7</v>
      </c>
      <c r="L105" s="17">
        <f>INDEX(Table2[[EUR]:[MXN]],MATCH(RevenueByClient16[[#This Row],[Invoice date/
Expected Invoice date]],Table2[Date],1),MATCH(RevenueByClient16[[#This Row],[Contract currency]],Table2[[#Headers],[EUR]:[MXN]],0))</f>
        <v>4.63147E-2</v>
      </c>
      <c r="M105" s="18">
        <v>36702.980000000003</v>
      </c>
      <c r="N105" s="27">
        <v>0.16</v>
      </c>
      <c r="O105" s="5">
        <f>RevenueByClient16[[#This Row],[Net amount,
contract currency]]*RevenueByClient16[[#This Row],[Sales Tax]]</f>
        <v>5872.4768000000004</v>
      </c>
      <c r="P105" s="5">
        <f>RevenueByClient16[[#This Row],[Net amount,
contract currency]]+RevenueByClient16[[#This Row],[Tax amount, contract currency]]</f>
        <v>42575.4568</v>
      </c>
      <c r="Q105" s="11">
        <f>RevenueByClient16[[#This Row],[Net amount,
contract currency]]*RevenueByClient16[[#This Row],[Exchange
Rate £]]</f>
        <v>1699.8875078060003</v>
      </c>
      <c r="R105" s="11">
        <f>RevenueByClient16[[#This Row],[Tax amount, contract currency]]*RevenueByClient16[[#This Row],[Exchange
Rate £]]</f>
        <v>271.98200124896005</v>
      </c>
      <c r="S105" s="11">
        <f>SUM(RevenueByClient16[[#This Row],[Net amount, £]:[Tax amount, £]])</f>
        <v>1971.8695090549604</v>
      </c>
    </row>
    <row r="106" spans="1:19">
      <c r="A106" s="26" t="s">
        <v>178</v>
      </c>
      <c r="B106" s="30" t="s">
        <v>219</v>
      </c>
      <c r="C106" s="26" t="s">
        <v>179</v>
      </c>
      <c r="D106" t="s">
        <v>196</v>
      </c>
      <c r="E106">
        <v>0</v>
      </c>
      <c r="F106" s="2">
        <v>45380</v>
      </c>
      <c r="G106" s="5" t="str">
        <f>IF(RevenueByClient16[[#This Row],[Invoice No.]]=0,"Not invoiced","Invoiced")</f>
        <v>Not invoiced</v>
      </c>
      <c r="H106" s="2">
        <f>RevenueByClient16[[#This Row],[Invoice date/
Expected Invoice date]]+30</f>
        <v>45410</v>
      </c>
      <c r="I106" s="14" t="s">
        <v>40</v>
      </c>
      <c r="J106" s="2" t="str">
        <f t="shared" si="1"/>
        <v/>
      </c>
      <c r="K106" s="1" t="s">
        <v>7</v>
      </c>
      <c r="L106" s="17">
        <f>INDEX(Table2[[EUR]:[MXN]],MATCH(RevenueByClient16[[#This Row],[Invoice date/
Expected Invoice date]],Table2[Date],1),MATCH(RevenueByClient16[[#This Row],[Contract currency]],Table2[[#Headers],[EUR]:[MXN]],0))</f>
        <v>4.63147E-2</v>
      </c>
      <c r="M106" s="18">
        <v>36702.980000000003</v>
      </c>
      <c r="N106" s="27">
        <v>0.16</v>
      </c>
      <c r="O106" s="5">
        <f>RevenueByClient16[[#This Row],[Net amount,
contract currency]]*RevenueByClient16[[#This Row],[Sales Tax]]</f>
        <v>5872.4768000000004</v>
      </c>
      <c r="P106" s="5">
        <f>RevenueByClient16[[#This Row],[Net amount,
contract currency]]+RevenueByClient16[[#This Row],[Tax amount, contract currency]]</f>
        <v>42575.4568</v>
      </c>
      <c r="Q106" s="11">
        <f>RevenueByClient16[[#This Row],[Net amount,
contract currency]]*RevenueByClient16[[#This Row],[Exchange
Rate £]]</f>
        <v>1699.8875078060003</v>
      </c>
      <c r="R106" s="11">
        <f>RevenueByClient16[[#This Row],[Tax amount, contract currency]]*RevenueByClient16[[#This Row],[Exchange
Rate £]]</f>
        <v>271.98200124896005</v>
      </c>
      <c r="S106" s="11">
        <f>SUM(RevenueByClient16[[#This Row],[Net amount, £]:[Tax amount, £]])</f>
        <v>1971.8695090549604</v>
      </c>
    </row>
    <row r="107" spans="1:19">
      <c r="A107" s="26" t="s">
        <v>178</v>
      </c>
      <c r="B107" s="30" t="s">
        <v>219</v>
      </c>
      <c r="C107" s="26" t="s">
        <v>179</v>
      </c>
      <c r="D107" t="s">
        <v>197</v>
      </c>
      <c r="E107">
        <v>0</v>
      </c>
      <c r="F107" s="2">
        <v>45380</v>
      </c>
      <c r="G107" s="5" t="str">
        <f>IF(RevenueByClient16[[#This Row],[Invoice No.]]=0,"Not invoiced","Invoiced")</f>
        <v>Not invoiced</v>
      </c>
      <c r="H107" s="2">
        <f>RevenueByClient16[[#This Row],[Invoice date/
Expected Invoice date]]+30</f>
        <v>45410</v>
      </c>
      <c r="I107" s="14" t="s">
        <v>40</v>
      </c>
      <c r="J107" s="2" t="str">
        <f t="shared" si="1"/>
        <v/>
      </c>
      <c r="K107" s="1" t="s">
        <v>7</v>
      </c>
      <c r="L107" s="17">
        <f>INDEX(Table2[[EUR]:[MXN]],MATCH(RevenueByClient16[[#This Row],[Invoice date/
Expected Invoice date]],Table2[Date],1),MATCH(RevenueByClient16[[#This Row],[Contract currency]],Table2[[#Headers],[EUR]:[MXN]],0))</f>
        <v>4.63147E-2</v>
      </c>
      <c r="M107" s="18">
        <v>36702.980000000003</v>
      </c>
      <c r="N107" s="27">
        <v>0.16</v>
      </c>
      <c r="O107" s="5">
        <f>RevenueByClient16[[#This Row],[Net amount,
contract currency]]*RevenueByClient16[[#This Row],[Sales Tax]]</f>
        <v>5872.4768000000004</v>
      </c>
      <c r="P107" s="5">
        <f>RevenueByClient16[[#This Row],[Net amount,
contract currency]]+RevenueByClient16[[#This Row],[Tax amount, contract currency]]</f>
        <v>42575.4568</v>
      </c>
      <c r="Q107" s="11">
        <f>RevenueByClient16[[#This Row],[Net amount,
contract currency]]*RevenueByClient16[[#This Row],[Exchange
Rate £]]</f>
        <v>1699.8875078060003</v>
      </c>
      <c r="R107" s="11">
        <f>RevenueByClient16[[#This Row],[Tax amount, contract currency]]*RevenueByClient16[[#This Row],[Exchange
Rate £]]</f>
        <v>271.98200124896005</v>
      </c>
      <c r="S107" s="11">
        <f>SUM(RevenueByClient16[[#This Row],[Net amount, £]:[Tax amount, £]])</f>
        <v>1971.8695090549604</v>
      </c>
    </row>
    <row r="108" spans="1:19">
      <c r="A108" s="26" t="s">
        <v>178</v>
      </c>
      <c r="B108" s="30" t="s">
        <v>219</v>
      </c>
      <c r="C108" s="26" t="s">
        <v>179</v>
      </c>
      <c r="D108" t="s">
        <v>198</v>
      </c>
      <c r="E108">
        <v>0</v>
      </c>
      <c r="F108" s="2">
        <v>45380</v>
      </c>
      <c r="G108" s="5" t="str">
        <f>IF(RevenueByClient16[[#This Row],[Invoice No.]]=0,"Not invoiced","Invoiced")</f>
        <v>Not invoiced</v>
      </c>
      <c r="H108" s="2">
        <f>RevenueByClient16[[#This Row],[Invoice date/
Expected Invoice date]]+30</f>
        <v>45410</v>
      </c>
      <c r="I108" s="14" t="s">
        <v>40</v>
      </c>
      <c r="J108" s="2" t="str">
        <f t="shared" si="1"/>
        <v/>
      </c>
      <c r="K108" s="1" t="s">
        <v>7</v>
      </c>
      <c r="L108" s="17">
        <f>INDEX(Table2[[EUR]:[MXN]],MATCH(RevenueByClient16[[#This Row],[Invoice date/
Expected Invoice date]],Table2[Date],1),MATCH(RevenueByClient16[[#This Row],[Contract currency]],Table2[[#Headers],[EUR]:[MXN]],0))</f>
        <v>4.63147E-2</v>
      </c>
      <c r="M108" s="18">
        <v>36702.980000000003</v>
      </c>
      <c r="N108" s="27">
        <v>0.16</v>
      </c>
      <c r="O108" s="5">
        <f>RevenueByClient16[[#This Row],[Net amount,
contract currency]]*RevenueByClient16[[#This Row],[Sales Tax]]</f>
        <v>5872.4768000000004</v>
      </c>
      <c r="P108" s="5">
        <f>RevenueByClient16[[#This Row],[Net amount,
contract currency]]+RevenueByClient16[[#This Row],[Tax amount, contract currency]]</f>
        <v>42575.4568</v>
      </c>
      <c r="Q108" s="11">
        <f>RevenueByClient16[[#This Row],[Net amount,
contract currency]]*RevenueByClient16[[#This Row],[Exchange
Rate £]]</f>
        <v>1699.8875078060003</v>
      </c>
      <c r="R108" s="11">
        <f>RevenueByClient16[[#This Row],[Tax amount, contract currency]]*RevenueByClient16[[#This Row],[Exchange
Rate £]]</f>
        <v>271.98200124896005</v>
      </c>
      <c r="S108" s="11">
        <f>SUM(RevenueByClient16[[#This Row],[Net amount, £]:[Tax amount, £]])</f>
        <v>1971.8695090549604</v>
      </c>
    </row>
    <row r="109" spans="1:19">
      <c r="A109" s="28" t="s">
        <v>199</v>
      </c>
      <c r="B109" s="30" t="s">
        <v>218</v>
      </c>
      <c r="C109" s="28" t="s">
        <v>200</v>
      </c>
      <c r="D109" t="s">
        <v>201</v>
      </c>
      <c r="E109">
        <v>0</v>
      </c>
      <c r="F109" s="2">
        <v>45959</v>
      </c>
      <c r="G109" s="5" t="str">
        <f>IF(RevenueByClient16[[#This Row],[Invoice No.]]=0,"Not invoiced","Invoiced")</f>
        <v>Not invoiced</v>
      </c>
      <c r="H109" s="2">
        <f>RevenueByClient16[[#This Row],[Invoice date/
Expected Invoice date]]+30</f>
        <v>45989</v>
      </c>
      <c r="I109" s="14" t="s">
        <v>40</v>
      </c>
      <c r="J109" s="2" t="str">
        <f t="shared" ref="J109:J115" si="2">IF(H109-F109&gt;30, "Delayed", "")</f>
        <v/>
      </c>
      <c r="K109" s="1" t="s">
        <v>7</v>
      </c>
      <c r="L109" s="17">
        <f>INDEX(Table2[[EUR]:[MXN]],MATCH(RevenueByClient16[[#This Row],[Invoice date/
Expected Invoice date]],Table2[Date],1),MATCH(RevenueByClient16[[#This Row],[Contract currency]],Table2[[#Headers],[EUR]:[MXN]],0))</f>
        <v>4.63147E-2</v>
      </c>
      <c r="M109" s="19">
        <v>4049691.28</v>
      </c>
      <c r="N109" s="29">
        <v>0</v>
      </c>
      <c r="O109" s="5">
        <f>RevenueByClient16[[#This Row],[Net amount,
contract currency]]*RevenueByClient16[[#This Row],[Sales Tax]]</f>
        <v>0</v>
      </c>
      <c r="P109" s="5">
        <f>RevenueByClient16[[#This Row],[Net amount,
contract currency]]+RevenueByClient16[[#This Row],[Tax amount, contract currency]]</f>
        <v>4049691.28</v>
      </c>
      <c r="Q109" s="11">
        <f>RevenueByClient16[[#This Row],[Net amount,
contract currency]]*RevenueByClient16[[#This Row],[Exchange
Rate £]]</f>
        <v>187560.23672581598</v>
      </c>
      <c r="R109" s="11">
        <f>RevenueByClient16[[#This Row],[Tax amount, contract currency]]*RevenueByClient16[[#This Row],[Exchange
Rate £]]</f>
        <v>0</v>
      </c>
      <c r="S109" s="11">
        <f>SUM(RevenueByClient16[[#This Row],[Net amount, £]:[Tax amount, £]])</f>
        <v>187560.23672581598</v>
      </c>
    </row>
    <row r="110" spans="1:19">
      <c r="A110" s="28" t="s">
        <v>202</v>
      </c>
      <c r="B110" s="30" t="s">
        <v>218</v>
      </c>
      <c r="C110" s="28" t="s">
        <v>203</v>
      </c>
      <c r="D110" t="s">
        <v>204</v>
      </c>
      <c r="E110">
        <v>0</v>
      </c>
      <c r="F110" s="2">
        <v>45504</v>
      </c>
      <c r="G110" s="5" t="str">
        <f>IF(RevenueByClient16[[#This Row],[Invoice No.]]=0,"Not invoiced","Invoiced")</f>
        <v>Not invoiced</v>
      </c>
      <c r="H110" s="2">
        <f>RevenueByClient16[[#This Row],[Invoice date/
Expected Invoice date]]+30</f>
        <v>45534</v>
      </c>
      <c r="I110" s="14" t="s">
        <v>40</v>
      </c>
      <c r="J110" s="2" t="str">
        <f t="shared" si="2"/>
        <v/>
      </c>
      <c r="K110" s="1" t="s">
        <v>7</v>
      </c>
      <c r="L110" s="17">
        <f>INDEX(Table2[[EUR]:[MXN]],MATCH(RevenueByClient16[[#This Row],[Invoice date/
Expected Invoice date]],Table2[Date],1),MATCH(RevenueByClient16[[#This Row],[Contract currency]],Table2[[#Headers],[EUR]:[MXN]],0))</f>
        <v>4.63147E-2</v>
      </c>
      <c r="M110" s="19">
        <v>1097771.67</v>
      </c>
      <c r="N110" s="29">
        <v>0</v>
      </c>
      <c r="O110" s="5">
        <f>RevenueByClient16[[#This Row],[Net amount,
contract currency]]*RevenueByClient16[[#This Row],[Sales Tax]]</f>
        <v>0</v>
      </c>
      <c r="P110" s="5">
        <f>RevenueByClient16[[#This Row],[Net amount,
contract currency]]+RevenueByClient16[[#This Row],[Tax amount, contract currency]]</f>
        <v>1097771.67</v>
      </c>
      <c r="Q110" s="11">
        <f>RevenueByClient16[[#This Row],[Net amount,
contract currency]]*RevenueByClient16[[#This Row],[Exchange
Rate £]]</f>
        <v>50842.965564548998</v>
      </c>
      <c r="R110" s="11">
        <f>RevenueByClient16[[#This Row],[Tax amount, contract currency]]*RevenueByClient16[[#This Row],[Exchange
Rate £]]</f>
        <v>0</v>
      </c>
      <c r="S110" s="11">
        <f>SUM(RevenueByClient16[[#This Row],[Net amount, £]:[Tax amount, £]])</f>
        <v>50842.965564548998</v>
      </c>
    </row>
    <row r="111" spans="1:19">
      <c r="A111" s="28" t="s">
        <v>205</v>
      </c>
      <c r="B111" s="30" t="s">
        <v>218</v>
      </c>
      <c r="C111" s="28" t="s">
        <v>206</v>
      </c>
      <c r="D111" t="s">
        <v>207</v>
      </c>
      <c r="E111">
        <v>507</v>
      </c>
      <c r="F111" s="2">
        <v>45310</v>
      </c>
      <c r="G111" s="5" t="s">
        <v>8</v>
      </c>
      <c r="H111" s="2">
        <f>RevenueByClient16[[#This Row],[Invoice date/
Expected Invoice date]]+30+10</f>
        <v>45350</v>
      </c>
      <c r="I111" s="14" t="s">
        <v>40</v>
      </c>
      <c r="J111" s="2" t="str">
        <f t="shared" si="2"/>
        <v>Delayed</v>
      </c>
      <c r="K111" s="1" t="s">
        <v>7</v>
      </c>
      <c r="L111" s="17">
        <f>INDEX(Table2[[EUR]:[MXN]],MATCH(RevenueByClient16[[#This Row],[Invoice date/
Expected Invoice date]],Table2[Date],1),MATCH(RevenueByClient16[[#This Row],[Contract currency]],Table2[[#Headers],[EUR]:[MXN]],0))</f>
        <v>4.63147E-2</v>
      </c>
      <c r="M111" s="19">
        <v>1623311.1</v>
      </c>
      <c r="N111" s="29">
        <v>0</v>
      </c>
      <c r="O111" s="5">
        <f>RevenueByClient16[[#This Row],[Net amount,
contract currency]]*RevenueByClient16[[#This Row],[Sales Tax]]</f>
        <v>0</v>
      </c>
      <c r="P111" s="5">
        <f>RevenueByClient16[[#This Row],[Net amount,
contract currency]]+RevenueByClient16[[#This Row],[Tax amount, contract currency]]</f>
        <v>1623311.1</v>
      </c>
      <c r="Q111" s="11">
        <f>RevenueByClient16[[#This Row],[Net amount,
contract currency]]*RevenueByClient16[[#This Row],[Exchange
Rate £]]</f>
        <v>75183.166603170001</v>
      </c>
      <c r="R111" s="11">
        <f>RevenueByClient16[[#This Row],[Tax amount, contract currency]]*RevenueByClient16[[#This Row],[Exchange
Rate £]]</f>
        <v>0</v>
      </c>
      <c r="S111" s="11">
        <f>SUM(RevenueByClient16[[#This Row],[Net amount, £]:[Tax amount, £]])</f>
        <v>75183.166603170001</v>
      </c>
    </row>
    <row r="112" spans="1:19">
      <c r="A112" s="28" t="s">
        <v>208</v>
      </c>
      <c r="B112" s="30" t="s">
        <v>219</v>
      </c>
      <c r="C112" s="28" t="s">
        <v>209</v>
      </c>
      <c r="D112" t="s">
        <v>210</v>
      </c>
      <c r="E112">
        <v>497</v>
      </c>
      <c r="F112" s="2">
        <v>45273</v>
      </c>
      <c r="G112" s="5" t="str">
        <f>IF(RevenueByClient16[[#This Row],[Invoice No.]]=0,"Not invoiced","Invoiced")</f>
        <v>Invoiced</v>
      </c>
      <c r="H112" s="15">
        <v>45303</v>
      </c>
      <c r="I112" s="14" t="s">
        <v>37</v>
      </c>
      <c r="J112" s="2" t="str">
        <f t="shared" si="2"/>
        <v/>
      </c>
      <c r="K112" s="1" t="s">
        <v>7</v>
      </c>
      <c r="L112" s="17">
        <f>INDEX(Table2[[EUR]:[MXN]],MATCH(RevenueByClient16[[#This Row],[Invoice date/
Expected Invoice date]],Table2[Date],1),MATCH(RevenueByClient16[[#This Row],[Contract currency]],Table2[[#Headers],[EUR]:[MXN]],0))</f>
        <v>4.5603499999999998E-2</v>
      </c>
      <c r="M112" s="19">
        <v>860686.19</v>
      </c>
      <c r="N112" s="29">
        <v>0.16</v>
      </c>
      <c r="O112" s="5">
        <f>RevenueByClient16[[#This Row],[Net amount,
contract currency]]*RevenueByClient16[[#This Row],[Sales Tax]]</f>
        <v>137709.7904</v>
      </c>
      <c r="P112" s="5">
        <f>RevenueByClient16[[#This Row],[Net amount,
contract currency]]+RevenueByClient16[[#This Row],[Tax amount, contract currency]]</f>
        <v>998395.9804</v>
      </c>
      <c r="Q112" s="11">
        <f>RevenueByClient16[[#This Row],[Net amount,
contract currency]]*RevenueByClient16[[#This Row],[Exchange
Rate £]]</f>
        <v>39250.302665664996</v>
      </c>
      <c r="R112" s="11">
        <f>RevenueByClient16[[#This Row],[Tax amount, contract currency]]*RevenueByClient16[[#This Row],[Exchange
Rate £]]</f>
        <v>6280.0484265063997</v>
      </c>
      <c r="S112" s="11">
        <f>SUM(RevenueByClient16[[#This Row],[Net amount, £]:[Tax amount, £]])</f>
        <v>45530.351092171397</v>
      </c>
    </row>
    <row r="113" spans="1:19">
      <c r="A113" s="28" t="s">
        <v>208</v>
      </c>
      <c r="B113" s="30" t="s">
        <v>219</v>
      </c>
      <c r="C113" s="28" t="s">
        <v>209</v>
      </c>
      <c r="D113" t="s">
        <v>211</v>
      </c>
      <c r="E113">
        <v>0</v>
      </c>
      <c r="F113" s="2">
        <v>45344</v>
      </c>
      <c r="G113" s="5" t="str">
        <f>IF(RevenueByClient16[[#This Row],[Invoice No.]]=0,"Not invoiced","Invoiced")</f>
        <v>Not invoiced</v>
      </c>
      <c r="H113" s="2">
        <f>RevenueByClient16[[#This Row],[Invoice date/
Expected Invoice date]]+30</f>
        <v>45374</v>
      </c>
      <c r="I113" s="14" t="s">
        <v>40</v>
      </c>
      <c r="J113" s="2" t="str">
        <f t="shared" si="2"/>
        <v/>
      </c>
      <c r="K113" s="1" t="s">
        <v>7</v>
      </c>
      <c r="L113" s="17">
        <f>INDEX(Table2[[EUR]:[MXN]],MATCH(RevenueByClient16[[#This Row],[Invoice date/
Expected Invoice date]],Table2[Date],1),MATCH(RevenueByClient16[[#This Row],[Contract currency]],Table2[[#Headers],[EUR]:[MXN]],0))</f>
        <v>4.63147E-2</v>
      </c>
      <c r="M113" s="19">
        <v>0</v>
      </c>
      <c r="N113" s="29">
        <v>0.16</v>
      </c>
      <c r="O113" s="5">
        <f>RevenueByClient16[[#This Row],[Net amount,
contract currency]]*RevenueByClient16[[#This Row],[Sales Tax]]</f>
        <v>0</v>
      </c>
      <c r="P113" s="5">
        <f>RevenueByClient16[[#This Row],[Net amount,
contract currency]]+RevenueByClient16[[#This Row],[Tax amount, contract currency]]</f>
        <v>0</v>
      </c>
      <c r="Q113" s="11">
        <f>RevenueByClient16[[#This Row],[Net amount,
contract currency]]*RevenueByClient16[[#This Row],[Exchange
Rate £]]</f>
        <v>0</v>
      </c>
      <c r="R113" s="11">
        <f>RevenueByClient16[[#This Row],[Tax amount, contract currency]]*RevenueByClient16[[#This Row],[Exchange
Rate £]]</f>
        <v>0</v>
      </c>
      <c r="S113" s="11">
        <f>SUM(RevenueByClient16[[#This Row],[Net amount, £]:[Tax amount, £]])</f>
        <v>0</v>
      </c>
    </row>
    <row r="114" spans="1:19">
      <c r="A114" s="28" t="s">
        <v>212</v>
      </c>
      <c r="B114" s="30" t="s">
        <v>219</v>
      </c>
      <c r="C114" s="28" t="s">
        <v>213</v>
      </c>
      <c r="D114" t="s">
        <v>214</v>
      </c>
      <c r="E114">
        <v>503</v>
      </c>
      <c r="F114" s="2">
        <v>45274</v>
      </c>
      <c r="G114" s="5" t="str">
        <f>IF(RevenueByClient16[[#This Row],[Invoice No.]]=0,"Not invoiced","Invoiced")</f>
        <v>Invoiced</v>
      </c>
      <c r="H114" s="2">
        <f>RevenueByClient16[[#This Row],[Invoice date/
Expected Invoice date]]+30+20</f>
        <v>45324</v>
      </c>
      <c r="I114" s="14" t="s">
        <v>40</v>
      </c>
      <c r="J114" s="2" t="str">
        <f t="shared" si="2"/>
        <v>Delayed</v>
      </c>
      <c r="K114" s="1" t="s">
        <v>41</v>
      </c>
      <c r="L114" s="17">
        <f>INDEX(Table2[[EUR]:[MXN]],MATCH(RevenueByClient16[[#This Row],[Invoice date/
Expected Invoice date]],Table2[Date],1),MATCH(RevenueByClient16[[#This Row],[Contract currency]],Table2[[#Headers],[EUR]:[MXN]],0))</f>
        <v>0.787906</v>
      </c>
      <c r="M114" s="19">
        <v>18336</v>
      </c>
      <c r="N114" s="29">
        <v>0</v>
      </c>
      <c r="O114" s="5">
        <f>RevenueByClient16[[#This Row],[Net amount,
contract currency]]*RevenueByClient16[[#This Row],[Sales Tax]]</f>
        <v>0</v>
      </c>
      <c r="P114" s="5">
        <f>RevenueByClient16[[#This Row],[Net amount,
contract currency]]+RevenueByClient16[[#This Row],[Tax amount, contract currency]]</f>
        <v>18336</v>
      </c>
      <c r="Q114" s="11">
        <f>RevenueByClient16[[#This Row],[Net amount,
contract currency]]*RevenueByClient16[[#This Row],[Exchange
Rate £]]</f>
        <v>14447.044416000001</v>
      </c>
      <c r="R114" s="11">
        <f>RevenueByClient16[[#This Row],[Tax amount, contract currency]]*RevenueByClient16[[#This Row],[Exchange
Rate £]]</f>
        <v>0</v>
      </c>
      <c r="S114" s="11">
        <f>SUM(RevenueByClient16[[#This Row],[Net amount, £]:[Tax amount, £]])</f>
        <v>14447.044416000001</v>
      </c>
    </row>
    <row r="115" spans="1:19">
      <c r="A115" s="28" t="s">
        <v>215</v>
      </c>
      <c r="B115" s="30" t="s">
        <v>219</v>
      </c>
      <c r="C115" s="28" t="s">
        <v>216</v>
      </c>
      <c r="D115" t="s">
        <v>217</v>
      </c>
      <c r="E115">
        <v>498</v>
      </c>
      <c r="F115" s="2">
        <v>45273</v>
      </c>
      <c r="G115" s="5" t="str">
        <f>IF(RevenueByClient16[[#This Row],[Invoice No.]]=0,"Not invoiced","Invoiced")</f>
        <v>Invoiced</v>
      </c>
      <c r="H115" s="15">
        <v>45303</v>
      </c>
      <c r="I115" s="14" t="s">
        <v>37</v>
      </c>
      <c r="J115" s="2" t="str">
        <f t="shared" si="2"/>
        <v/>
      </c>
      <c r="K115" s="1" t="s">
        <v>7</v>
      </c>
      <c r="L115" s="17">
        <f>INDEX(Table2[[EUR]:[MXN]],MATCH(RevenueByClient16[[#This Row],[Invoice date/
Expected Invoice date]],Table2[Date],1),MATCH(RevenueByClient16[[#This Row],[Contract currency]],Table2[[#Headers],[EUR]:[MXN]],0))</f>
        <v>4.5603499999999998E-2</v>
      </c>
      <c r="M115" s="19">
        <v>576000</v>
      </c>
      <c r="N115" s="29">
        <v>0.16</v>
      </c>
      <c r="O115" s="5">
        <f>RevenueByClient16[[#This Row],[Net amount,
contract currency]]*RevenueByClient16[[#This Row],[Sales Tax]]</f>
        <v>92160</v>
      </c>
      <c r="P115" s="5">
        <f>RevenueByClient16[[#This Row],[Net amount,
contract currency]]+RevenueByClient16[[#This Row],[Tax amount, contract currency]]</f>
        <v>668160</v>
      </c>
      <c r="Q115" s="11">
        <f>RevenueByClient16[[#This Row],[Net amount,
contract currency]]*RevenueByClient16[[#This Row],[Exchange
Rate £]]</f>
        <v>26267.615999999998</v>
      </c>
      <c r="R115" s="11">
        <f>RevenueByClient16[[#This Row],[Tax amount, contract currency]]*RevenueByClient16[[#This Row],[Exchange
Rate £]]</f>
        <v>4202.8185599999997</v>
      </c>
      <c r="S115" s="11">
        <f>SUM(RevenueByClient16[[#This Row],[Net amount, £]:[Tax amount, £]])</f>
        <v>30470.434559999998</v>
      </c>
    </row>
    <row r="117" spans="1:19">
      <c r="D117" s="24"/>
    </row>
    <row r="187" ht="13.75" customHeight="1"/>
  </sheetData>
  <conditionalFormatting sqref="H2 F2:F5009 H4:H8 H15:H17 H20:H21 H24:H26 H36:H39 H41:H48 H53:H56 H58 H62 H65 H70 H78:H79 H84:H89 H109:H115">
    <cfRule type="expression" dxfId="10" priority="2721">
      <formula>AND($F2&lt;#REF!,$G2="Not invoiced")</formula>
    </cfRule>
  </conditionalFormatting>
  <conditionalFormatting sqref="H3 H9:H14 H18:H19 H22:H23 H27:H35 H40 H49:H52 H57 H59:H61 H63:H64 H66:H69 H71:H77 H80:H83 H90:H111 H113:H114 H116:H5009">
    <cfRule type="expression" dxfId="8" priority="2737">
      <formula>AND($H3&lt;#REF!,$I3="Not paid")</formula>
    </cfRule>
  </conditionalFormatting>
  <conditionalFormatting sqref="I1:I5006">
    <cfRule type="expression" dxfId="7" priority="9">
      <formula>$I1="Paid"</formula>
    </cfRule>
  </conditionalFormatting>
  <conditionalFormatting sqref="O1:P1 O116:P1048576">
    <cfRule type="expression" dxfId="5" priority="5">
      <formula>$K1="CHF"</formula>
    </cfRule>
  </conditionalFormatting>
  <conditionalFormatting sqref="O2:P2 O4:P5">
    <cfRule type="expression" dxfId="4" priority="11">
      <formula>#REF!="CHF"</formula>
    </cfRule>
  </conditionalFormatting>
  <conditionalFormatting sqref="O3:P3 O6:P13">
    <cfRule type="expression" dxfId="3" priority="12">
      <formula>#REF!="CHF"</formula>
    </cfRule>
  </conditionalFormatting>
  <conditionalFormatting sqref="O14:P92">
    <cfRule type="expression" dxfId="2" priority="13">
      <formula>#REF!="CHF"</formula>
    </cfRule>
  </conditionalFormatting>
  <conditionalFormatting sqref="O93:P95">
    <cfRule type="expression" dxfId="1" priority="15">
      <formula>$K2="CHF"</formula>
    </cfRule>
  </conditionalFormatting>
  <conditionalFormatting sqref="O96:P115">
    <cfRule type="expression" dxfId="0" priority="14">
      <formula>$K4="CHF"</formula>
    </cfRule>
  </conditionalFormatting>
  <dataValidations count="3">
    <dataValidation type="whole" allowBlank="1" showInputMessage="1" showErrorMessage="1" prompt="Input 0 [zero] if not yet invoiced" sqref="E2:E115" xr:uid="{861EEAF8-E3C0-43B3-95AE-E5C9F4961EEA}">
      <formula1>0</formula1>
      <formula2>1000</formula2>
    </dataValidation>
    <dataValidation type="list" showInputMessage="1" showErrorMessage="1" sqref="N2:N115" xr:uid="{F347EA30-1D1D-4B6C-8CEE-A94B37D23830}">
      <formula1>#REF!</formula1>
    </dataValidation>
    <dataValidation type="list" allowBlank="1" showInputMessage="1" showErrorMessage="1" sqref="K2:K115" xr:uid="{32A3480D-0A1B-4E09-9EFA-37F2797C2255}">
      <formula1>#REF!</formula1>
    </dataValidation>
  </dataValidations>
  <pageMargins left="0.7" right="0.7" top="0.75" bottom="0.75" header="0.3" footer="0.3"/>
  <pageSetup paperSize="9" orientation="portrait" r:id="rId1"/>
  <legacy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" operator="containsText" id="{2721B67A-3B57-42A3-B876-029953BFC112}">
            <xm:f>NOT(ISERROR(SEARCH("Expired",F2)))</xm:f>
            <xm:f>"Expired"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H2:H115 F2:F5009</xm:sqref>
        </x14:conditionalFormatting>
        <x14:conditionalFormatting xmlns:xm="http://schemas.microsoft.com/office/excel/2006/main">
          <x14:cfRule type="containsText" priority="1" operator="containsText" id="{F5EFA2AF-C9A4-458F-AA5D-E029522A313A}">
            <xm:f>NOT(ISERROR(SEARCH("Delayed",J2)))</xm:f>
            <xm:f>"Delayed"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J2:J115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A142F-C7F5-4B47-9582-F04D7136BA88}">
  <dimension ref="B2:G49"/>
  <sheetViews>
    <sheetView topLeftCell="A4" workbookViewId="0">
      <selection activeCell="B2" sqref="B2:G49"/>
    </sheetView>
  </sheetViews>
  <sheetFormatPr defaultRowHeight="14.5"/>
  <cols>
    <col min="2" max="2" width="10.453125" bestFit="1" customWidth="1"/>
  </cols>
  <sheetData>
    <row r="2" spans="2:7">
      <c r="B2" t="s">
        <v>57</v>
      </c>
      <c r="C2" t="s">
        <v>38</v>
      </c>
      <c r="D2" t="s">
        <v>41</v>
      </c>
      <c r="E2" t="s">
        <v>0</v>
      </c>
      <c r="F2" t="s">
        <v>50</v>
      </c>
      <c r="G2" t="s">
        <v>7</v>
      </c>
    </row>
    <row r="3" spans="2:7">
      <c r="B3" s="31">
        <v>43404</v>
      </c>
      <c r="C3">
        <v>24.410599999999999</v>
      </c>
      <c r="D3">
        <v>22.284400000000002</v>
      </c>
      <c r="E3">
        <v>27.393799999999999</v>
      </c>
      <c r="F3" t="s">
        <v>59</v>
      </c>
      <c r="G3">
        <v>1</v>
      </c>
    </row>
    <row r="4" spans="2:7">
      <c r="B4" s="31">
        <v>43921</v>
      </c>
      <c r="C4">
        <v>25.858041697699999</v>
      </c>
      <c r="D4">
        <v>23.457011820000002</v>
      </c>
      <c r="E4">
        <v>29.215274112399999</v>
      </c>
      <c r="F4">
        <v>24.3744470611</v>
      </c>
      <c r="G4">
        <v>1</v>
      </c>
    </row>
    <row r="5" spans="2:7">
      <c r="B5" s="31">
        <v>43951</v>
      </c>
      <c r="C5">
        <v>26.217119164100001</v>
      </c>
      <c r="D5">
        <v>23.981034106300001</v>
      </c>
      <c r="E5">
        <v>30.226140619100001</v>
      </c>
      <c r="F5">
        <v>24.792969553100001</v>
      </c>
      <c r="G5">
        <v>1</v>
      </c>
    </row>
    <row r="6" spans="2:7">
      <c r="B6" s="31">
        <v>43982</v>
      </c>
      <c r="C6">
        <v>24.634468289899999</v>
      </c>
      <c r="D6">
        <v>22.180759833300002</v>
      </c>
      <c r="E6">
        <v>27.385083433999998</v>
      </c>
      <c r="F6">
        <v>23.056245196199999</v>
      </c>
      <c r="G6">
        <v>1</v>
      </c>
    </row>
    <row r="7" spans="2:7">
      <c r="B7" s="31">
        <v>44012</v>
      </c>
      <c r="C7">
        <v>25.929812800000001</v>
      </c>
      <c r="D7">
        <v>23.080234000000001</v>
      </c>
      <c r="E7">
        <v>28.546774200000002</v>
      </c>
      <c r="F7">
        <v>24.373055000000001</v>
      </c>
      <c r="G7">
        <v>1</v>
      </c>
    </row>
    <row r="8" spans="2:7">
      <c r="B8" s="31">
        <v>44043</v>
      </c>
      <c r="C8">
        <v>26.2681</v>
      </c>
      <c r="D8">
        <v>22.224767</v>
      </c>
      <c r="E8">
        <v>29.177399999999999</v>
      </c>
      <c r="F8">
        <v>24.3841</v>
      </c>
      <c r="G8">
        <v>1</v>
      </c>
    </row>
    <row r="9" spans="2:7">
      <c r="B9" s="31">
        <v>44074</v>
      </c>
      <c r="C9">
        <v>25.926490000000001</v>
      </c>
      <c r="D9">
        <v>21.75291</v>
      </c>
      <c r="E9">
        <v>29.05294</v>
      </c>
      <c r="F9">
        <v>24.073129999999999</v>
      </c>
      <c r="G9">
        <v>1</v>
      </c>
    </row>
    <row r="10" spans="2:7">
      <c r="B10" s="31">
        <v>44104</v>
      </c>
      <c r="C10">
        <v>25.6477</v>
      </c>
      <c r="D10">
        <v>21.840699999999998</v>
      </c>
      <c r="E10">
        <v>28.139500000000002</v>
      </c>
      <c r="F10">
        <v>23.762499999999999</v>
      </c>
      <c r="G10">
        <v>1</v>
      </c>
    </row>
    <row r="11" spans="2:7">
      <c r="B11" s="31">
        <v>44134</v>
      </c>
      <c r="C11">
        <v>24.943110000000001</v>
      </c>
      <c r="D11">
        <v>21.172170000000001</v>
      </c>
      <c r="E11">
        <v>27.415179999999999</v>
      </c>
      <c r="F11">
        <v>23.0702</v>
      </c>
      <c r="G11">
        <v>1</v>
      </c>
    </row>
    <row r="12" spans="2:7">
      <c r="B12" s="31">
        <v>44165</v>
      </c>
      <c r="C12">
        <v>23.989899999999999</v>
      </c>
      <c r="D12">
        <v>20.039000000000001</v>
      </c>
      <c r="E12">
        <v>26.7151</v>
      </c>
      <c r="F12">
        <v>22.161000000000001</v>
      </c>
      <c r="G12">
        <v>1</v>
      </c>
    </row>
    <row r="13" spans="2:7">
      <c r="B13" s="31">
        <v>44196</v>
      </c>
      <c r="C13">
        <v>24.47</v>
      </c>
      <c r="D13">
        <v>19.936</v>
      </c>
      <c r="E13">
        <v>26.933199999999999</v>
      </c>
      <c r="F13">
        <v>22.564599999999999</v>
      </c>
      <c r="G13">
        <v>1</v>
      </c>
    </row>
    <row r="14" spans="2:7">
      <c r="B14" s="31">
        <v>44227</v>
      </c>
      <c r="C14">
        <v>24.781300000000002</v>
      </c>
      <c r="D14">
        <v>20.427299999999999</v>
      </c>
      <c r="E14">
        <v>27.998799999999999</v>
      </c>
      <c r="F14">
        <v>22.9465</v>
      </c>
      <c r="G14">
        <v>1</v>
      </c>
    </row>
    <row r="15" spans="2:7">
      <c r="B15" s="31">
        <v>44255</v>
      </c>
      <c r="C15">
        <v>25.1846</v>
      </c>
      <c r="D15">
        <v>20.863499999999998</v>
      </c>
      <c r="E15">
        <v>29.040800000000001</v>
      </c>
      <c r="F15">
        <v>22.9665</v>
      </c>
      <c r="G15">
        <v>1</v>
      </c>
    </row>
    <row r="16" spans="2:7">
      <c r="B16" s="31">
        <v>44286</v>
      </c>
      <c r="C16">
        <v>24.115100000000002</v>
      </c>
      <c r="D16">
        <v>20.569800000000001</v>
      </c>
      <c r="E16">
        <v>28.280899999999999</v>
      </c>
      <c r="F16">
        <v>21.823599999999999</v>
      </c>
      <c r="G16">
        <v>1</v>
      </c>
    </row>
    <row r="17" spans="2:7">
      <c r="B17" s="31">
        <v>44316</v>
      </c>
      <c r="C17">
        <v>24.340199999999999</v>
      </c>
      <c r="D17">
        <v>20.243400000000001</v>
      </c>
      <c r="E17">
        <v>27.974799999999998</v>
      </c>
      <c r="F17">
        <v>22.170500000000001</v>
      </c>
      <c r="G17">
        <v>1</v>
      </c>
    </row>
    <row r="18" spans="2:7">
      <c r="B18" s="31">
        <v>44347</v>
      </c>
      <c r="C18">
        <v>24.3932</v>
      </c>
      <c r="D18">
        <v>19.950299999999999</v>
      </c>
      <c r="E18">
        <v>28.335699999999999</v>
      </c>
      <c r="F18">
        <v>22.194700000000001</v>
      </c>
      <c r="G18">
        <v>1</v>
      </c>
    </row>
    <row r="19" spans="2:7">
      <c r="B19" s="31">
        <v>44377</v>
      </c>
      <c r="C19">
        <v>23.653700000000001</v>
      </c>
      <c r="D19">
        <v>19.9575</v>
      </c>
      <c r="E19">
        <v>27.556000000000001</v>
      </c>
      <c r="F19">
        <v>21.5565</v>
      </c>
      <c r="G19">
        <v>1</v>
      </c>
    </row>
    <row r="20" spans="2:7">
      <c r="B20" s="31">
        <v>44407</v>
      </c>
      <c r="C20">
        <v>23.424011</v>
      </c>
      <c r="D20">
        <v>19.8537</v>
      </c>
      <c r="E20">
        <v>27.7148</v>
      </c>
      <c r="F20">
        <v>21.896699999999999</v>
      </c>
      <c r="G20">
        <v>1</v>
      </c>
    </row>
    <row r="21" spans="2:7">
      <c r="B21" s="31">
        <v>44439</v>
      </c>
      <c r="C21">
        <v>23.7164</v>
      </c>
      <c r="D21">
        <v>20.084499999999998</v>
      </c>
      <c r="E21">
        <v>27.624500000000001</v>
      </c>
      <c r="F21">
        <v>21.933199999999999</v>
      </c>
      <c r="G21">
        <v>1</v>
      </c>
    </row>
    <row r="22" spans="2:7">
      <c r="B22" s="31">
        <v>44469</v>
      </c>
      <c r="C22">
        <v>23.8886</v>
      </c>
      <c r="D22">
        <v>20.627700000000001</v>
      </c>
      <c r="E22">
        <v>27.798999999999999</v>
      </c>
      <c r="F22">
        <v>22.138999999999999</v>
      </c>
      <c r="G22">
        <v>1</v>
      </c>
    </row>
    <row r="23" spans="2:7">
      <c r="B23" s="31">
        <v>44500</v>
      </c>
      <c r="C23">
        <v>23.778400000000001</v>
      </c>
      <c r="D23">
        <v>20.563800000000001</v>
      </c>
      <c r="E23">
        <v>28.151800000000001</v>
      </c>
      <c r="F23">
        <v>22.439299999999999</v>
      </c>
      <c r="G23">
        <v>1</v>
      </c>
    </row>
    <row r="24" spans="2:7">
      <c r="B24" s="31">
        <v>44530</v>
      </c>
      <c r="C24">
        <v>24.468599999999999</v>
      </c>
      <c r="D24">
        <v>21.674199999999999</v>
      </c>
      <c r="E24">
        <v>28.853000000000002</v>
      </c>
      <c r="F24">
        <v>23.475100000000001</v>
      </c>
      <c r="G24">
        <v>1</v>
      </c>
    </row>
    <row r="25" spans="2:7">
      <c r="B25" s="31">
        <v>44561</v>
      </c>
      <c r="C25">
        <v>23.335000000000001</v>
      </c>
      <c r="D25">
        <v>20.500299999999999</v>
      </c>
      <c r="E25">
        <v>27.745799999999999</v>
      </c>
      <c r="F25">
        <v>22.486999999999998</v>
      </c>
      <c r="G25">
        <v>1</v>
      </c>
    </row>
    <row r="26" spans="2:7">
      <c r="B26" s="31">
        <v>44592</v>
      </c>
      <c r="C26">
        <v>23.1614</v>
      </c>
      <c r="D26">
        <v>20.638999999999999</v>
      </c>
      <c r="E26">
        <v>27.789899999999999</v>
      </c>
      <c r="F26">
        <v>22.307300000000001</v>
      </c>
      <c r="G26">
        <v>1</v>
      </c>
    </row>
    <row r="27" spans="2:7">
      <c r="B27" s="31">
        <v>44620</v>
      </c>
      <c r="C27">
        <v>22.977599999999999</v>
      </c>
      <c r="D27">
        <v>20.522400000000001</v>
      </c>
      <c r="E27">
        <v>27.4757</v>
      </c>
      <c r="F27">
        <v>22.378499999999999</v>
      </c>
      <c r="G27">
        <v>1</v>
      </c>
    </row>
    <row r="28" spans="2:7">
      <c r="B28" s="31">
        <v>44651</v>
      </c>
      <c r="C28">
        <v>21.989245</v>
      </c>
      <c r="D28">
        <v>19.868131000000002</v>
      </c>
      <c r="E28">
        <v>26.104866000000001</v>
      </c>
      <c r="F28">
        <v>21.515635</v>
      </c>
      <c r="G28">
        <v>1</v>
      </c>
    </row>
    <row r="29" spans="2:7">
      <c r="B29" s="31">
        <v>44681</v>
      </c>
      <c r="C29">
        <v>21.5288</v>
      </c>
      <c r="D29">
        <v>20.418099999999999</v>
      </c>
      <c r="E29">
        <v>25.676200000000001</v>
      </c>
      <c r="F29">
        <v>20.949000000000002</v>
      </c>
      <c r="G29">
        <v>1</v>
      </c>
    </row>
    <row r="30" spans="2:7">
      <c r="B30" s="31">
        <v>44712</v>
      </c>
      <c r="C30">
        <v>21.033100000000001</v>
      </c>
      <c r="D30">
        <v>19.6904</v>
      </c>
      <c r="E30">
        <v>24.703199999999999</v>
      </c>
      <c r="F30">
        <v>20.442699999999999</v>
      </c>
      <c r="G30">
        <v>1</v>
      </c>
    </row>
    <row r="31" spans="2:7">
      <c r="B31" s="31">
        <v>44742</v>
      </c>
      <c r="C31">
        <v>21.070599999999999</v>
      </c>
      <c r="D31">
        <v>20.152999999999999</v>
      </c>
      <c r="E31">
        <v>24.4514</v>
      </c>
      <c r="F31">
        <v>21.0533</v>
      </c>
      <c r="G31">
        <v>1</v>
      </c>
    </row>
    <row r="32" spans="2:7">
      <c r="B32" s="31">
        <v>44773</v>
      </c>
      <c r="C32">
        <v>20.820900000000002</v>
      </c>
      <c r="D32">
        <v>20.3613</v>
      </c>
      <c r="E32">
        <v>24.800599999999999</v>
      </c>
      <c r="F32">
        <v>21.334199999999999</v>
      </c>
      <c r="G32">
        <v>1</v>
      </c>
    </row>
    <row r="33" spans="2:7">
      <c r="B33" s="31">
        <v>44804</v>
      </c>
      <c r="C33">
        <v>20.223600000000001</v>
      </c>
      <c r="D33">
        <v>20.151199999999999</v>
      </c>
      <c r="E33">
        <v>23.409300000000002</v>
      </c>
      <c r="F33">
        <v>20.5976</v>
      </c>
      <c r="G33">
        <v>1</v>
      </c>
    </row>
    <row r="34" spans="2:7">
      <c r="B34" s="31">
        <v>44834</v>
      </c>
      <c r="C34">
        <v>19.786899999999999</v>
      </c>
      <c r="D34">
        <v>20.128799999999998</v>
      </c>
      <c r="E34">
        <v>22.485600000000002</v>
      </c>
      <c r="F34">
        <v>20.645800000000001</v>
      </c>
      <c r="G34">
        <v>1</v>
      </c>
    </row>
    <row r="35" spans="2:7">
      <c r="B35" s="31">
        <v>44865</v>
      </c>
      <c r="C35">
        <v>19.736899999999999</v>
      </c>
      <c r="D35">
        <v>19.808299999999999</v>
      </c>
      <c r="E35">
        <v>23.014700000000001</v>
      </c>
      <c r="F35">
        <v>19.886299999999999</v>
      </c>
      <c r="G35">
        <v>1</v>
      </c>
    </row>
    <row r="36" spans="2:7">
      <c r="B36" s="31">
        <v>44895</v>
      </c>
      <c r="C36">
        <v>19.900600000000001</v>
      </c>
      <c r="D36">
        <v>19.230399999999999</v>
      </c>
      <c r="E36">
        <v>22.982800000000001</v>
      </c>
      <c r="F36">
        <v>20.171600000000002</v>
      </c>
      <c r="G36">
        <v>1</v>
      </c>
    </row>
    <row r="37" spans="2:7">
      <c r="B37" s="31">
        <v>44926</v>
      </c>
      <c r="C37">
        <v>19.4834</v>
      </c>
      <c r="D37">
        <v>20.855699999999999</v>
      </c>
      <c r="E37">
        <v>23.576799999999999</v>
      </c>
      <c r="F37">
        <v>21.075399999999998</v>
      </c>
      <c r="G37">
        <v>1</v>
      </c>
    </row>
    <row r="38" spans="2:7">
      <c r="B38" s="31">
        <v>44957</v>
      </c>
      <c r="C38">
        <v>20.363499999999998</v>
      </c>
      <c r="D38">
        <v>18.837800000000001</v>
      </c>
      <c r="E38">
        <v>23.194199999999999</v>
      </c>
      <c r="F38">
        <v>20.293600000000001</v>
      </c>
      <c r="G38">
        <v>1</v>
      </c>
    </row>
    <row r="39" spans="2:7">
      <c r="B39" s="31">
        <v>44985</v>
      </c>
      <c r="C39">
        <v>19.483699999999999</v>
      </c>
      <c r="D39">
        <v>18.3504</v>
      </c>
      <c r="E39">
        <v>22.185099999999998</v>
      </c>
      <c r="F39">
        <v>19.5914</v>
      </c>
      <c r="G39">
        <v>1</v>
      </c>
    </row>
    <row r="40" spans="2:7">
      <c r="B40" s="31">
        <v>45016</v>
      </c>
      <c r="C40">
        <v>19.577100000000002</v>
      </c>
      <c r="D40">
        <v>18.038699999999999</v>
      </c>
      <c r="E40">
        <v>22.4421</v>
      </c>
      <c r="F40">
        <v>19.716999999999999</v>
      </c>
      <c r="G40">
        <v>1</v>
      </c>
    </row>
    <row r="41" spans="2:7">
      <c r="B41" s="31">
        <v>45046</v>
      </c>
      <c r="C41">
        <v>19.196670000000001</v>
      </c>
      <c r="D41">
        <v>17.584399999999999</v>
      </c>
      <c r="E41">
        <v>22.003</v>
      </c>
      <c r="F41">
        <v>19.668299999999999</v>
      </c>
      <c r="G41">
        <v>1</v>
      </c>
    </row>
    <row r="42" spans="2:7">
      <c r="B42" s="31">
        <v>45077</v>
      </c>
      <c r="C42">
        <v>18.918800000000001</v>
      </c>
      <c r="D42">
        <v>17.6799</v>
      </c>
      <c r="E42">
        <v>21.9209</v>
      </c>
      <c r="F42">
        <v>19.388400000000001</v>
      </c>
      <c r="G42">
        <v>1</v>
      </c>
    </row>
    <row r="43" spans="2:7">
      <c r="B43" s="31">
        <v>45107</v>
      </c>
      <c r="C43">
        <v>18.593969999999999</v>
      </c>
      <c r="D43">
        <v>17.11215</v>
      </c>
      <c r="E43">
        <v>21.55499</v>
      </c>
      <c r="F43">
        <v>19.019850000000002</v>
      </c>
      <c r="G43">
        <v>1</v>
      </c>
    </row>
    <row r="44" spans="2:7">
      <c r="B44" s="31">
        <v>45138</v>
      </c>
      <c r="C44">
        <v>18.979099999999999</v>
      </c>
      <c r="D44">
        <v>17.330359999999999</v>
      </c>
      <c r="E44">
        <v>22.036069999999999</v>
      </c>
      <c r="F44">
        <v>19.821999999999999</v>
      </c>
      <c r="G44">
        <v>1</v>
      </c>
    </row>
    <row r="45" spans="2:7">
      <c r="B45" s="31">
        <v>45169</v>
      </c>
      <c r="C45">
        <v>18.292287000000002</v>
      </c>
      <c r="D45">
        <v>16.750933</v>
      </c>
      <c r="E45">
        <v>21.303799999999999</v>
      </c>
      <c r="F45">
        <v>19.06711</v>
      </c>
      <c r="G45">
        <v>1</v>
      </c>
    </row>
    <row r="46" spans="2:7">
      <c r="B46" s="31">
        <v>45199</v>
      </c>
      <c r="C46">
        <v>18.528099999999998</v>
      </c>
      <c r="D46">
        <v>17.416699999999999</v>
      </c>
      <c r="E46">
        <v>21.2441</v>
      </c>
      <c r="F46">
        <v>19.0291</v>
      </c>
      <c r="G46">
        <v>1</v>
      </c>
    </row>
    <row r="47" spans="2:7">
      <c r="B47" s="31">
        <v>45230</v>
      </c>
      <c r="C47">
        <v>19.261900000000001</v>
      </c>
      <c r="D47">
        <v>18.074000000000002</v>
      </c>
      <c r="E47">
        <v>21.8826</v>
      </c>
      <c r="F47">
        <v>19.8689</v>
      </c>
      <c r="G47">
        <v>1</v>
      </c>
    </row>
    <row r="48" spans="2:7">
      <c r="B48" s="31">
        <v>45260</v>
      </c>
      <c r="C48">
        <v>18.982099999999999</v>
      </c>
      <c r="D48">
        <v>17.298100000000002</v>
      </c>
      <c r="E48">
        <v>21.957999999999998</v>
      </c>
      <c r="F48">
        <v>19.805800000000001</v>
      </c>
      <c r="G48">
        <v>1</v>
      </c>
    </row>
    <row r="49" spans="2:7">
      <c r="B49" s="31">
        <v>45291</v>
      </c>
      <c r="C49">
        <v>18.741</v>
      </c>
      <c r="D49">
        <v>16.9529</v>
      </c>
      <c r="E49">
        <v>21.5473</v>
      </c>
      <c r="F49">
        <v>20.1523</v>
      </c>
      <c r="G49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CF61B-F45D-4E8E-BB0E-1711ADB3DCD6}">
  <dimension ref="B2:G49"/>
  <sheetViews>
    <sheetView workbookViewId="0">
      <selection activeCell="K36" sqref="K36"/>
    </sheetView>
  </sheetViews>
  <sheetFormatPr defaultRowHeight="14.5"/>
  <cols>
    <col min="2" max="2" width="10.453125" bestFit="1" customWidth="1"/>
  </cols>
  <sheetData>
    <row r="2" spans="2:7">
      <c r="B2" t="s">
        <v>57</v>
      </c>
      <c r="C2" t="s">
        <v>38</v>
      </c>
      <c r="D2" t="s">
        <v>41</v>
      </c>
      <c r="E2" t="s">
        <v>0</v>
      </c>
      <c r="F2" t="s">
        <v>50</v>
      </c>
      <c r="G2" t="s">
        <v>7</v>
      </c>
    </row>
    <row r="3" spans="2:7">
      <c r="B3" s="31">
        <v>43404</v>
      </c>
      <c r="C3">
        <v>0.89097999999999999</v>
      </c>
      <c r="D3">
        <v>0.81333999999999995</v>
      </c>
      <c r="E3">
        <v>1</v>
      </c>
      <c r="F3" t="s">
        <v>59</v>
      </c>
      <c r="G3">
        <v>3.6470000000000002E-2</v>
      </c>
    </row>
    <row r="4" spans="2:7">
      <c r="B4" s="31">
        <v>43921</v>
      </c>
      <c r="C4">
        <v>0.88508639690000002</v>
      </c>
      <c r="D4">
        <v>0.80290233560000002</v>
      </c>
      <c r="E4">
        <v>1</v>
      </c>
      <c r="F4">
        <v>0.83430492450000004</v>
      </c>
      <c r="G4">
        <v>3.42286708E-2</v>
      </c>
    </row>
    <row r="5" spans="2:7">
      <c r="B5" s="31">
        <v>43951</v>
      </c>
      <c r="C5">
        <v>0.86736575120000003</v>
      </c>
      <c r="D5">
        <v>0.79338723420000001</v>
      </c>
      <c r="E5">
        <v>1</v>
      </c>
      <c r="F5">
        <v>0.82024926259999997</v>
      </c>
      <c r="G5">
        <v>3.3083945900000002E-2</v>
      </c>
    </row>
    <row r="6" spans="2:7">
      <c r="B6" s="31">
        <v>43982</v>
      </c>
      <c r="C6">
        <v>0.89955790530000002</v>
      </c>
      <c r="D6">
        <v>0.80995772340000005</v>
      </c>
      <c r="E6">
        <v>1</v>
      </c>
      <c r="F6">
        <v>0.84192714810000002</v>
      </c>
      <c r="G6">
        <v>3.6516229800000001E-2</v>
      </c>
    </row>
    <row r="7" spans="2:7">
      <c r="B7" s="31">
        <v>44012</v>
      </c>
      <c r="C7">
        <v>0.9083272</v>
      </c>
      <c r="D7">
        <v>0.80850580000000005</v>
      </c>
      <c r="E7">
        <v>1</v>
      </c>
      <c r="F7">
        <v>0.85379360000000004</v>
      </c>
      <c r="G7">
        <v>3.5030199999999997E-2</v>
      </c>
    </row>
    <row r="8" spans="2:7">
      <c r="B8" s="31">
        <v>44043</v>
      </c>
      <c r="C8">
        <v>0.90028739999999996</v>
      </c>
      <c r="D8">
        <v>0.76171100000000003</v>
      </c>
      <c r="E8">
        <v>1</v>
      </c>
      <c r="F8">
        <v>0.83571899999999999</v>
      </c>
      <c r="G8">
        <v>3.4272999999999998E-2</v>
      </c>
    </row>
    <row r="9" spans="2:7">
      <c r="B9" s="31">
        <v>44074</v>
      </c>
      <c r="C9">
        <v>0.89239000000000002</v>
      </c>
      <c r="D9">
        <v>0.74873000000000001</v>
      </c>
      <c r="E9">
        <v>1</v>
      </c>
      <c r="F9">
        <v>0.8286</v>
      </c>
      <c r="G9">
        <v>3.4419999999999999E-2</v>
      </c>
    </row>
    <row r="10" spans="2:7">
      <c r="B10" s="31">
        <v>44104</v>
      </c>
      <c r="C10">
        <v>0.91147599999999995</v>
      </c>
      <c r="D10">
        <v>0.77610000000000001</v>
      </c>
      <c r="E10">
        <v>1</v>
      </c>
      <c r="F10">
        <v>0.84448500000000004</v>
      </c>
      <c r="G10">
        <v>3.5531899999999998E-2</v>
      </c>
    </row>
    <row r="11" spans="2:7">
      <c r="B11" s="31">
        <v>44134</v>
      </c>
      <c r="C11">
        <v>0.90156999999999998</v>
      </c>
      <c r="D11">
        <v>0.77344999999999997</v>
      </c>
      <c r="E11">
        <v>1</v>
      </c>
      <c r="F11">
        <v>0.84151200000000004</v>
      </c>
      <c r="G11">
        <v>3.6479999999999999E-2</v>
      </c>
    </row>
    <row r="12" spans="2:7">
      <c r="B12" s="31">
        <v>44165</v>
      </c>
      <c r="C12">
        <v>0.89798900000000004</v>
      </c>
      <c r="D12">
        <v>0.74944433450000003</v>
      </c>
      <c r="E12">
        <v>1</v>
      </c>
      <c r="F12">
        <v>0.82953299999999996</v>
      </c>
      <c r="G12">
        <v>3.7187294099999997E-2</v>
      </c>
    </row>
    <row r="13" spans="2:7">
      <c r="B13" s="31">
        <v>44196</v>
      </c>
      <c r="C13">
        <v>0.90201799999999999</v>
      </c>
      <c r="D13">
        <v>0.73292000000000002</v>
      </c>
      <c r="E13">
        <v>1</v>
      </c>
      <c r="F13">
        <v>0.83177999999999996</v>
      </c>
      <c r="G13">
        <v>3.6862199999999998E-2</v>
      </c>
    </row>
    <row r="14" spans="2:7">
      <c r="B14" s="31">
        <v>44227</v>
      </c>
      <c r="C14">
        <v>0.8851</v>
      </c>
      <c r="D14">
        <v>0.72960000000000003</v>
      </c>
      <c r="E14">
        <v>1</v>
      </c>
      <c r="F14">
        <v>0.8196</v>
      </c>
      <c r="G14">
        <v>3.5799999999999998E-2</v>
      </c>
    </row>
    <row r="15" spans="2:7">
      <c r="B15" s="31">
        <v>44255</v>
      </c>
      <c r="C15">
        <v>0.86719999999999997</v>
      </c>
      <c r="D15">
        <v>0.71840000000000004</v>
      </c>
      <c r="E15">
        <v>1</v>
      </c>
      <c r="F15">
        <v>0.79079999999999995</v>
      </c>
      <c r="G15">
        <v>3.4430000000000002E-2</v>
      </c>
    </row>
    <row r="16" spans="2:7">
      <c r="B16" s="31">
        <v>44286</v>
      </c>
      <c r="C16">
        <v>0.85270000000000001</v>
      </c>
      <c r="D16">
        <v>0.72729999999999995</v>
      </c>
      <c r="E16">
        <v>1</v>
      </c>
      <c r="F16">
        <v>0.77170000000000005</v>
      </c>
      <c r="G16">
        <v>3.5360000000000003E-2</v>
      </c>
    </row>
    <row r="17" spans="2:7">
      <c r="B17" s="31">
        <v>44316</v>
      </c>
      <c r="C17">
        <v>0.87009999999999998</v>
      </c>
      <c r="D17">
        <v>0.72370000000000001</v>
      </c>
      <c r="E17">
        <v>1</v>
      </c>
      <c r="F17">
        <v>0.79249999999999998</v>
      </c>
      <c r="G17">
        <v>3.5749999999999997E-2</v>
      </c>
    </row>
    <row r="18" spans="2:7">
      <c r="B18" s="31">
        <v>44347</v>
      </c>
      <c r="C18">
        <v>0.86086499999999999</v>
      </c>
      <c r="D18">
        <v>0.70406899999999994</v>
      </c>
      <c r="E18">
        <v>1</v>
      </c>
      <c r="F18">
        <v>0.78327800000000003</v>
      </c>
      <c r="G18">
        <v>3.5362299999999999E-2</v>
      </c>
    </row>
    <row r="19" spans="2:7">
      <c r="B19" s="31">
        <v>44377</v>
      </c>
      <c r="C19">
        <v>0.85838499999999995</v>
      </c>
      <c r="D19">
        <v>0.72425300000000004</v>
      </c>
      <c r="E19">
        <v>1</v>
      </c>
      <c r="F19">
        <v>0.78227899999999995</v>
      </c>
      <c r="G19">
        <v>3.6289700000000001E-2</v>
      </c>
    </row>
    <row r="20" spans="2:7">
      <c r="B20" s="31">
        <v>44407</v>
      </c>
      <c r="C20">
        <v>0.85108499999999998</v>
      </c>
      <c r="D20">
        <v>0.71816199999999997</v>
      </c>
      <c r="E20">
        <v>1</v>
      </c>
      <c r="F20">
        <v>0.79018699999999997</v>
      </c>
      <c r="G20">
        <v>3.6076400000000002E-2</v>
      </c>
    </row>
    <row r="21" spans="2:7">
      <c r="B21" s="31">
        <v>44439</v>
      </c>
      <c r="C21">
        <v>0.85853000000000002</v>
      </c>
      <c r="D21">
        <v>0.72705399999999998</v>
      </c>
      <c r="E21">
        <v>1</v>
      </c>
      <c r="F21">
        <v>0.79397700000000004</v>
      </c>
      <c r="G21">
        <v>3.6164700000000001E-2</v>
      </c>
    </row>
    <row r="22" spans="2:7">
      <c r="B22" s="31">
        <v>44469</v>
      </c>
      <c r="C22">
        <v>0.85959300000000005</v>
      </c>
      <c r="D22">
        <v>0.742178</v>
      </c>
      <c r="E22">
        <v>1</v>
      </c>
      <c r="F22">
        <v>0.79630500000000004</v>
      </c>
      <c r="G22">
        <v>3.59796E-2</v>
      </c>
    </row>
    <row r="23" spans="2:7">
      <c r="B23" s="31">
        <v>44500</v>
      </c>
      <c r="C23">
        <v>0.84464799999999995</v>
      </c>
      <c r="D23">
        <v>0.73046</v>
      </c>
      <c r="E23">
        <v>1</v>
      </c>
      <c r="F23">
        <v>0.79807300000000003</v>
      </c>
      <c r="G23">
        <v>3.5521700000000003E-2</v>
      </c>
    </row>
    <row r="24" spans="2:7">
      <c r="B24" s="31">
        <v>44530</v>
      </c>
      <c r="C24">
        <v>0.84743100000000005</v>
      </c>
      <c r="D24">
        <v>0.75073699999999999</v>
      </c>
      <c r="E24">
        <v>1</v>
      </c>
      <c r="F24">
        <v>0.81320899999999996</v>
      </c>
      <c r="G24">
        <v>3.4641400000000003E-2</v>
      </c>
    </row>
    <row r="25" spans="2:7">
      <c r="B25" s="31">
        <v>44561</v>
      </c>
      <c r="C25">
        <v>0.84102900000000003</v>
      </c>
      <c r="D25">
        <v>0.73886200000000002</v>
      </c>
      <c r="E25">
        <v>1</v>
      </c>
      <c r="F25">
        <v>0.81046399999999996</v>
      </c>
      <c r="G25">
        <v>3.6041499999999997E-2</v>
      </c>
    </row>
    <row r="26" spans="2:7">
      <c r="B26" s="31">
        <v>44592</v>
      </c>
      <c r="C26">
        <v>0.83541900000000002</v>
      </c>
      <c r="D26">
        <v>0.74376799999999998</v>
      </c>
      <c r="E26">
        <v>1</v>
      </c>
      <c r="F26">
        <v>0.80247400000000002</v>
      </c>
      <c r="G26">
        <v>3.6037E-2</v>
      </c>
    </row>
    <row r="27" spans="2:7">
      <c r="B27" s="31">
        <v>44620</v>
      </c>
      <c r="C27">
        <v>0.83599299999999999</v>
      </c>
      <c r="D27">
        <v>0.74524199999999996</v>
      </c>
      <c r="E27">
        <v>1</v>
      </c>
      <c r="F27">
        <v>0.81008999999999998</v>
      </c>
      <c r="G27">
        <v>3.6395799999999999E-2</v>
      </c>
    </row>
    <row r="28" spans="2:7">
      <c r="B28" s="31">
        <v>44651</v>
      </c>
      <c r="C28">
        <v>0.84232636999999999</v>
      </c>
      <c r="D28">
        <v>0.76108500000000001</v>
      </c>
      <c r="E28">
        <v>1</v>
      </c>
      <c r="F28">
        <v>0.82460628999999996</v>
      </c>
      <c r="G28">
        <v>3.8307978999999999E-2</v>
      </c>
    </row>
    <row r="29" spans="2:7">
      <c r="B29" s="31">
        <v>44681</v>
      </c>
      <c r="C29">
        <v>0.83857400000000004</v>
      </c>
      <c r="D29">
        <v>0.79522999999999999</v>
      </c>
      <c r="E29">
        <v>1</v>
      </c>
      <c r="F29">
        <v>0.81669000000000003</v>
      </c>
      <c r="G29">
        <v>3.8972699999999999E-2</v>
      </c>
    </row>
    <row r="30" spans="2:7">
      <c r="B30" s="31">
        <v>44712</v>
      </c>
      <c r="C30">
        <v>0.85092999999999996</v>
      </c>
      <c r="D30">
        <v>0.79335900000000004</v>
      </c>
      <c r="E30">
        <v>1</v>
      </c>
      <c r="F30">
        <v>0.82799999999999996</v>
      </c>
      <c r="G30">
        <v>4.0480500000000003E-2</v>
      </c>
    </row>
    <row r="31" spans="2:7">
      <c r="B31" s="31">
        <v>44742</v>
      </c>
      <c r="C31">
        <v>0.86183799999999999</v>
      </c>
      <c r="D31">
        <v>0.82430599999999998</v>
      </c>
      <c r="E31">
        <v>1</v>
      </c>
      <c r="F31">
        <v>0.86068800000000001</v>
      </c>
      <c r="G31">
        <v>4.0902399999999998E-2</v>
      </c>
    </row>
    <row r="32" spans="2:7">
      <c r="B32" s="31">
        <v>44773</v>
      </c>
      <c r="C32">
        <v>0.83942499999999998</v>
      </c>
      <c r="D32">
        <v>0.82081000000000004</v>
      </c>
      <c r="E32">
        <v>1</v>
      </c>
      <c r="F32">
        <v>0.86216899999999996</v>
      </c>
      <c r="G32">
        <v>4.0313099999999998E-2</v>
      </c>
    </row>
    <row r="33" spans="2:7">
      <c r="B33" s="31">
        <v>44804</v>
      </c>
      <c r="C33">
        <v>0.85898799999999997</v>
      </c>
      <c r="D33">
        <v>0.86114999999999997</v>
      </c>
      <c r="E33">
        <v>1</v>
      </c>
      <c r="F33">
        <v>0.87988699999999997</v>
      </c>
      <c r="G33">
        <v>4.2604099999999999E-2</v>
      </c>
    </row>
    <row r="34" spans="2:7">
      <c r="B34" s="31">
        <v>44834</v>
      </c>
      <c r="C34">
        <v>0.87997999999999998</v>
      </c>
      <c r="D34">
        <v>0.89518699999999995</v>
      </c>
      <c r="E34">
        <v>1</v>
      </c>
      <c r="F34">
        <v>0.91817899999999997</v>
      </c>
      <c r="G34">
        <v>4.4472999999999999E-2</v>
      </c>
    </row>
    <row r="35" spans="2:7">
      <c r="B35" s="31">
        <v>44865</v>
      </c>
      <c r="C35">
        <v>0.85757700000000003</v>
      </c>
      <c r="D35">
        <v>0.86103700000000005</v>
      </c>
      <c r="E35">
        <v>1</v>
      </c>
      <c r="F35">
        <v>0.86448599999999998</v>
      </c>
      <c r="G35">
        <v>4.3458200000000002E-2</v>
      </c>
    </row>
    <row r="36" spans="2:7">
      <c r="B36" s="31">
        <v>44895</v>
      </c>
      <c r="C36">
        <v>0.86501399999999995</v>
      </c>
      <c r="D36">
        <v>0.83537600000000001</v>
      </c>
      <c r="E36">
        <v>1</v>
      </c>
      <c r="F36">
        <v>0.88204800000000005</v>
      </c>
      <c r="G36">
        <v>4.3212199999999999E-2</v>
      </c>
    </row>
    <row r="37" spans="2:7">
      <c r="B37" s="31">
        <v>44926</v>
      </c>
      <c r="C37">
        <v>0.88647699999999996</v>
      </c>
      <c r="D37">
        <v>0.82640000000000002</v>
      </c>
      <c r="E37">
        <v>1</v>
      </c>
      <c r="F37">
        <v>0.89366500000000004</v>
      </c>
      <c r="G37">
        <v>4.24147E-2</v>
      </c>
    </row>
    <row r="38" spans="2:7">
      <c r="B38" s="31">
        <v>44957</v>
      </c>
      <c r="C38">
        <v>0.87939999999999996</v>
      </c>
      <c r="D38">
        <v>0.83138500000000004</v>
      </c>
      <c r="E38">
        <v>1</v>
      </c>
      <c r="F38">
        <v>0.88102899999999995</v>
      </c>
      <c r="G38">
        <v>4.2500000000000003E-2</v>
      </c>
    </row>
    <row r="39" spans="2:7">
      <c r="B39" s="31">
        <v>44985</v>
      </c>
      <c r="C39">
        <v>0.87866500000000003</v>
      </c>
      <c r="D39">
        <v>0.82901499999999995</v>
      </c>
      <c r="E39">
        <v>1</v>
      </c>
      <c r="F39">
        <v>0.88495100000000004</v>
      </c>
      <c r="G39">
        <v>4.5093099999999997E-2</v>
      </c>
    </row>
    <row r="40" spans="2:7">
      <c r="B40" s="31">
        <v>45016</v>
      </c>
      <c r="C40">
        <v>0.88007899999999994</v>
      </c>
      <c r="D40">
        <v>0.80628900000000003</v>
      </c>
      <c r="E40">
        <v>1</v>
      </c>
      <c r="F40">
        <v>0.88136700000000001</v>
      </c>
      <c r="G40">
        <v>4.49494E-2</v>
      </c>
    </row>
    <row r="41" spans="2:7">
      <c r="B41" s="31">
        <v>45046</v>
      </c>
      <c r="C41">
        <v>0.87244999999999995</v>
      </c>
      <c r="D41">
        <v>0.79917000000000005</v>
      </c>
      <c r="E41">
        <v>1</v>
      </c>
      <c r="F41">
        <v>0.89385999999999999</v>
      </c>
      <c r="G41">
        <v>4.5440000000000001E-2</v>
      </c>
    </row>
    <row r="42" spans="2:7">
      <c r="B42" s="31">
        <v>45077</v>
      </c>
      <c r="C42">
        <v>0.86304899999999996</v>
      </c>
      <c r="D42">
        <v>0.80701999999999996</v>
      </c>
      <c r="E42">
        <v>1</v>
      </c>
      <c r="F42">
        <v>0.88542799999999999</v>
      </c>
      <c r="G42">
        <v>4.5684200000000001E-2</v>
      </c>
    </row>
    <row r="43" spans="2:7">
      <c r="B43" s="31">
        <v>45107</v>
      </c>
      <c r="C43">
        <v>0.86257790000000001</v>
      </c>
      <c r="D43">
        <v>0.79390700000000003</v>
      </c>
      <c r="E43">
        <v>1</v>
      </c>
      <c r="F43">
        <v>0.13149910000000001</v>
      </c>
      <c r="G43">
        <v>4.6355100000000003E-2</v>
      </c>
    </row>
    <row r="44" spans="2:7">
      <c r="B44" s="31">
        <v>45138</v>
      </c>
      <c r="C44">
        <v>0.86128199999999999</v>
      </c>
      <c r="D44">
        <v>0.78647690000000003</v>
      </c>
      <c r="E44">
        <v>1</v>
      </c>
      <c r="F44">
        <v>0.89952049999999995</v>
      </c>
      <c r="G44">
        <v>4.5384000000000001E-2</v>
      </c>
    </row>
    <row r="45" spans="2:7">
      <c r="B45" s="31">
        <v>45169</v>
      </c>
      <c r="C45">
        <v>0.85821599999999998</v>
      </c>
      <c r="D45">
        <v>0.78597446000000004</v>
      </c>
      <c r="E45">
        <v>1</v>
      </c>
      <c r="F45">
        <v>0.89460099999999998</v>
      </c>
      <c r="G45">
        <v>4.69165E-2</v>
      </c>
    </row>
    <row r="46" spans="2:7">
      <c r="B46" s="31">
        <v>45199</v>
      </c>
      <c r="C46">
        <v>0.86741900000000005</v>
      </c>
      <c r="D46">
        <v>0.81983700000000004</v>
      </c>
      <c r="E46">
        <v>1</v>
      </c>
      <c r="F46">
        <v>0.89573400000000003</v>
      </c>
      <c r="G46">
        <v>4.7071799999999997E-2</v>
      </c>
    </row>
    <row r="47" spans="2:7">
      <c r="B47" s="31">
        <v>45230</v>
      </c>
      <c r="C47">
        <v>0.87317599999999995</v>
      </c>
      <c r="D47">
        <v>0.82298899999999997</v>
      </c>
      <c r="E47">
        <v>1</v>
      </c>
      <c r="F47">
        <v>0.91259100000000004</v>
      </c>
      <c r="G47">
        <v>4.5698299999999997E-2</v>
      </c>
    </row>
    <row r="48" spans="2:7">
      <c r="B48" s="31">
        <v>45260</v>
      </c>
      <c r="C48">
        <v>0.86438000000000004</v>
      </c>
      <c r="D48">
        <v>0.787906</v>
      </c>
      <c r="E48">
        <v>1</v>
      </c>
      <c r="F48">
        <v>0.90244800000000003</v>
      </c>
      <c r="G48">
        <v>4.5603499999999998E-2</v>
      </c>
    </row>
    <row r="49" spans="2:7">
      <c r="B49" s="31">
        <v>45291</v>
      </c>
      <c r="C49">
        <v>0.86726400000000003</v>
      </c>
      <c r="D49">
        <v>0.78516900000000001</v>
      </c>
      <c r="E49">
        <v>1</v>
      </c>
      <c r="F49">
        <v>0.93334799999999996</v>
      </c>
      <c r="G49">
        <v>4.63147E-2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DFD208AA90874BA9CBB511DA3BCA12" ma:contentTypeVersion="19" ma:contentTypeDescription="Create a new document." ma:contentTypeScope="" ma:versionID="5139598b23b80a71f709972afbc6fc56">
  <xsd:schema xmlns:xsd="http://www.w3.org/2001/XMLSchema" xmlns:xs="http://www.w3.org/2001/XMLSchema" xmlns:p="http://schemas.microsoft.com/office/2006/metadata/properties" xmlns:ns2="22428f4e-752e-40c6-b68b-6e1cb6e3bb76" xmlns:ns3="d4153bc6-9f5e-4475-8638-e18da9a4a410" targetNamespace="http://schemas.microsoft.com/office/2006/metadata/properties" ma:root="true" ma:fieldsID="99d0260bdd43a481ba1e27ad27030fd3" ns2:_="" ns3:_="">
    <xsd:import namespace="22428f4e-752e-40c6-b68b-6e1cb6e3bb76"/>
    <xsd:import namespace="d4153bc6-9f5e-4475-8638-e18da9a4a41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428f4e-752e-40c6-b68b-6e1cb6e3bb7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  <xsd:element name="TaxCatchAll" ma:index="23" nillable="true" ma:displayName="Taxonomy Catch All Column" ma:hidden="true" ma:list="{fe9e1c99-2c39-4217-b787-ad1439557a9f}" ma:internalName="TaxCatchAll" ma:showField="CatchAllData" ma:web="22428f4e-752e-40c6-b68b-6e1cb6e3bb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153bc6-9f5e-4475-8638-e18da9a4a4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14c6e9a-4c33-454e-8dc9-9e27271d2f4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2428f4e-752e-40c6-b68b-6e1cb6e3bb76">
      <UserInfo>
        <DisplayName>Simon Retallack</DisplayName>
        <AccountId>45</AccountId>
        <AccountType/>
      </UserInfo>
      <UserInfo>
        <DisplayName>Anastasia Harris</DisplayName>
        <AccountId>129</AccountId>
        <AccountType/>
      </UserInfo>
    </SharedWithUsers>
    <MediaServiceFastMetadata xmlns="d4153bc6-9f5e-4475-8638-e18da9a4a410" xsi:nil="true"/>
    <MediaServiceMetadata xmlns="d4153bc6-9f5e-4475-8638-e18da9a4a410" xsi:nil="true"/>
    <lcf76f155ced4ddcb4097134ff3c332f xmlns="d4153bc6-9f5e-4475-8638-e18da9a4a410">
      <Terms xmlns="http://schemas.microsoft.com/office/infopath/2007/PartnerControls"/>
    </lcf76f155ced4ddcb4097134ff3c332f>
    <TaxCatchAll xmlns="22428f4e-752e-40c6-b68b-6e1cb6e3bb76" xsi:nil="true"/>
  </documentManagement>
</p:properties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F21CD7-22EC-4390-8E19-6AD841E754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428f4e-752e-40c6-b68b-6e1cb6e3bb76"/>
    <ds:schemaRef ds:uri="d4153bc6-9f5e-4475-8638-e18da9a4a4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BF84AC-D809-4EA4-B963-1517D6FF4936}">
  <ds:schemaRefs>
    <ds:schemaRef ds:uri="http://schemas.microsoft.com/office/2006/metadata/properties"/>
    <ds:schemaRef ds:uri="http://www.w3.org/XML/1998/namespace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  <ds:schemaRef ds:uri="22428f4e-752e-40c6-b68b-6e1cb6e3bb76"/>
    <ds:schemaRef ds:uri="http://schemas.microsoft.com/office/infopath/2007/PartnerControls"/>
    <ds:schemaRef ds:uri="d4153bc6-9f5e-4475-8638-e18da9a4a410"/>
  </ds:schemaRefs>
</ds:datastoreItem>
</file>

<file path=customXml/itemProps3.xml><?xml version="1.0" encoding="utf-8"?>
<ds:datastoreItem xmlns:ds="http://schemas.openxmlformats.org/officeDocument/2006/customXml" ds:itemID="{45E89F1C-388A-41FB-B654-2017D29834DE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E454A020-4291-4351-8320-89154A06BDC8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96e14e5a-57ac-48d7-851d-12f54eff5a60}" enabled="0" method="" siteId="{96e14e5a-57ac-48d7-851d-12f54eff5a6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GeneralPipelineProgress</vt:lpstr>
      <vt:lpstr>Currency MXN</vt:lpstr>
      <vt:lpstr>Currency GBP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Yaxian</dc:creator>
  <cp:keywords/>
  <dc:description/>
  <cp:lastModifiedBy>Dayan Rodriguez</cp:lastModifiedBy>
  <cp:revision/>
  <dcterms:created xsi:type="dcterms:W3CDTF">2016-09-06T03:18:12Z</dcterms:created>
  <dcterms:modified xsi:type="dcterms:W3CDTF">2024-01-30T05:16:34Z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0x0101007CDFD208AA90874BA9CBB511DA3BCA12</vt:lpwstr>
  </property>
  <property fmtid="{D5CDD505-2E9C-101B-9397-08002B2CF9AE}" pid="3" name="_dlc_DocIdItemGuid">
    <vt:lpwstr>d08b08d4-6e12-4f0f-863c-cef57cdca9cd</vt:lpwstr>
  </property>
  <property fmtid="{D5CDD505-2E9C-101B-9397-08002B2CF9AE}" pid="4" name="Order">
    <vt:r8>400</vt:r8>
  </property>
  <property fmtid="{D5CDD505-2E9C-101B-9397-08002B2CF9AE}" pid="5" name="ComplianceAssetId">
    <vt:lpwstr/>
  </property>
  <property fmtid="{D5CDD505-2E9C-101B-9397-08002B2CF9AE}" pid="6" name="AuthorIds_UIVersion_352256">
    <vt:lpwstr>41</vt:lpwstr>
  </property>
  <property fmtid="{D5CDD505-2E9C-101B-9397-08002B2CF9AE}" pid="7" name="MediaServiceImageTags">
    <vt:lpwstr/>
  </property>
</Properties>
</file>