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OneDrive - Aalto University\European Energy Markets\OSMOSYS_SMAA\Scenarios_Greee\Scenarios_Greee\Github\"/>
    </mc:Choice>
  </mc:AlternateContent>
  <xr:revisionPtr revIDLastSave="0" documentId="13_ncr:1_{4F735C51-8D11-4377-9599-49149F531A97}" xr6:coauthVersionLast="47" xr6:coauthVersionMax="47" xr10:uidLastSave="{00000000-0000-0000-0000-000000000000}"/>
  <bookViews>
    <workbookView xWindow="-108" yWindow="-108" windowWidth="23256" windowHeight="12456" firstSheet="1" activeTab="6" xr2:uid="{60022055-47EF-4BD1-A04D-FDA4B6AF85B6}"/>
  </bookViews>
  <sheets>
    <sheet name="Visualization_v1" sheetId="1" state="hidden" r:id="rId1"/>
    <sheet name="Visualization_v2" sheetId="6" r:id="rId2"/>
    <sheet name="Radar_Chart" sheetId="7" r:id="rId3"/>
    <sheet name="Multicriteria_updated" sheetId="2" state="hidden" r:id="rId4"/>
    <sheet name="Multicriteria_updated_v2" sheetId="5" state="hidden" r:id="rId5"/>
    <sheet name="Weight_scenarios" sheetId="3" r:id="rId6"/>
    <sheet name="Criteria_Scenario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 l="1"/>
  <c r="E31" i="3"/>
  <c r="E30" i="3"/>
  <c r="O28" i="6"/>
  <c r="P28" i="6"/>
  <c r="Q28" i="6"/>
  <c r="R28" i="6"/>
  <c r="S28" i="6"/>
  <c r="T28" i="6"/>
  <c r="U28" i="6"/>
  <c r="O29" i="6"/>
  <c r="P29" i="6"/>
  <c r="Q29" i="6"/>
  <c r="R29" i="6"/>
  <c r="S29" i="6"/>
  <c r="T29" i="6"/>
  <c r="U29" i="6"/>
  <c r="O30" i="6"/>
  <c r="P30" i="6"/>
  <c r="Q30" i="6"/>
  <c r="R30" i="6"/>
  <c r="S30" i="6"/>
  <c r="T30" i="6"/>
  <c r="U30" i="6"/>
  <c r="N29" i="6"/>
  <c r="N30" i="6"/>
  <c r="N28" i="6"/>
  <c r="O26" i="6"/>
  <c r="AS39" i="6"/>
  <c r="AR39" i="6"/>
  <c r="AQ39" i="6"/>
  <c r="AP39" i="6"/>
  <c r="AO39" i="6"/>
  <c r="AN39" i="6"/>
  <c r="AM39" i="6"/>
  <c r="AL39" i="6"/>
  <c r="AK39" i="6"/>
  <c r="AJ39" i="6"/>
  <c r="AS38" i="6"/>
  <c r="AR38" i="6"/>
  <c r="AQ38" i="6"/>
  <c r="AP38" i="6"/>
  <c r="AO38" i="6"/>
  <c r="AN38" i="6"/>
  <c r="AM38" i="6"/>
  <c r="AL38" i="6"/>
  <c r="AK38" i="6"/>
  <c r="AJ38" i="6"/>
  <c r="AS37" i="6"/>
  <c r="AR37" i="6"/>
  <c r="AQ37" i="6"/>
  <c r="AP37" i="6"/>
  <c r="AO37" i="6"/>
  <c r="AN37" i="6"/>
  <c r="AM37" i="6"/>
  <c r="AL37" i="6"/>
  <c r="AK37" i="6"/>
  <c r="AJ37" i="6"/>
  <c r="AS36" i="6"/>
  <c r="AR36" i="6"/>
  <c r="AQ36" i="6"/>
  <c r="AP36" i="6"/>
  <c r="AO36" i="6"/>
  <c r="AN36" i="6"/>
  <c r="AM36" i="6"/>
  <c r="AL36" i="6"/>
  <c r="AK36" i="6"/>
  <c r="AJ36" i="6"/>
  <c r="AS31" i="6"/>
  <c r="AR31" i="6"/>
  <c r="AQ31" i="6"/>
  <c r="AP31" i="6"/>
  <c r="AO31" i="6"/>
  <c r="AN31" i="6"/>
  <c r="AM31" i="6"/>
  <c r="AL31" i="6"/>
  <c r="AK31" i="6"/>
  <c r="AJ31" i="6"/>
  <c r="AS30" i="6"/>
  <c r="AR30" i="6"/>
  <c r="AQ30" i="6"/>
  <c r="AP30" i="6"/>
  <c r="AO30" i="6"/>
  <c r="AN30" i="6"/>
  <c r="AM30" i="6"/>
  <c r="AL30" i="6"/>
  <c r="AK30" i="6"/>
  <c r="AJ30" i="6"/>
  <c r="AS29" i="6"/>
  <c r="AR29" i="6"/>
  <c r="AQ29" i="6"/>
  <c r="AP29" i="6"/>
  <c r="AO29" i="6"/>
  <c r="AN29" i="6"/>
  <c r="AM29" i="6"/>
  <c r="AL29" i="6"/>
  <c r="AK29" i="6"/>
  <c r="AJ29" i="6"/>
  <c r="T26" i="6"/>
  <c r="S26" i="6"/>
  <c r="R26" i="6"/>
  <c r="Q26" i="6"/>
  <c r="P26" i="6"/>
  <c r="N26" i="6"/>
  <c r="I13" i="6"/>
  <c r="H13" i="6"/>
  <c r="G13" i="6"/>
  <c r="F13" i="6"/>
  <c r="E13" i="6"/>
  <c r="D13" i="6"/>
  <c r="C13" i="6"/>
  <c r="I12" i="6"/>
  <c r="H12" i="6"/>
  <c r="G12" i="6"/>
  <c r="F12" i="6"/>
  <c r="E12" i="6"/>
  <c r="D12" i="6"/>
  <c r="C12" i="6"/>
  <c r="I11" i="6"/>
  <c r="H11" i="6"/>
  <c r="G11" i="6"/>
  <c r="F11" i="6"/>
  <c r="E11" i="6"/>
  <c r="D11" i="6"/>
  <c r="D14" i="6" s="1"/>
  <c r="D15" i="6" s="1"/>
  <c r="C11" i="6"/>
  <c r="CS39" i="5"/>
  <c r="CR39" i="5"/>
  <c r="CQ39" i="5"/>
  <c r="CP39" i="5"/>
  <c r="CO39" i="5"/>
  <c r="CN39" i="5"/>
  <c r="CM39" i="5"/>
  <c r="CL39" i="5"/>
  <c r="CK39" i="5"/>
  <c r="CJ39" i="5"/>
  <c r="CS38" i="5"/>
  <c r="CR38" i="5"/>
  <c r="CQ38" i="5"/>
  <c r="CP38" i="5"/>
  <c r="CO38" i="5"/>
  <c r="CN38" i="5"/>
  <c r="CM38" i="5"/>
  <c r="CL38" i="5"/>
  <c r="CK38" i="5"/>
  <c r="CJ38" i="5"/>
  <c r="CS37" i="5"/>
  <c r="CR37" i="5"/>
  <c r="CQ37" i="5"/>
  <c r="CP37" i="5"/>
  <c r="CO37" i="5"/>
  <c r="CN37" i="5"/>
  <c r="CM37" i="5"/>
  <c r="CL37" i="5"/>
  <c r="CK37" i="5"/>
  <c r="CJ37" i="5"/>
  <c r="CS36" i="5"/>
  <c r="CR36" i="5"/>
  <c r="CQ36" i="5"/>
  <c r="CP36" i="5"/>
  <c r="CO36" i="5"/>
  <c r="CN36" i="5"/>
  <c r="CM36" i="5"/>
  <c r="CL36" i="5"/>
  <c r="CK36" i="5"/>
  <c r="CJ36" i="5"/>
  <c r="CS31" i="5"/>
  <c r="CR31" i="5"/>
  <c r="CQ31" i="5"/>
  <c r="CP31" i="5"/>
  <c r="CO31" i="5"/>
  <c r="CN31" i="5"/>
  <c r="CM31" i="5"/>
  <c r="CL31" i="5"/>
  <c r="CK31" i="5"/>
  <c r="CJ31" i="5"/>
  <c r="CS30" i="5"/>
  <c r="CR30" i="5"/>
  <c r="CQ30" i="5"/>
  <c r="CP30" i="5"/>
  <c r="CO30" i="5"/>
  <c r="CN30" i="5"/>
  <c r="CM30" i="5"/>
  <c r="CL30" i="5"/>
  <c r="CK30" i="5"/>
  <c r="CJ30" i="5"/>
  <c r="CS29" i="5"/>
  <c r="CR29" i="5"/>
  <c r="CQ29" i="5"/>
  <c r="CP29" i="5"/>
  <c r="CO29" i="5"/>
  <c r="CN29" i="5"/>
  <c r="CM29" i="5"/>
  <c r="CL29" i="5"/>
  <c r="CK29" i="5"/>
  <c r="CJ29" i="5"/>
  <c r="S26" i="5"/>
  <c r="R26" i="5"/>
  <c r="Q26" i="5"/>
  <c r="P26" i="5"/>
  <c r="O26" i="5"/>
  <c r="N26" i="5"/>
  <c r="M26" i="5"/>
  <c r="H13" i="5"/>
  <c r="G13" i="5"/>
  <c r="F13" i="5"/>
  <c r="E13" i="5"/>
  <c r="D13" i="5"/>
  <c r="C13" i="5"/>
  <c r="B13" i="5"/>
  <c r="H12" i="5"/>
  <c r="G12" i="5"/>
  <c r="F12" i="5"/>
  <c r="E12" i="5"/>
  <c r="D12" i="5"/>
  <c r="C12" i="5"/>
  <c r="B12" i="5"/>
  <c r="H11" i="5"/>
  <c r="G11" i="5"/>
  <c r="F11" i="5"/>
  <c r="E11" i="5"/>
  <c r="D11" i="5"/>
  <c r="C11" i="5"/>
  <c r="B11" i="5"/>
  <c r="M10" i="5"/>
  <c r="M12" i="5" s="1"/>
  <c r="E26" i="3"/>
  <c r="R45" i="3"/>
  <c r="N41" i="3"/>
  <c r="N50" i="3" s="1"/>
  <c r="M41" i="3"/>
  <c r="M47" i="3" s="1"/>
  <c r="L41" i="3"/>
  <c r="K41" i="3"/>
  <c r="K49" i="3" s="1"/>
  <c r="J41" i="3"/>
  <c r="J46" i="3" s="1"/>
  <c r="N37" i="3"/>
  <c r="M37" i="3"/>
  <c r="L37" i="3"/>
  <c r="K37" i="3"/>
  <c r="J37" i="3"/>
  <c r="I37" i="3"/>
  <c r="H37" i="3"/>
  <c r="G37" i="3"/>
  <c r="F37" i="3"/>
  <c r="E37" i="3"/>
  <c r="M36" i="3"/>
  <c r="L36" i="3"/>
  <c r="K36" i="3"/>
  <c r="J36" i="3"/>
  <c r="I36" i="3"/>
  <c r="H36" i="3"/>
  <c r="G36" i="3"/>
  <c r="F36" i="3"/>
  <c r="E36" i="3"/>
  <c r="L35" i="3"/>
  <c r="K35" i="3"/>
  <c r="J35" i="3"/>
  <c r="I35" i="3"/>
  <c r="H35" i="3"/>
  <c r="G35" i="3"/>
  <c r="F35" i="3"/>
  <c r="E35" i="3"/>
  <c r="K34" i="3"/>
  <c r="J34" i="3"/>
  <c r="I34" i="3"/>
  <c r="H34" i="3"/>
  <c r="G34" i="3"/>
  <c r="F34" i="3"/>
  <c r="E34" i="3"/>
  <c r="J33" i="3"/>
  <c r="I41" i="3" s="1"/>
  <c r="I33" i="3"/>
  <c r="H33" i="3"/>
  <c r="G33" i="3"/>
  <c r="F33" i="3"/>
  <c r="E33" i="3"/>
  <c r="I32" i="3"/>
  <c r="H32" i="3"/>
  <c r="G32" i="3"/>
  <c r="F32" i="3"/>
  <c r="J26" i="3"/>
  <c r="H31" i="3"/>
  <c r="G31" i="3"/>
  <c r="F31" i="3"/>
  <c r="I26" i="3"/>
  <c r="G30" i="3"/>
  <c r="F30" i="3"/>
  <c r="H26" i="3"/>
  <c r="F29" i="3"/>
  <c r="E29" i="3"/>
  <c r="G26" i="3"/>
  <c r="E28" i="3"/>
  <c r="F26" i="3"/>
  <c r="O26" i="3"/>
  <c r="N26" i="3"/>
  <c r="M26" i="3"/>
  <c r="L26" i="3"/>
  <c r="K26" i="3"/>
  <c r="C18" i="3"/>
  <c r="C17" i="3"/>
  <c r="C16" i="3"/>
  <c r="C15" i="3"/>
  <c r="AN45" i="6" l="1"/>
  <c r="AL46" i="6"/>
  <c r="AJ47" i="6"/>
  <c r="N43" i="3"/>
  <c r="N44" i="3"/>
  <c r="N47" i="3"/>
  <c r="E14" i="6"/>
  <c r="E15" i="6" s="1"/>
  <c r="E20" i="6" s="1"/>
  <c r="E25" i="6" s="1"/>
  <c r="N49" i="3"/>
  <c r="C14" i="5"/>
  <c r="C15" i="5" s="1"/>
  <c r="E14" i="5"/>
  <c r="E15" i="5" s="1"/>
  <c r="E19" i="5" s="1"/>
  <c r="E24" i="5" s="1"/>
  <c r="B14" i="5"/>
  <c r="B15" i="5" s="1"/>
  <c r="G14" i="5"/>
  <c r="G15" i="5" s="1"/>
  <c r="G19" i="5" s="1"/>
  <c r="G24" i="5" s="1"/>
  <c r="H14" i="5"/>
  <c r="H15" i="5" s="1"/>
  <c r="H18" i="5" s="1"/>
  <c r="H23" i="5" s="1"/>
  <c r="CQ45" i="5"/>
  <c r="CO46" i="5"/>
  <c r="CM47" i="5"/>
  <c r="CK48" i="5"/>
  <c r="F14" i="5"/>
  <c r="F15" i="5" s="1"/>
  <c r="F20" i="5" s="1"/>
  <c r="F25" i="5" s="1"/>
  <c r="K45" i="3"/>
  <c r="F14" i="6"/>
  <c r="F15" i="6" s="1"/>
  <c r="F18" i="6" s="1"/>
  <c r="F23" i="6" s="1"/>
  <c r="G14" i="6"/>
  <c r="G15" i="6" s="1"/>
  <c r="G18" i="6" s="1"/>
  <c r="G23" i="6" s="1"/>
  <c r="AP48" i="6"/>
  <c r="C14" i="6"/>
  <c r="C15" i="6" s="1"/>
  <c r="C18" i="6" s="1"/>
  <c r="C23" i="6" s="1"/>
  <c r="K46" i="3"/>
  <c r="M46" i="3"/>
  <c r="M43" i="3"/>
  <c r="K48" i="3"/>
  <c r="M44" i="3"/>
  <c r="M52" i="3"/>
  <c r="AK47" i="6"/>
  <c r="AL45" i="6"/>
  <c r="AN46" i="6"/>
  <c r="AR46" i="6"/>
  <c r="AP47" i="6"/>
  <c r="AN48" i="6"/>
  <c r="AS47" i="6"/>
  <c r="AM45" i="6"/>
  <c r="AK46" i="6"/>
  <c r="AS46" i="6"/>
  <c r="AQ47" i="6"/>
  <c r="AO48" i="6"/>
  <c r="AM46" i="6"/>
  <c r="H14" i="6"/>
  <c r="H15" i="6" s="1"/>
  <c r="H20" i="6" s="1"/>
  <c r="H25" i="6" s="1"/>
  <c r="AP45" i="6"/>
  <c r="AL47" i="6"/>
  <c r="AL48" i="6"/>
  <c r="I14" i="6"/>
  <c r="I15" i="6" s="1"/>
  <c r="I18" i="6" s="1"/>
  <c r="I23" i="6" s="1"/>
  <c r="AQ45" i="6"/>
  <c r="AO46" i="6"/>
  <c r="AR47" i="6"/>
  <c r="AJ45" i="6"/>
  <c r="AR45" i="6"/>
  <c r="AO45" i="6"/>
  <c r="AQ48" i="6"/>
  <c r="AK45" i="6"/>
  <c r="AS45" i="6"/>
  <c r="AO47" i="6"/>
  <c r="AM48" i="6"/>
  <c r="E18" i="6"/>
  <c r="E23" i="6" s="1"/>
  <c r="E19" i="6"/>
  <c r="E24" i="6" s="1"/>
  <c r="D18" i="6"/>
  <c r="D23" i="6" s="1"/>
  <c r="D19" i="6"/>
  <c r="D24" i="6" s="1"/>
  <c r="D20" i="6"/>
  <c r="D25" i="6" s="1"/>
  <c r="AM47" i="6"/>
  <c r="AQ46" i="6"/>
  <c r="AS48" i="6"/>
  <c r="AJ48" i="6"/>
  <c r="AN47" i="6"/>
  <c r="AR48" i="6"/>
  <c r="AK48" i="6"/>
  <c r="AJ46" i="6"/>
  <c r="AP46" i="6"/>
  <c r="B19" i="5"/>
  <c r="B24" i="5" s="1"/>
  <c r="B18" i="5"/>
  <c r="B23" i="5" s="1"/>
  <c r="B20" i="5"/>
  <c r="B25" i="5" s="1"/>
  <c r="C18" i="5"/>
  <c r="C23" i="5" s="1"/>
  <c r="C20" i="5"/>
  <c r="C25" i="5" s="1"/>
  <c r="C19" i="5"/>
  <c r="C24" i="5" s="1"/>
  <c r="CL48" i="5"/>
  <c r="D14" i="5"/>
  <c r="D15" i="5" s="1"/>
  <c r="D18" i="5" s="1"/>
  <c r="D23" i="5" s="1"/>
  <c r="CK45" i="5"/>
  <c r="CS45" i="5"/>
  <c r="CQ46" i="5"/>
  <c r="CJ45" i="5"/>
  <c r="CP46" i="5"/>
  <c r="CL45" i="5"/>
  <c r="CN47" i="5"/>
  <c r="CM45" i="5"/>
  <c r="CR45" i="5"/>
  <c r="CN45" i="5"/>
  <c r="CR46" i="5"/>
  <c r="CK46" i="5"/>
  <c r="CQ48" i="5"/>
  <c r="CO45" i="5"/>
  <c r="CO47" i="5"/>
  <c r="CS47" i="5"/>
  <c r="CP45" i="5"/>
  <c r="CN46" i="5"/>
  <c r="CQ47" i="5"/>
  <c r="CJ48" i="5"/>
  <c r="CR48" i="5"/>
  <c r="CS48" i="5"/>
  <c r="E18" i="5"/>
  <c r="E23" i="5" s="1"/>
  <c r="G18" i="5"/>
  <c r="G23" i="5" s="1"/>
  <c r="G20" i="5"/>
  <c r="G25" i="5" s="1"/>
  <c r="CS46" i="5"/>
  <c r="CM48" i="5"/>
  <c r="CL46" i="5"/>
  <c r="CN48" i="5"/>
  <c r="CJ47" i="5"/>
  <c r="CO48" i="5"/>
  <c r="CP48" i="5"/>
  <c r="CL47" i="5"/>
  <c r="H20" i="5"/>
  <c r="H25" i="5" s="1"/>
  <c r="CP47" i="5"/>
  <c r="CM46" i="5"/>
  <c r="CR47" i="5"/>
  <c r="CK47" i="5"/>
  <c r="H19" i="5"/>
  <c r="H24" i="5" s="1"/>
  <c r="CJ46" i="5"/>
  <c r="G41" i="3"/>
  <c r="G47" i="3" s="1"/>
  <c r="H41" i="3"/>
  <c r="E41" i="3"/>
  <c r="E51" i="3" s="1"/>
  <c r="F41" i="3"/>
  <c r="F43" i="3" s="1"/>
  <c r="I51" i="3"/>
  <c r="I46" i="3"/>
  <c r="I49" i="3"/>
  <c r="I52" i="3"/>
  <c r="I47" i="3"/>
  <c r="I44" i="3"/>
  <c r="I43" i="3"/>
  <c r="I50" i="3"/>
  <c r="I53" i="3"/>
  <c r="I48" i="3"/>
  <c r="I45" i="3"/>
  <c r="L49" i="3"/>
  <c r="J51" i="3"/>
  <c r="J45" i="3"/>
  <c r="L46" i="3"/>
  <c r="J48" i="3"/>
  <c r="M49" i="3"/>
  <c r="K51" i="3"/>
  <c r="N52" i="3"/>
  <c r="D41" i="3"/>
  <c r="L51" i="3"/>
  <c r="J53" i="3"/>
  <c r="L45" i="3"/>
  <c r="N46" i="3"/>
  <c r="L48" i="3"/>
  <c r="J50" i="3"/>
  <c r="M51" i="3"/>
  <c r="K53" i="3"/>
  <c r="J43" i="3"/>
  <c r="J44" i="3"/>
  <c r="M45" i="3"/>
  <c r="J47" i="3"/>
  <c r="M48" i="3"/>
  <c r="K50" i="3"/>
  <c r="N51" i="3"/>
  <c r="L53" i="3"/>
  <c r="K43" i="3"/>
  <c r="K44" i="3"/>
  <c r="N45" i="3"/>
  <c r="K47" i="3"/>
  <c r="N48" i="3"/>
  <c r="L50" i="3"/>
  <c r="J52" i="3"/>
  <c r="M53" i="3"/>
  <c r="L43" i="3"/>
  <c r="L44" i="3"/>
  <c r="L47" i="3"/>
  <c r="J49" i="3"/>
  <c r="M50" i="3"/>
  <c r="K52" i="3"/>
  <c r="N53" i="3"/>
  <c r="L52" i="3"/>
  <c r="F20" i="6" l="1"/>
  <c r="F25" i="6" s="1"/>
  <c r="C19" i="6"/>
  <c r="C24" i="6" s="1"/>
  <c r="G19" i="6"/>
  <c r="G24" i="6" s="1"/>
  <c r="I19" i="6"/>
  <c r="I24" i="6" s="1"/>
  <c r="I28" i="6" s="1"/>
  <c r="I39" i="6" s="1"/>
  <c r="C20" i="6"/>
  <c r="C25" i="6" s="1"/>
  <c r="H48" i="3"/>
  <c r="H50" i="3"/>
  <c r="E20" i="5"/>
  <c r="E25" i="5" s="1"/>
  <c r="E27" i="5" s="1"/>
  <c r="E33" i="5" s="1"/>
  <c r="F19" i="5"/>
  <c r="F24" i="5" s="1"/>
  <c r="B27" i="5"/>
  <c r="B34" i="5" s="1"/>
  <c r="B28" i="5"/>
  <c r="B39" i="5" s="1"/>
  <c r="D19" i="5"/>
  <c r="D24" i="5" s="1"/>
  <c r="F18" i="5"/>
  <c r="F23" i="5" s="1"/>
  <c r="C28" i="5"/>
  <c r="C38" i="5" s="1"/>
  <c r="CH48" i="5"/>
  <c r="CH45" i="5"/>
  <c r="C27" i="5"/>
  <c r="C32" i="5" s="1"/>
  <c r="D47" i="3"/>
  <c r="D48" i="3"/>
  <c r="D43" i="3"/>
  <c r="D51" i="3"/>
  <c r="D44" i="3"/>
  <c r="D52" i="3"/>
  <c r="D49" i="3"/>
  <c r="D53" i="3"/>
  <c r="D50" i="3"/>
  <c r="D45" i="3"/>
  <c r="D46" i="3"/>
  <c r="AH45" i="6"/>
  <c r="G20" i="6"/>
  <c r="G25" i="6" s="1"/>
  <c r="G27" i="6" s="1"/>
  <c r="F19" i="6"/>
  <c r="F24" i="6" s="1"/>
  <c r="F27" i="6" s="1"/>
  <c r="F32" i="6" s="1"/>
  <c r="I20" i="6"/>
  <c r="I25" i="6" s="1"/>
  <c r="AH47" i="6"/>
  <c r="H18" i="6"/>
  <c r="H23" i="6" s="1"/>
  <c r="H19" i="6"/>
  <c r="H24" i="6" s="1"/>
  <c r="C27" i="6"/>
  <c r="C32" i="6" s="1"/>
  <c r="C28" i="6"/>
  <c r="C40" i="6" s="1"/>
  <c r="E27" i="6"/>
  <c r="E32" i="6" s="1"/>
  <c r="E28" i="6"/>
  <c r="E40" i="6" s="1"/>
  <c r="AH48" i="6"/>
  <c r="H28" i="6"/>
  <c r="H40" i="6" s="1"/>
  <c r="AH46" i="6"/>
  <c r="D27" i="6"/>
  <c r="D33" i="6" s="1"/>
  <c r="D28" i="6"/>
  <c r="D40" i="6" s="1"/>
  <c r="H27" i="5"/>
  <c r="H32" i="5" s="1"/>
  <c r="D20" i="5"/>
  <c r="D25" i="5" s="1"/>
  <c r="H28" i="5"/>
  <c r="H38" i="5" s="1"/>
  <c r="CH46" i="5"/>
  <c r="CH47" i="5"/>
  <c r="G27" i="5"/>
  <c r="G34" i="5" s="1"/>
  <c r="G28" i="5"/>
  <c r="G40" i="5" s="1"/>
  <c r="G52" i="3"/>
  <c r="G46" i="3"/>
  <c r="G51" i="3"/>
  <c r="G50" i="3"/>
  <c r="G45" i="3"/>
  <c r="G49" i="3"/>
  <c r="G43" i="3"/>
  <c r="G44" i="3"/>
  <c r="G53" i="3"/>
  <c r="G48" i="3"/>
  <c r="H46" i="3"/>
  <c r="H44" i="3"/>
  <c r="H52" i="3"/>
  <c r="H49" i="3"/>
  <c r="H53" i="3"/>
  <c r="H45" i="3"/>
  <c r="H47" i="3"/>
  <c r="H51" i="3"/>
  <c r="H43" i="3"/>
  <c r="E48" i="3"/>
  <c r="E53" i="3"/>
  <c r="E50" i="3"/>
  <c r="E43" i="3"/>
  <c r="E52" i="3"/>
  <c r="E44" i="3"/>
  <c r="E47" i="3"/>
  <c r="E46" i="3"/>
  <c r="E45" i="3"/>
  <c r="E49" i="3"/>
  <c r="F51" i="3"/>
  <c r="F45" i="3"/>
  <c r="F48" i="3"/>
  <c r="F49" i="3"/>
  <c r="F44" i="3"/>
  <c r="F46" i="3"/>
  <c r="F47" i="3"/>
  <c r="F53" i="3"/>
  <c r="F52" i="3"/>
  <c r="F50" i="3"/>
  <c r="I27" i="6" l="1"/>
  <c r="I32" i="6" s="1"/>
  <c r="H27" i="6"/>
  <c r="H32" i="6" s="1"/>
  <c r="B33" i="5"/>
  <c r="C39" i="5"/>
  <c r="B32" i="5"/>
  <c r="F28" i="5"/>
  <c r="F39" i="5" s="1"/>
  <c r="E28" i="5"/>
  <c r="E38" i="5" s="1"/>
  <c r="B40" i="5"/>
  <c r="F27" i="5"/>
  <c r="F32" i="5" s="1"/>
  <c r="D28" i="5"/>
  <c r="D39" i="5" s="1"/>
  <c r="B38" i="5"/>
  <c r="A47" i="3"/>
  <c r="A49" i="3"/>
  <c r="A44" i="3"/>
  <c r="A46" i="3"/>
  <c r="A43" i="3"/>
  <c r="A45" i="3"/>
  <c r="A48" i="3"/>
  <c r="H33" i="5"/>
  <c r="C40" i="5"/>
  <c r="H34" i="5"/>
  <c r="C33" i="5"/>
  <c r="C34" i="5"/>
  <c r="H39" i="5"/>
  <c r="D27" i="5"/>
  <c r="D33" i="5" s="1"/>
  <c r="G38" i="5"/>
  <c r="G32" i="6"/>
  <c r="G33" i="6"/>
  <c r="C34" i="6"/>
  <c r="F28" i="6"/>
  <c r="F38" i="6" s="1"/>
  <c r="G28" i="6"/>
  <c r="G39" i="6" s="1"/>
  <c r="C33" i="6"/>
  <c r="G34" i="6"/>
  <c r="D32" i="6"/>
  <c r="C44" i="6" s="1"/>
  <c r="I40" i="6"/>
  <c r="E33" i="6"/>
  <c r="E38" i="6"/>
  <c r="C39" i="6"/>
  <c r="I38" i="6"/>
  <c r="H33" i="6"/>
  <c r="D39" i="6"/>
  <c r="I34" i="6"/>
  <c r="I33" i="6"/>
  <c r="H38" i="6"/>
  <c r="D38" i="6"/>
  <c r="H34" i="6"/>
  <c r="H39" i="6"/>
  <c r="F34" i="6"/>
  <c r="E34" i="6"/>
  <c r="C38" i="6"/>
  <c r="E39" i="6"/>
  <c r="D34" i="6"/>
  <c r="F33" i="6"/>
  <c r="E32" i="5"/>
  <c r="G32" i="5"/>
  <c r="E34" i="5"/>
  <c r="G39" i="5"/>
  <c r="G33" i="5"/>
  <c r="H40" i="5"/>
  <c r="C49" i="3"/>
  <c r="O49" i="3" s="1"/>
  <c r="C45" i="3"/>
  <c r="O45" i="3" s="1"/>
  <c r="C43" i="3"/>
  <c r="C27" i="3" s="1"/>
  <c r="D27" i="3" s="1"/>
  <c r="C44" i="3"/>
  <c r="O44" i="3" s="1"/>
  <c r="C46" i="3"/>
  <c r="C30" i="3" s="1"/>
  <c r="D30" i="3" s="1"/>
  <c r="C51" i="3"/>
  <c r="C35" i="3" s="1"/>
  <c r="D35" i="3" s="1"/>
  <c r="C50" i="3"/>
  <c r="C34" i="3" s="1"/>
  <c r="D34" i="3" s="1"/>
  <c r="C48" i="3"/>
  <c r="C32" i="3" s="1"/>
  <c r="D32" i="3" s="1"/>
  <c r="C47" i="3"/>
  <c r="O47" i="3" s="1"/>
  <c r="C52" i="3"/>
  <c r="C53" i="3"/>
  <c r="G40" i="6" l="1"/>
  <c r="F39" i="6"/>
  <c r="G38" i="6"/>
  <c r="E39" i="5"/>
  <c r="F40" i="5"/>
  <c r="F38" i="5"/>
  <c r="E40" i="5"/>
  <c r="F33" i="5"/>
  <c r="B45" i="5" s="1"/>
  <c r="F34" i="5"/>
  <c r="D32" i="5"/>
  <c r="B44" i="5" s="1"/>
  <c r="D38" i="5"/>
  <c r="D40" i="5"/>
  <c r="D34" i="5"/>
  <c r="F40" i="6"/>
  <c r="C52" i="6" s="1"/>
  <c r="C46" i="6"/>
  <c r="C51" i="6"/>
  <c r="C45" i="6"/>
  <c r="C50" i="6"/>
  <c r="C55" i="6" s="1"/>
  <c r="B51" i="5"/>
  <c r="O46" i="3"/>
  <c r="C33" i="3"/>
  <c r="D33" i="3" s="1"/>
  <c r="C28" i="3"/>
  <c r="D28" i="3" s="1"/>
  <c r="C29" i="3"/>
  <c r="D29" i="3" s="1"/>
  <c r="O43" i="3"/>
  <c r="O51" i="3"/>
  <c r="C31" i="3"/>
  <c r="D31" i="3" s="1"/>
  <c r="O48" i="3"/>
  <c r="O50" i="3"/>
  <c r="C36" i="3"/>
  <c r="D36" i="3" s="1"/>
  <c r="O52" i="3"/>
  <c r="C37" i="3"/>
  <c r="D37" i="3" s="1"/>
  <c r="O53" i="3"/>
  <c r="B50" i="5" l="1"/>
  <c r="B55" i="5" s="1"/>
  <c r="B52" i="5"/>
  <c r="B56" i="5"/>
  <c r="B46" i="5"/>
  <c r="C57" i="6"/>
  <c r="C56" i="6"/>
  <c r="P43" i="3"/>
  <c r="Q43" i="3" s="1"/>
  <c r="R43" i="3" s="1"/>
  <c r="P27" i="3" s="1"/>
  <c r="B57" i="5" l="1"/>
  <c r="P28" i="3"/>
  <c r="N10" i="2" l="1"/>
  <c r="N12" i="2" s="1"/>
  <c r="CT39" i="2"/>
  <c r="CS39" i="2"/>
  <c r="CR39" i="2"/>
  <c r="CQ39" i="2"/>
  <c r="CP39" i="2"/>
  <c r="CO39" i="2"/>
  <c r="CN39" i="2"/>
  <c r="CM39" i="2"/>
  <c r="CL39" i="2"/>
  <c r="CK39" i="2"/>
  <c r="CT38" i="2"/>
  <c r="CS38" i="2"/>
  <c r="CR38" i="2"/>
  <c r="CQ38" i="2"/>
  <c r="CP38" i="2"/>
  <c r="CO38" i="2"/>
  <c r="CN38" i="2"/>
  <c r="CM38" i="2"/>
  <c r="CL38" i="2"/>
  <c r="CK38" i="2"/>
  <c r="CT37" i="2"/>
  <c r="CS37" i="2"/>
  <c r="CR37" i="2"/>
  <c r="CQ37" i="2"/>
  <c r="CP37" i="2"/>
  <c r="CO37" i="2"/>
  <c r="CN37" i="2"/>
  <c r="CM37" i="2"/>
  <c r="CL37" i="2"/>
  <c r="CK37" i="2"/>
  <c r="CT36" i="2"/>
  <c r="CS36" i="2"/>
  <c r="CR36" i="2"/>
  <c r="CQ36" i="2"/>
  <c r="CP36" i="2"/>
  <c r="CO36" i="2"/>
  <c r="CN36" i="2"/>
  <c r="CM36" i="2"/>
  <c r="CL36" i="2"/>
  <c r="CK36" i="2"/>
  <c r="CT31" i="2"/>
  <c r="CS31" i="2"/>
  <c r="CR31" i="2"/>
  <c r="CQ31" i="2"/>
  <c r="CP31" i="2"/>
  <c r="CO31" i="2"/>
  <c r="CN31" i="2"/>
  <c r="CM31" i="2"/>
  <c r="CL31" i="2"/>
  <c r="CK31" i="2"/>
  <c r="CT30" i="2"/>
  <c r="CS30" i="2"/>
  <c r="CR30" i="2"/>
  <c r="CQ30" i="2"/>
  <c r="CP30" i="2"/>
  <c r="CO30" i="2"/>
  <c r="CN30" i="2"/>
  <c r="CM30" i="2"/>
  <c r="CL30" i="2"/>
  <c r="CK30" i="2"/>
  <c r="CT29" i="2"/>
  <c r="CS29" i="2"/>
  <c r="CR29" i="2"/>
  <c r="CQ29" i="2"/>
  <c r="CP29" i="2"/>
  <c r="CO29" i="2"/>
  <c r="CN29" i="2"/>
  <c r="CM29" i="2"/>
  <c r="CL29" i="2"/>
  <c r="CK29" i="2"/>
  <c r="T26" i="2"/>
  <c r="S26" i="2"/>
  <c r="R26" i="2"/>
  <c r="Q26" i="2"/>
  <c r="P26" i="2"/>
  <c r="O26" i="2"/>
  <c r="N26" i="2"/>
  <c r="I13" i="2"/>
  <c r="H13" i="2"/>
  <c r="G13" i="2"/>
  <c r="F13" i="2"/>
  <c r="E13" i="2"/>
  <c r="D13" i="2"/>
  <c r="C13" i="2"/>
  <c r="I12" i="2"/>
  <c r="H12" i="2"/>
  <c r="G12" i="2"/>
  <c r="F12" i="2"/>
  <c r="E12" i="2"/>
  <c r="D12" i="2"/>
  <c r="C12" i="2"/>
  <c r="I11" i="2"/>
  <c r="H11" i="2"/>
  <c r="G11" i="2"/>
  <c r="F11" i="2"/>
  <c r="E11" i="2"/>
  <c r="D11" i="2"/>
  <c r="C11" i="2"/>
  <c r="T26" i="1"/>
  <c r="S26" i="1"/>
  <c r="R26" i="1"/>
  <c r="Q26" i="1"/>
  <c r="P26" i="1"/>
  <c r="O26" i="1"/>
  <c r="N26" i="1"/>
  <c r="CM48" i="2" l="1"/>
  <c r="CQ46" i="2"/>
  <c r="C14" i="2"/>
  <c r="C15" i="2" s="1"/>
  <c r="C18" i="2" s="1"/>
  <c r="C23" i="2" s="1"/>
  <c r="D14" i="2"/>
  <c r="D15" i="2" s="1"/>
  <c r="D18" i="2" s="1"/>
  <c r="D23" i="2" s="1"/>
  <c r="E14" i="2"/>
  <c r="E15" i="2" s="1"/>
  <c r="E18" i="2" s="1"/>
  <c r="E23" i="2" s="1"/>
  <c r="CK45" i="2"/>
  <c r="CO47" i="2"/>
  <c r="CR46" i="2"/>
  <c r="CM45" i="2"/>
  <c r="CS46" i="2"/>
  <c r="CN45" i="2"/>
  <c r="CL46" i="2"/>
  <c r="CT46" i="2"/>
  <c r="CR47" i="2"/>
  <c r="CP48" i="2"/>
  <c r="G14" i="2"/>
  <c r="G15" i="2" s="1"/>
  <c r="G19" i="2" s="1"/>
  <c r="G24" i="2" s="1"/>
  <c r="CO45" i="2"/>
  <c r="CM46" i="2"/>
  <c r="CK47" i="2"/>
  <c r="CS47" i="2"/>
  <c r="CL45" i="2"/>
  <c r="CM47" i="2"/>
  <c r="CK48" i="2"/>
  <c r="CP45" i="2"/>
  <c r="I14" i="2"/>
  <c r="I15" i="2" s="1"/>
  <c r="I18" i="2" s="1"/>
  <c r="I23" i="2" s="1"/>
  <c r="CQ45" i="2"/>
  <c r="CS45" i="2"/>
  <c r="CT45" i="2"/>
  <c r="CN48" i="2"/>
  <c r="CK46" i="2"/>
  <c r="CQ47" i="2"/>
  <c r="F14" i="2"/>
  <c r="F15" i="2" s="1"/>
  <c r="F20" i="2" s="1"/>
  <c r="F25" i="2" s="1"/>
  <c r="H14" i="2"/>
  <c r="H15" i="2" s="1"/>
  <c r="H18" i="2" s="1"/>
  <c r="H23" i="2" s="1"/>
  <c r="CN46" i="2"/>
  <c r="CR45" i="2"/>
  <c r="CL48" i="2"/>
  <c r="CT48" i="2"/>
  <c r="C20" i="2"/>
  <c r="C25" i="2" s="1"/>
  <c r="I20" i="2"/>
  <c r="I25" i="2" s="1"/>
  <c r="CO46" i="2"/>
  <c r="CS48" i="2"/>
  <c r="CL47" i="2"/>
  <c r="CP46" i="2"/>
  <c r="CN47" i="2"/>
  <c r="CP47" i="2"/>
  <c r="CQ48" i="2"/>
  <c r="CT47" i="2"/>
  <c r="CO48" i="2"/>
  <c r="CR48" i="2"/>
  <c r="AJ30" i="1"/>
  <c r="AJ29" i="1"/>
  <c r="AS39" i="1"/>
  <c r="AR39" i="1"/>
  <c r="AQ39" i="1"/>
  <c r="AP39" i="1"/>
  <c r="AO39" i="1"/>
  <c r="AN39" i="1"/>
  <c r="AM39" i="1"/>
  <c r="AL39" i="1"/>
  <c r="AK39" i="1"/>
  <c r="AJ39" i="1"/>
  <c r="AS38" i="1"/>
  <c r="AR38" i="1"/>
  <c r="AQ38" i="1"/>
  <c r="AP38" i="1"/>
  <c r="AO38" i="1"/>
  <c r="AN38" i="1"/>
  <c r="AM38" i="1"/>
  <c r="AL38" i="1"/>
  <c r="AK38" i="1"/>
  <c r="AJ38" i="1"/>
  <c r="AS37" i="1"/>
  <c r="AR37" i="1"/>
  <c r="AQ37" i="1"/>
  <c r="AP37" i="1"/>
  <c r="AO37" i="1"/>
  <c r="AN37" i="1"/>
  <c r="AM37" i="1"/>
  <c r="AL37" i="1"/>
  <c r="AK37" i="1"/>
  <c r="AJ37" i="1"/>
  <c r="AJ36" i="1"/>
  <c r="C11" i="1"/>
  <c r="AS36" i="1"/>
  <c r="AR36" i="1"/>
  <c r="AQ36" i="1"/>
  <c r="AP36" i="1"/>
  <c r="AO36" i="1"/>
  <c r="AN36" i="1"/>
  <c r="AM36" i="1"/>
  <c r="AL36" i="1"/>
  <c r="AK36" i="1"/>
  <c r="AS31" i="1"/>
  <c r="AR31" i="1"/>
  <c r="AQ31" i="1"/>
  <c r="AP31" i="1"/>
  <c r="AO31" i="1"/>
  <c r="AN31" i="1"/>
  <c r="AM31" i="1"/>
  <c r="AL31" i="1"/>
  <c r="AK31" i="1"/>
  <c r="AJ31" i="1"/>
  <c r="AS30" i="1"/>
  <c r="AR30" i="1"/>
  <c r="AQ30" i="1"/>
  <c r="AP30" i="1"/>
  <c r="AO30" i="1"/>
  <c r="AN30" i="1"/>
  <c r="AM30" i="1"/>
  <c r="AL30" i="1"/>
  <c r="AK30" i="1"/>
  <c r="AS29" i="1"/>
  <c r="AR29" i="1"/>
  <c r="AQ29" i="1"/>
  <c r="AP29" i="1"/>
  <c r="AO29" i="1"/>
  <c r="AN29" i="1"/>
  <c r="AM29" i="1"/>
  <c r="AL29" i="1"/>
  <c r="AK29" i="1"/>
  <c r="H11" i="1"/>
  <c r="G11" i="1"/>
  <c r="F11" i="1"/>
  <c r="E11" i="1"/>
  <c r="D11" i="1"/>
  <c r="I11" i="1"/>
  <c r="E12" i="1"/>
  <c r="F12" i="1"/>
  <c r="G12" i="1"/>
  <c r="H12" i="1"/>
  <c r="I12" i="1"/>
  <c r="E13" i="1"/>
  <c r="F13" i="1"/>
  <c r="G13" i="1"/>
  <c r="H13" i="1"/>
  <c r="I13" i="1"/>
  <c r="C12" i="1"/>
  <c r="D12" i="1"/>
  <c r="C13" i="1"/>
  <c r="D13" i="1"/>
  <c r="D14" i="1" l="1"/>
  <c r="D15" i="1" s="1"/>
  <c r="C14" i="1"/>
  <c r="C15" i="1" s="1"/>
  <c r="C18" i="1" s="1"/>
  <c r="C23" i="1" s="1"/>
  <c r="C19" i="2"/>
  <c r="C24" i="2" s="1"/>
  <c r="C28" i="2" s="1"/>
  <c r="C39" i="2" s="1"/>
  <c r="I19" i="2"/>
  <c r="I24" i="2" s="1"/>
  <c r="I28" i="2" s="1"/>
  <c r="I39" i="2" s="1"/>
  <c r="G18" i="2"/>
  <c r="G23" i="2" s="1"/>
  <c r="G20" i="2"/>
  <c r="G25" i="2" s="1"/>
  <c r="G27" i="2" s="1"/>
  <c r="G33" i="2" s="1"/>
  <c r="E19" i="2"/>
  <c r="E24" i="2" s="1"/>
  <c r="E28" i="2" s="1"/>
  <c r="E40" i="2" s="1"/>
  <c r="F19" i="2"/>
  <c r="F24" i="2" s="1"/>
  <c r="E20" i="2"/>
  <c r="E25" i="2" s="1"/>
  <c r="D20" i="2"/>
  <c r="D25" i="2" s="1"/>
  <c r="D19" i="2"/>
  <c r="D24" i="2" s="1"/>
  <c r="CI48" i="2"/>
  <c r="H20" i="2"/>
  <c r="H25" i="2" s="1"/>
  <c r="F18" i="2"/>
  <c r="F23" i="2" s="1"/>
  <c r="CI45" i="2"/>
  <c r="CI47" i="2"/>
  <c r="CI46" i="2"/>
  <c r="H19" i="2"/>
  <c r="H24" i="2" s="1"/>
  <c r="C27" i="2"/>
  <c r="C32" i="2" s="1"/>
  <c r="I27" i="2"/>
  <c r="I33" i="2" s="1"/>
  <c r="AO47" i="1"/>
  <c r="AK48" i="1"/>
  <c r="AQ46" i="1"/>
  <c r="AM48" i="1"/>
  <c r="AP47" i="1"/>
  <c r="AO45" i="1"/>
  <c r="AQ47" i="1"/>
  <c r="AO48" i="1"/>
  <c r="AR46" i="1"/>
  <c r="AP45" i="1"/>
  <c r="AJ47" i="1"/>
  <c r="AP48" i="1"/>
  <c r="AN45" i="1"/>
  <c r="AQ45" i="1"/>
  <c r="AM46" i="1"/>
  <c r="AK47" i="1"/>
  <c r="AS47" i="1"/>
  <c r="AQ48" i="1"/>
  <c r="AJ45" i="1"/>
  <c r="AJ46" i="1"/>
  <c r="AR45" i="1"/>
  <c r="AN46" i="1"/>
  <c r="AL47" i="1"/>
  <c r="AN48" i="1"/>
  <c r="AK45" i="1"/>
  <c r="AS45" i="1"/>
  <c r="AO46" i="1"/>
  <c r="AM47" i="1"/>
  <c r="AS48" i="1"/>
  <c r="AN47" i="1"/>
  <c r="AL48" i="1"/>
  <c r="I14" i="1"/>
  <c r="I15" i="1" s="1"/>
  <c r="I20" i="1" s="1"/>
  <c r="I25" i="1" s="1"/>
  <c r="AR48" i="1"/>
  <c r="AR47" i="1"/>
  <c r="AK46" i="1"/>
  <c r="E14" i="1"/>
  <c r="E15" i="1" s="1"/>
  <c r="E18" i="1" s="1"/>
  <c r="E23" i="1" s="1"/>
  <c r="AS46" i="1"/>
  <c r="AL45" i="1"/>
  <c r="AM45" i="1"/>
  <c r="AP46" i="1"/>
  <c r="AL46" i="1"/>
  <c r="AJ48" i="1"/>
  <c r="G14" i="1"/>
  <c r="G15" i="1" s="1"/>
  <c r="G18" i="1" s="1"/>
  <c r="G23" i="1" s="1"/>
  <c r="H14" i="1"/>
  <c r="H15" i="1" s="1"/>
  <c r="H20" i="1" s="1"/>
  <c r="H25" i="1" s="1"/>
  <c r="F14" i="1"/>
  <c r="F15" i="1" s="1"/>
  <c r="F20" i="1" s="1"/>
  <c r="F25" i="1" s="1"/>
  <c r="E27" i="2" l="1"/>
  <c r="E34" i="2" s="1"/>
  <c r="H27" i="2"/>
  <c r="H32" i="2" s="1"/>
  <c r="AH45" i="1"/>
  <c r="E28" i="1"/>
  <c r="E27" i="1"/>
  <c r="G28" i="2"/>
  <c r="G40" i="2" s="1"/>
  <c r="D27" i="2"/>
  <c r="D32" i="2" s="1"/>
  <c r="H28" i="2"/>
  <c r="H38" i="2" s="1"/>
  <c r="F28" i="2"/>
  <c r="F38" i="2" s="1"/>
  <c r="D33" i="2"/>
  <c r="F27" i="2"/>
  <c r="F33" i="2" s="1"/>
  <c r="D28" i="2"/>
  <c r="D38" i="2" s="1"/>
  <c r="D34" i="2"/>
  <c r="C40" i="2"/>
  <c r="C34" i="2"/>
  <c r="C38" i="2"/>
  <c r="I40" i="2"/>
  <c r="I38" i="2"/>
  <c r="G34" i="2"/>
  <c r="H40" i="2"/>
  <c r="H39" i="2"/>
  <c r="I34" i="2"/>
  <c r="H34" i="2"/>
  <c r="I32" i="2"/>
  <c r="C33" i="2"/>
  <c r="H33" i="2"/>
  <c r="G32" i="2"/>
  <c r="F32" i="2"/>
  <c r="E33" i="2"/>
  <c r="E32" i="2"/>
  <c r="E39" i="2"/>
  <c r="E38" i="2"/>
  <c r="D18" i="1"/>
  <c r="D23" i="1" s="1"/>
  <c r="D20" i="1"/>
  <c r="D25" i="1" s="1"/>
  <c r="D19" i="1"/>
  <c r="C20" i="1"/>
  <c r="C25" i="1" s="1"/>
  <c r="C28" i="1" s="1"/>
  <c r="C19" i="1"/>
  <c r="C24" i="1" s="1"/>
  <c r="C27" i="1" s="1"/>
  <c r="C33" i="1" s="1"/>
  <c r="G28" i="1"/>
  <c r="AH48" i="1"/>
  <c r="AH47" i="1"/>
  <c r="AH46" i="1"/>
  <c r="I18" i="1"/>
  <c r="I23" i="1" s="1"/>
  <c r="F19" i="1"/>
  <c r="F24" i="1" s="1"/>
  <c r="I19" i="1"/>
  <c r="I24" i="1" s="1"/>
  <c r="G20" i="1"/>
  <c r="G25" i="1" s="1"/>
  <c r="G19" i="1"/>
  <c r="G24" i="1" s="1"/>
  <c r="H18" i="1"/>
  <c r="H23" i="1" s="1"/>
  <c r="E20" i="1"/>
  <c r="E25" i="1" s="1"/>
  <c r="E19" i="1"/>
  <c r="E24" i="1" s="1"/>
  <c r="F18" i="1"/>
  <c r="F23" i="1" s="1"/>
  <c r="H19" i="1"/>
  <c r="H24" i="1" s="1"/>
  <c r="D24" i="1"/>
  <c r="D27" i="1" l="1"/>
  <c r="D28" i="1"/>
  <c r="F27" i="1"/>
  <c r="F28" i="1"/>
  <c r="G39" i="2"/>
  <c r="G38" i="2"/>
  <c r="C50" i="2" s="1"/>
  <c r="C55" i="2" s="1"/>
  <c r="F34" i="2"/>
  <c r="F40" i="2"/>
  <c r="F39" i="2"/>
  <c r="D39" i="2"/>
  <c r="D40" i="2"/>
  <c r="C44" i="2"/>
  <c r="C45" i="2"/>
  <c r="C46" i="2"/>
  <c r="I27" i="1"/>
  <c r="I34" i="1" s="1"/>
  <c r="I28" i="1"/>
  <c r="E38" i="1"/>
  <c r="E32" i="1"/>
  <c r="H27" i="1"/>
  <c r="H34" i="1" s="1"/>
  <c r="H28" i="1"/>
  <c r="H40" i="1" s="1"/>
  <c r="F34" i="1"/>
  <c r="F40" i="1"/>
  <c r="D40" i="1"/>
  <c r="D32" i="1"/>
  <c r="G27" i="1"/>
  <c r="G32" i="1" s="1"/>
  <c r="G39" i="1"/>
  <c r="C40" i="1"/>
  <c r="C32" i="1"/>
  <c r="C52" i="2" l="1"/>
  <c r="C57" i="2" s="1"/>
  <c r="C51" i="2"/>
  <c r="C56" i="2" s="1"/>
  <c r="G33" i="1"/>
  <c r="F32" i="1"/>
  <c r="H32" i="1"/>
  <c r="D33" i="1"/>
  <c r="I32" i="1"/>
  <c r="E33" i="1"/>
  <c r="E34" i="1"/>
  <c r="E40" i="1"/>
  <c r="E39" i="1"/>
  <c r="D34" i="1"/>
  <c r="F33" i="1"/>
  <c r="I33" i="1"/>
  <c r="G34" i="1"/>
  <c r="H33" i="1"/>
  <c r="H38" i="1"/>
  <c r="C38" i="1"/>
  <c r="H39" i="1"/>
  <c r="G40" i="1"/>
  <c r="G38" i="1"/>
  <c r="F39" i="1"/>
  <c r="C39" i="1"/>
  <c r="C34" i="1"/>
  <c r="F38" i="1"/>
  <c r="D38" i="1"/>
  <c r="D39" i="1"/>
  <c r="I40" i="1"/>
  <c r="I39" i="1"/>
  <c r="I38" i="1"/>
  <c r="C45" i="1" l="1"/>
  <c r="C44" i="1"/>
  <c r="C52" i="1"/>
  <c r="C50" i="1"/>
  <c r="C55" i="1" s="1"/>
  <c r="C46" i="1"/>
  <c r="C51" i="1"/>
  <c r="C56" i="1" l="1"/>
  <c r="C57" i="1"/>
</calcChain>
</file>

<file path=xl/sharedStrings.xml><?xml version="1.0" encoding="utf-8"?>
<sst xmlns="http://schemas.openxmlformats.org/spreadsheetml/2006/main" count="644" uniqueCount="119">
  <si>
    <t>K1</t>
  </si>
  <si>
    <t>K2</t>
  </si>
  <si>
    <t>Βάρη</t>
  </si>
  <si>
    <t>p_max</t>
  </si>
  <si>
    <t>p_min</t>
  </si>
  <si>
    <t>D_max</t>
  </si>
  <si>
    <t>D_min</t>
  </si>
  <si>
    <t>S+</t>
  </si>
  <si>
    <t>SUM</t>
  </si>
  <si>
    <t>SQRT</t>
  </si>
  <si>
    <t>Κανονικ.</t>
  </si>
  <si>
    <t>S-</t>
  </si>
  <si>
    <t>D</t>
  </si>
  <si>
    <t>CO2 equivalent (Mt)</t>
  </si>
  <si>
    <t>Land use (km2)</t>
  </si>
  <si>
    <t>Critical Materials (Mt)</t>
  </si>
  <si>
    <t>Energy intensive material</t>
  </si>
  <si>
    <t>Human toxicity</t>
  </si>
  <si>
    <t>Human toxicity (Kilo tonnes 1,4-DCB-Eq)</t>
  </si>
  <si>
    <t>Marine and freshwater harm</t>
  </si>
  <si>
    <t>Total costs</t>
  </si>
  <si>
    <t>Average Bioenergy use (% in the mix)</t>
  </si>
  <si>
    <t>Import dependency</t>
  </si>
  <si>
    <t>Rate of dispatchable power</t>
  </si>
  <si>
    <t>GDP</t>
  </si>
  <si>
    <t xml:space="preserve">Imports dependency </t>
  </si>
  <si>
    <t>K3</t>
  </si>
  <si>
    <t>K4</t>
  </si>
  <si>
    <t>K5</t>
  </si>
  <si>
    <t>K6</t>
  </si>
  <si>
    <t>K7</t>
  </si>
  <si>
    <t>Economic</t>
  </si>
  <si>
    <t>Critical Resources</t>
  </si>
  <si>
    <t>Technical</t>
  </si>
  <si>
    <t>People health</t>
  </si>
  <si>
    <t>Biodiversity</t>
  </si>
  <si>
    <t>Socio-macroeconomic</t>
  </si>
  <si>
    <t>Land-use</t>
  </si>
  <si>
    <t>Critical material</t>
  </si>
  <si>
    <t>Equal</t>
  </si>
  <si>
    <t xml:space="preserve">Weights per scenario </t>
  </si>
  <si>
    <t>Power generation cost</t>
  </si>
  <si>
    <t>Diversity of installed power</t>
  </si>
  <si>
    <t>marine eutrophication</t>
  </si>
  <si>
    <t>Baseline</t>
  </si>
  <si>
    <t>Explorative (EURef price)</t>
  </si>
  <si>
    <t>Explorative (Decreased price)</t>
  </si>
  <si>
    <t>TOPSIS Results</t>
  </si>
  <si>
    <t>Weights</t>
  </si>
  <si>
    <t>Critical resource-focused</t>
  </si>
  <si>
    <t>Energy security-focused</t>
  </si>
  <si>
    <t>Biodiversity-focused</t>
  </si>
  <si>
    <t>"Electricity exports" (EURef price)</t>
  </si>
  <si>
    <t>"Electricity exports" (-50% vs EURef price)</t>
  </si>
  <si>
    <t>Cost-focused</t>
  </si>
  <si>
    <t>Socio economic-focused</t>
  </si>
  <si>
    <t>Balanced</t>
  </si>
  <si>
    <t xml:space="preserve">Human health-focused </t>
  </si>
  <si>
    <t>Socio-economic</t>
  </si>
  <si>
    <t>Global</t>
  </si>
  <si>
    <t>Multicriteria analysis for scenario selection</t>
  </si>
  <si>
    <t>Analytic Hierarchy Process, AHP</t>
  </si>
  <si>
    <t>Step 1: Select the number of criteria that shall be ranked (3 to 7)</t>
  </si>
  <si>
    <t>Step 1: Select the number of criteria that shall be ranked (3 to 6)</t>
  </si>
  <si>
    <t>Step 2: Enter the names of the criteria/requirements and a title for the analysis</t>
  </si>
  <si>
    <t>Step 3: Work through the matrix comparing each of the criteria to each other (pairwise comparisons)</t>
  </si>
  <si>
    <t>Step 4: For each comparison, decide which is the more important and select the appropriate weighting:</t>
  </si>
  <si>
    <t>Note: Complete half of the matrix, the second half (reciprocal) of the matrix is automatically completed</t>
  </si>
  <si>
    <t xml:space="preserve">Step 5: Once completed the AHP column contains the priorities for the given criteria </t>
  </si>
  <si>
    <t>Step 6: Make sure that the consistency index equals 10% or less</t>
  </si>
  <si>
    <t>Analytic Hierarchy Template: n=</t>
  </si>
  <si>
    <t>Criteria</t>
  </si>
  <si>
    <t>Fundamental Scale (Row v Column)</t>
  </si>
  <si>
    <t>Strongly less important</t>
  </si>
  <si>
    <t>Moderately less important</t>
  </si>
  <si>
    <t>Equal Importance</t>
  </si>
  <si>
    <t>Moderately more important</t>
  </si>
  <si>
    <t>Strongly more important</t>
  </si>
  <si>
    <t>Pairwise Comparison Matrix</t>
  </si>
  <si>
    <t>AHP</t>
  </si>
  <si>
    <t>AHP (automatic)</t>
  </si>
  <si>
    <t>Consistency check</t>
  </si>
  <si>
    <t>Column totals</t>
  </si>
  <si>
    <t>AHP-1</t>
  </si>
  <si>
    <t>Cw (Normalised)</t>
  </si>
  <si>
    <t>CA</t>
  </si>
  <si>
    <t>Lambda</t>
  </si>
  <si>
    <t>CI</t>
  </si>
  <si>
    <t>CI/RI</t>
  </si>
  <si>
    <t>Randomness Index,RI</t>
  </si>
  <si>
    <r>
      <t>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r>
      <rPr>
        <sz val="10"/>
        <color theme="1"/>
        <rFont val="Times New Roman"/>
        <family val="1"/>
      </rPr>
      <t xml:space="preserve"> =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7</t>
    </r>
  </si>
  <si>
    <r>
      <t>C</t>
    </r>
    <r>
      <rPr>
        <vertAlign val="subscript"/>
        <sz val="10"/>
        <color theme="1"/>
        <rFont val="Times New Roman"/>
        <family val="1"/>
      </rPr>
      <t>1</t>
    </r>
    <r>
      <rPr>
        <sz val="10"/>
        <color theme="1"/>
        <rFont val="Times New Roman"/>
        <family val="1"/>
      </rPr>
      <t xml:space="preserve"> &gt;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7</t>
    </r>
    <r>
      <rPr>
        <sz val="10"/>
        <color theme="1"/>
        <rFont val="Times New Roman"/>
        <family val="1"/>
      </rPr>
      <t xml:space="preserve"> </t>
    </r>
  </si>
  <si>
    <t>Land use-focused</t>
  </si>
  <si>
    <r>
      <t>C</t>
    </r>
    <r>
      <rPr>
        <vertAlign val="subscript"/>
        <sz val="10"/>
        <color theme="1"/>
        <rFont val="Times New Roman"/>
        <family val="1"/>
      </rPr>
      <t>2</t>
    </r>
    <r>
      <rPr>
        <sz val="10"/>
        <color theme="1"/>
        <rFont val="Times New Roman"/>
        <family val="1"/>
      </rPr>
      <t xml:space="preserve"> &gt;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7</t>
    </r>
  </si>
  <si>
    <t>Critical Material-focused</t>
  </si>
  <si>
    <r>
      <t>C</t>
    </r>
    <r>
      <rPr>
        <vertAlign val="subscript"/>
        <sz val="10"/>
        <color theme="1"/>
        <rFont val="Times New Roman"/>
        <family val="1"/>
      </rPr>
      <t>3</t>
    </r>
    <r>
      <rPr>
        <sz val="10"/>
        <color theme="1"/>
        <rFont val="Times New Roman"/>
        <family val="1"/>
      </rPr>
      <t xml:space="preserve"> &gt;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 xml:space="preserve">7 </t>
    </r>
    <r>
      <rPr>
        <sz val="10"/>
        <color theme="1"/>
        <rFont val="Times New Roman"/>
        <family val="1"/>
      </rPr>
      <t>&gt;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</si>
  <si>
    <r>
      <t>C</t>
    </r>
    <r>
      <rPr>
        <vertAlign val="subscript"/>
        <sz val="10"/>
        <color theme="1"/>
        <rFont val="Times New Roman"/>
        <family val="1"/>
      </rPr>
      <t>4</t>
    </r>
    <r>
      <rPr>
        <sz val="10"/>
        <color theme="1"/>
        <rFont val="Times New Roman"/>
        <family val="1"/>
      </rPr>
      <t xml:space="preserve"> &gt;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7</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7</t>
    </r>
  </si>
  <si>
    <t>Human health-focused</t>
  </si>
  <si>
    <r>
      <t>C</t>
    </r>
    <r>
      <rPr>
        <vertAlign val="subscript"/>
        <sz val="10"/>
        <color theme="1"/>
        <rFont val="Times New Roman"/>
        <family val="1"/>
      </rPr>
      <t>5</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 xml:space="preserve">7 </t>
    </r>
    <r>
      <rPr>
        <sz val="10"/>
        <color theme="1"/>
        <rFont val="Times New Roman"/>
        <family val="1"/>
      </rPr>
      <t>&gt;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</si>
  <si>
    <r>
      <t>C</t>
    </r>
    <r>
      <rPr>
        <vertAlign val="subscript"/>
        <sz val="10"/>
        <color theme="1"/>
        <rFont val="Times New Roman"/>
        <family val="1"/>
      </rPr>
      <t>6</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 xml:space="preserve">7 </t>
    </r>
    <r>
      <rPr>
        <sz val="10"/>
        <color theme="1"/>
        <rFont val="Times New Roman"/>
        <family val="1"/>
      </rPr>
      <t>&gt;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 C</t>
    </r>
    <r>
      <rPr>
        <vertAlign val="subscript"/>
        <sz val="10"/>
        <color theme="1"/>
        <rFont val="Times New Roman"/>
        <family val="1"/>
      </rPr>
      <t>7</t>
    </r>
  </si>
  <si>
    <t>GDP-focused</t>
  </si>
  <si>
    <r>
      <t>C</t>
    </r>
    <r>
      <rPr>
        <vertAlign val="subscript"/>
        <sz val="10"/>
        <color theme="1"/>
        <rFont val="Times New Roman"/>
        <family val="1"/>
      </rPr>
      <t>7</t>
    </r>
    <r>
      <rPr>
        <sz val="10"/>
        <color theme="1"/>
        <rFont val="Times New Roman"/>
        <family val="1"/>
      </rPr>
      <t xml:space="preserve"> &gt; C</t>
    </r>
    <r>
      <rPr>
        <vertAlign val="subscript"/>
        <sz val="10"/>
        <color theme="1"/>
        <rFont val="Times New Roman"/>
        <family val="1"/>
      </rPr>
      <t>1</t>
    </r>
    <r>
      <rPr>
        <sz val="10"/>
        <color theme="1"/>
        <rFont val="Times New Roman"/>
        <family val="1"/>
      </rPr>
      <t xml:space="preserve"> = C</t>
    </r>
    <r>
      <rPr>
        <vertAlign val="subscript"/>
        <sz val="10"/>
        <color theme="1"/>
        <rFont val="Times New Roman"/>
        <family val="1"/>
      </rPr>
      <t>2</t>
    </r>
    <r>
      <rPr>
        <sz val="10"/>
        <color theme="1"/>
        <rFont val="Times New Roman"/>
        <family val="1"/>
      </rPr>
      <t xml:space="preserve"> = C</t>
    </r>
    <r>
      <rPr>
        <vertAlign val="subscript"/>
        <sz val="10"/>
        <color theme="1"/>
        <rFont val="Times New Roman"/>
        <family val="1"/>
      </rPr>
      <t>4</t>
    </r>
    <r>
      <rPr>
        <sz val="10"/>
        <color theme="1"/>
        <rFont val="Times New Roman"/>
        <family val="1"/>
      </rPr>
      <t xml:space="preserve"> &gt; C</t>
    </r>
    <r>
      <rPr>
        <vertAlign val="subscript"/>
        <sz val="10"/>
        <color theme="1"/>
        <rFont val="Times New Roman"/>
        <family val="1"/>
      </rPr>
      <t>3</t>
    </r>
    <r>
      <rPr>
        <sz val="10"/>
        <color theme="1"/>
        <rFont val="Times New Roman"/>
        <family val="1"/>
      </rPr>
      <t xml:space="preserve"> = C</t>
    </r>
    <r>
      <rPr>
        <vertAlign val="subscript"/>
        <sz val="10"/>
        <color theme="1"/>
        <rFont val="Times New Roman"/>
        <family val="1"/>
      </rPr>
      <t>5</t>
    </r>
    <r>
      <rPr>
        <sz val="10"/>
        <color theme="1"/>
        <rFont val="Times New Roman"/>
        <family val="1"/>
      </rPr>
      <t xml:space="preserve"> = C</t>
    </r>
    <r>
      <rPr>
        <vertAlign val="subscript"/>
        <sz val="10"/>
        <color theme="1"/>
        <rFont val="Times New Roman"/>
        <family val="1"/>
      </rPr>
      <t>6</t>
    </r>
    <r>
      <rPr>
        <sz val="10"/>
        <color theme="1"/>
        <rFont val="Times New Roman"/>
        <family val="1"/>
      </rPr>
      <t xml:space="preserve"> = C</t>
    </r>
    <r>
      <rPr>
        <vertAlign val="subscript"/>
        <sz val="10"/>
        <color theme="1"/>
        <rFont val="Times New Roman"/>
        <family val="1"/>
      </rPr>
      <t>7</t>
    </r>
  </si>
  <si>
    <t>LCOE</t>
  </si>
  <si>
    <t>Mix Diversity</t>
  </si>
  <si>
    <t>Marine eutrophication</t>
  </si>
  <si>
    <t>1st: EE (EURef price); 3rd: BaU</t>
  </si>
  <si>
    <t>1st: EE (-50%EURef price); 2nd: BaU</t>
  </si>
  <si>
    <t>1st: EE (-50%EURef price); 3rd: BaU</t>
  </si>
  <si>
    <t>EE (EURef price)</t>
  </si>
  <si>
    <t>EE (-50%EURef price)</t>
  </si>
  <si>
    <t>C1 = C2 = C4 = C7 = C3 = C5 = C6 = C7</t>
  </si>
  <si>
    <t xml:space="preserve">C1 &gt; C2 = C4 = C7 &gt; C3 = C5 = C6 = C7 </t>
  </si>
  <si>
    <t>C2 &gt; C1 = C4 = C7 &gt; C3 = C5 = C6 = C7</t>
  </si>
  <si>
    <t>C3 &gt; C5 = C6 = C7 &gt; C1 = C2 = C4 = C7</t>
  </si>
  <si>
    <t>C4 &gt; C1 = C2 = C7 &gt; C3 = C5 = C6 = C7</t>
  </si>
  <si>
    <t>C5 &gt; C3 = C6 = C7 &gt; C1 = C2 = C4 = C7</t>
  </si>
  <si>
    <t>C6 &gt; C3 = C5 = C7 &gt; C1 = C2 = C4 = C7</t>
  </si>
  <si>
    <t>C7 &gt; C1 = C2 = C4 &gt; C3 = C5 = C6 = C7</t>
  </si>
  <si>
    <t xml:space="preserve">Power generation cost (Million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</si>
</sst>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
    <numFmt numFmtId="165" formatCode="0.0%"/>
    <numFmt numFmtId="166" formatCode="0.0000"/>
    <numFmt numFmtId="167" formatCode="_-* #,##0.000_-;\-* #,##0.000_-;_-* &quot;-&quot;??_-;_-@_-"/>
  </numFmts>
  <fonts count="25" x14ac:knownFonts="1">
    <font>
      <sz val="11"/>
      <color theme="1"/>
      <name val="Calibri"/>
      <family val="2"/>
      <charset val="161"/>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Times New Roman"/>
      <family val="1"/>
    </font>
    <font>
      <sz val="8"/>
      <name val="Calibri"/>
      <family val="2"/>
      <charset val="161"/>
      <scheme val="minor"/>
    </font>
    <font>
      <b/>
      <sz val="10"/>
      <color theme="1"/>
      <name val="Times New Roman"/>
      <family val="1"/>
    </font>
    <font>
      <sz val="11"/>
      <color theme="1"/>
      <name val="Calibri"/>
      <family val="2"/>
      <charset val="161"/>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name val="Calibri"/>
      <family val="2"/>
      <charset val="161"/>
      <scheme val="minor"/>
    </font>
    <font>
      <sz val="12"/>
      <color indexed="8"/>
      <name val="Calibri"/>
      <family val="2"/>
    </font>
    <font>
      <b/>
      <sz val="11"/>
      <color indexed="8"/>
      <name val="Calibri"/>
      <family val="2"/>
    </font>
    <font>
      <sz val="11"/>
      <color indexed="8"/>
      <name val="Calibri"/>
      <family val="2"/>
    </font>
    <font>
      <b/>
      <sz val="12"/>
      <color indexed="8"/>
      <name val="Calibri"/>
      <family val="2"/>
    </font>
    <font>
      <b/>
      <sz val="12"/>
      <color indexed="9"/>
      <name val="Calibri"/>
      <family val="2"/>
    </font>
    <font>
      <sz val="12"/>
      <color indexed="9"/>
      <name val="Calibri"/>
      <family val="2"/>
    </font>
    <font>
      <sz val="10"/>
      <color theme="1"/>
      <name val="Times New Roman"/>
      <family val="1"/>
    </font>
    <font>
      <vertAlign val="subscript"/>
      <sz val="10"/>
      <color theme="1"/>
      <name val="Times New Roman"/>
      <family val="1"/>
    </font>
    <font>
      <b/>
      <sz val="1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2060"/>
        <bgColor indexed="64"/>
      </patternFill>
    </fill>
    <fill>
      <patternFill patternType="solid">
        <fgColor theme="0"/>
        <bgColor indexed="64"/>
      </patternFill>
    </fill>
    <fill>
      <patternFill patternType="solid">
        <fgColor rgb="FF00B050"/>
        <bgColor indexed="64"/>
      </patternFill>
    </fill>
    <fill>
      <patternFill patternType="solid">
        <fgColor indexed="10"/>
        <bgColor indexed="64"/>
      </patternFill>
    </fill>
    <fill>
      <patternFill patternType="solid">
        <fgColor theme="0" tint="-0.14999847407452621"/>
        <bgColor indexed="64"/>
      </patternFill>
    </fill>
    <fill>
      <patternFill patternType="solid">
        <fgColor indexed="13"/>
        <bgColor indexed="64"/>
      </patternFill>
    </fill>
    <fill>
      <patternFill patternType="solid">
        <fgColor indexed="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9">
    <xf numFmtId="0" fontId="0" fillId="0" borderId="0"/>
    <xf numFmtId="43" fontId="8" fillId="0" borderId="0" applyFont="0" applyFill="0" applyBorder="0" applyAlignment="0" applyProtection="0"/>
    <xf numFmtId="9" fontId="8" fillId="0" borderId="0" applyFont="0" applyFill="0" applyBorder="0" applyAlignment="0" applyProtection="0"/>
    <xf numFmtId="0" fontId="9" fillId="10" borderId="20" applyNumberFormat="0" applyAlignment="0" applyProtection="0"/>
    <xf numFmtId="0" fontId="10" fillId="11" borderId="20" applyNumberFormat="0" applyAlignment="0" applyProtection="0"/>
    <xf numFmtId="0" fontId="11" fillId="0" borderId="21" applyNumberFormat="0" applyFill="0" applyAlignment="0" applyProtection="0"/>
    <xf numFmtId="0" fontId="8" fillId="12" borderId="22" applyNumberFormat="0" applyFont="0" applyAlignment="0" applyProtection="0"/>
    <xf numFmtId="0" fontId="14" fillId="13" borderId="0" applyNumberFormat="0" applyBorder="0"/>
    <xf numFmtId="0" fontId="13" fillId="15" borderId="0" applyNumberFormat="0" applyBorder="0"/>
  </cellStyleXfs>
  <cellXfs count="145">
    <xf numFmtId="0" fontId="0" fillId="0" borderId="0" xfId="0"/>
    <xf numFmtId="0" fontId="0" fillId="0" borderId="0" xfId="0" applyAlignment="1">
      <alignment horizontal="center"/>
    </xf>
    <xf numFmtId="4" fontId="0" fillId="0" borderId="0" xfId="0" applyNumberFormat="1"/>
    <xf numFmtId="4" fontId="0" fillId="0" borderId="0" xfId="0" applyNumberFormat="1" applyAlignment="1">
      <alignment horizontal="center"/>
    </xf>
    <xf numFmtId="0" fontId="5" fillId="0" borderId="0" xfId="0" applyFont="1" applyAlignment="1">
      <alignment horizontal="center" vertical="center"/>
    </xf>
    <xf numFmtId="0" fontId="3" fillId="2" borderId="1" xfId="0" applyFont="1" applyFill="1" applyBorder="1" applyAlignment="1">
      <alignment vertical="center"/>
    </xf>
    <xf numFmtId="4" fontId="4" fillId="2" borderId="1" xfId="0" applyNumberFormat="1" applyFont="1" applyFill="1" applyBorder="1" applyAlignment="1">
      <alignment vertical="center"/>
    </xf>
    <xf numFmtId="4" fontId="0" fillId="3" borderId="0" xfId="0" applyNumberFormat="1" applyFill="1" applyAlignment="1">
      <alignment horizontal="center"/>
    </xf>
    <xf numFmtId="4" fontId="0" fillId="4" borderId="0" xfId="0" applyNumberFormat="1" applyFill="1" applyAlignment="1">
      <alignment horizontal="center"/>
    </xf>
    <xf numFmtId="4" fontId="0" fillId="5" borderId="0" xfId="0" applyNumberFormat="1" applyFill="1" applyAlignment="1">
      <alignment horizontal="center"/>
    </xf>
    <xf numFmtId="4" fontId="0" fillId="6" borderId="0" xfId="0" applyNumberFormat="1" applyFill="1" applyAlignment="1">
      <alignment horizontal="center"/>
    </xf>
    <xf numFmtId="4" fontId="2" fillId="0" borderId="0" xfId="0" applyNumberFormat="1" applyFont="1" applyAlignment="1">
      <alignment horizontal="center"/>
    </xf>
    <xf numFmtId="4" fontId="0" fillId="0" borderId="5" xfId="0" applyNumberFormat="1" applyBorder="1" applyAlignment="1">
      <alignment horizontal="center" vertical="center"/>
    </xf>
    <xf numFmtId="4" fontId="0" fillId="0" borderId="6" xfId="0" applyNumberFormat="1" applyBorder="1" applyAlignment="1">
      <alignment horizontal="center" vertical="center"/>
    </xf>
    <xf numFmtId="0" fontId="2" fillId="0" borderId="7" xfId="0" applyFont="1" applyBorder="1"/>
    <xf numFmtId="0" fontId="2" fillId="0" borderId="2" xfId="0" applyFont="1" applyBorder="1"/>
    <xf numFmtId="0" fontId="2" fillId="0" borderId="4"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1" xfId="0" applyBorder="1" applyAlignment="1">
      <alignment horizontal="center"/>
    </xf>
    <xf numFmtId="4" fontId="0" fillId="0" borderId="1" xfId="0" applyNumberFormat="1" applyBorder="1" applyAlignment="1">
      <alignment horizontal="center"/>
    </xf>
    <xf numFmtId="0" fontId="2" fillId="0" borderId="1" xfId="0" applyFont="1" applyBorder="1" applyAlignment="1">
      <alignment horizontal="center"/>
    </xf>
    <xf numFmtId="0" fontId="2" fillId="0" borderId="15" xfId="0" applyFont="1" applyBorder="1" applyAlignment="1">
      <alignment horizontal="center"/>
    </xf>
    <xf numFmtId="4" fontId="0" fillId="2" borderId="8" xfId="0" applyNumberFormat="1" applyFill="1" applyBorder="1" applyAlignment="1">
      <alignment horizontal="center" vertical="center"/>
    </xf>
    <xf numFmtId="4" fontId="0" fillId="2" borderId="9" xfId="0" applyNumberFormat="1" applyFill="1" applyBorder="1" applyAlignment="1">
      <alignment horizontal="center" vertical="center"/>
    </xf>
    <xf numFmtId="0" fontId="2" fillId="7" borderId="1" xfId="0" applyFont="1" applyFill="1" applyBorder="1" applyAlignment="1">
      <alignment horizontal="center"/>
    </xf>
    <xf numFmtId="0" fontId="2" fillId="4" borderId="1" xfId="0" applyFont="1" applyFill="1" applyBorder="1" applyAlignment="1">
      <alignment horizontal="center"/>
    </xf>
    <xf numFmtId="4" fontId="0" fillId="4" borderId="1" xfId="0" applyNumberFormat="1" applyFill="1" applyBorder="1" applyAlignment="1">
      <alignment horizontal="center" vertical="center"/>
    </xf>
    <xf numFmtId="4" fontId="0" fillId="4" borderId="3" xfId="0" applyNumberFormat="1" applyFill="1" applyBorder="1" applyAlignment="1">
      <alignment horizontal="center" vertical="center"/>
    </xf>
    <xf numFmtId="4" fontId="0" fillId="0" borderId="5" xfId="0" applyNumberFormat="1" applyBorder="1" applyAlignment="1">
      <alignment horizontal="center"/>
    </xf>
    <xf numFmtId="4" fontId="0" fillId="0" borderId="3" xfId="0" applyNumberFormat="1" applyBorder="1" applyAlignment="1">
      <alignment horizontal="center"/>
    </xf>
    <xf numFmtId="4" fontId="0" fillId="0" borderId="6" xfId="0" applyNumberFormat="1" applyBorder="1" applyAlignment="1">
      <alignment horizontal="center"/>
    </xf>
    <xf numFmtId="4" fontId="0" fillId="8" borderId="0" xfId="0" applyNumberForma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7" fillId="0" borderId="16" xfId="0" applyFont="1" applyBorder="1"/>
    <xf numFmtId="0" fontId="7" fillId="0" borderId="17" xfId="0" applyFont="1" applyBorder="1"/>
    <xf numFmtId="4" fontId="4" fillId="2" borderId="1" xfId="0" applyNumberFormat="1" applyFont="1" applyFill="1" applyBorder="1" applyAlignment="1">
      <alignment horizontal="center" vertical="center"/>
    </xf>
    <xf numFmtId="4" fontId="0" fillId="0" borderId="1" xfId="0" applyNumberFormat="1" applyBorder="1" applyAlignment="1">
      <alignment horizontal="center" vertical="center"/>
    </xf>
    <xf numFmtId="4" fontId="0" fillId="2" borderId="0" xfId="0" applyNumberFormat="1" applyFill="1" applyAlignment="1">
      <alignment horizontal="center"/>
    </xf>
    <xf numFmtId="4" fontId="0" fillId="9" borderId="0" xfId="0" applyNumberFormat="1" applyFill="1" applyAlignment="1">
      <alignment horizontal="center"/>
    </xf>
    <xf numFmtId="4" fontId="0" fillId="0" borderId="0" xfId="0" applyNumberFormat="1" applyAlignment="1">
      <alignment horizontal="center" vertical="center"/>
    </xf>
    <xf numFmtId="0" fontId="2" fillId="0" borderId="1" xfId="0" applyFont="1" applyBorder="1" applyAlignment="1">
      <alignment horizontal="center" vertic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14" fillId="13" borderId="0" xfId="7"/>
    <xf numFmtId="0" fontId="0" fillId="14" borderId="0" xfId="0" applyFill="1"/>
    <xf numFmtId="0" fontId="14" fillId="15" borderId="0" xfId="8" applyFont="1"/>
    <xf numFmtId="0" fontId="15" fillId="14" borderId="0" xfId="0" applyFont="1" applyFill="1"/>
    <xf numFmtId="0" fontId="0" fillId="12" borderId="22" xfId="6" applyFont="1" applyAlignment="1">
      <alignment horizontal="left"/>
    </xf>
    <xf numFmtId="0" fontId="16" fillId="14" borderId="0" xfId="0" applyFont="1" applyFill="1"/>
    <xf numFmtId="0" fontId="17" fillId="0" borderId="10" xfId="0" applyFont="1" applyBorder="1"/>
    <xf numFmtId="0" fontId="9" fillId="10" borderId="27" xfId="3" applyBorder="1" applyAlignment="1" applyProtection="1">
      <alignment horizontal="left"/>
      <protection locked="0"/>
    </xf>
    <xf numFmtId="0" fontId="17" fillId="0" borderId="12" xfId="0" applyFont="1" applyBorder="1"/>
    <xf numFmtId="0" fontId="18" fillId="14" borderId="0" xfId="0" applyFont="1" applyFill="1"/>
    <xf numFmtId="0" fontId="18" fillId="0" borderId="2" xfId="0" applyFont="1" applyBorder="1"/>
    <xf numFmtId="12" fontId="18" fillId="0" borderId="3" xfId="0" applyNumberFormat="1" applyFont="1" applyBorder="1" applyAlignment="1">
      <alignment horizontal="left"/>
    </xf>
    <xf numFmtId="0" fontId="17" fillId="0" borderId="2" xfId="0" applyFont="1" applyBorder="1"/>
    <xf numFmtId="12" fontId="17" fillId="0" borderId="3" xfId="0" applyNumberFormat="1" applyFont="1" applyBorder="1" applyAlignment="1">
      <alignment horizontal="left"/>
    </xf>
    <xf numFmtId="0" fontId="19" fillId="14" borderId="0" xfId="0" applyFont="1" applyFill="1"/>
    <xf numFmtId="0" fontId="16" fillId="14" borderId="0" xfId="0" applyFont="1" applyFill="1" applyAlignment="1">
      <alignment horizontal="center"/>
    </xf>
    <xf numFmtId="0" fontId="14" fillId="13" borderId="23" xfId="7" applyBorder="1" applyAlignment="1">
      <alignment horizontal="center" vertical="center"/>
    </xf>
    <xf numFmtId="0" fontId="12" fillId="13" borderId="28" xfId="7" applyFont="1" applyBorder="1" applyAlignment="1">
      <alignment horizontal="center" vertical="center" wrapText="1"/>
    </xf>
    <xf numFmtId="0" fontId="12" fillId="13" borderId="29" xfId="7" applyFont="1" applyBorder="1" applyAlignment="1">
      <alignment horizontal="center" vertical="center" wrapText="1"/>
    </xf>
    <xf numFmtId="0" fontId="12" fillId="13" borderId="25" xfId="7" applyFont="1" applyBorder="1" applyAlignment="1">
      <alignment horizontal="center" vertical="center" wrapText="1"/>
    </xf>
    <xf numFmtId="0" fontId="20" fillId="16" borderId="30" xfId="0" applyFont="1" applyFill="1" applyBorder="1" applyAlignment="1">
      <alignment horizontal="center"/>
    </xf>
    <xf numFmtId="0" fontId="20" fillId="16" borderId="25" xfId="0" applyFont="1" applyFill="1" applyBorder="1" applyAlignment="1">
      <alignment horizontal="center"/>
    </xf>
    <xf numFmtId="0" fontId="20" fillId="16" borderId="26" xfId="0" applyFont="1" applyFill="1" applyBorder="1" applyAlignment="1">
      <alignment horizontal="center"/>
    </xf>
    <xf numFmtId="0" fontId="19" fillId="0" borderId="23" xfId="0" applyFont="1" applyBorder="1" applyAlignment="1">
      <alignment horizontal="center"/>
    </xf>
    <xf numFmtId="0" fontId="19" fillId="0" borderId="12" xfId="0" applyFont="1" applyBorder="1" applyAlignment="1">
      <alignment horizontal="center"/>
    </xf>
    <xf numFmtId="164" fontId="11" fillId="0" borderId="32" xfId="5" applyNumberFormat="1" applyBorder="1" applyAlignment="1">
      <alignment horizontal="center"/>
    </xf>
    <xf numFmtId="9" fontId="11" fillId="0" borderId="32" xfId="5" applyNumberFormat="1" applyBorder="1" applyAlignment="1">
      <alignment horizontal="center"/>
    </xf>
    <xf numFmtId="12" fontId="10" fillId="11" borderId="20" xfId="4" applyNumberFormat="1" applyAlignment="1">
      <alignment horizontal="center"/>
    </xf>
    <xf numFmtId="12" fontId="18" fillId="17" borderId="8" xfId="0" applyNumberFormat="1" applyFont="1" applyFill="1" applyBorder="1" applyAlignment="1" applyProtection="1">
      <alignment horizontal="center"/>
      <protection locked="0"/>
    </xf>
    <xf numFmtId="12" fontId="18" fillId="18" borderId="33" xfId="0" applyNumberFormat="1" applyFont="1" applyFill="1" applyBorder="1" applyAlignment="1" applyProtection="1">
      <alignment horizontal="center"/>
      <protection locked="0"/>
    </xf>
    <xf numFmtId="12" fontId="18" fillId="18" borderId="8" xfId="0" applyNumberFormat="1" applyFont="1" applyFill="1" applyBorder="1" applyAlignment="1" applyProtection="1">
      <alignment horizontal="center"/>
      <protection locked="0"/>
    </xf>
    <xf numFmtId="12" fontId="18" fillId="18" borderId="9" xfId="0" applyNumberFormat="1" applyFont="1" applyFill="1" applyBorder="1" applyAlignment="1" applyProtection="1">
      <alignment horizontal="center"/>
      <protection locked="0"/>
    </xf>
    <xf numFmtId="0" fontId="10" fillId="11" borderId="20" xfId="4" applyAlignment="1">
      <alignment horizontal="center"/>
    </xf>
    <xf numFmtId="9" fontId="11" fillId="0" borderId="21" xfId="2" applyFont="1" applyBorder="1" applyAlignment="1">
      <alignment horizontal="center"/>
    </xf>
    <xf numFmtId="9" fontId="11" fillId="0" borderId="21" xfId="5" applyNumberFormat="1" applyAlignment="1">
      <alignment horizontal="center"/>
    </xf>
    <xf numFmtId="0" fontId="1" fillId="14" borderId="0" xfId="0" applyFont="1" applyFill="1"/>
    <xf numFmtId="0" fontId="16" fillId="18" borderId="31" xfId="0" applyFont="1" applyFill="1" applyBorder="1" applyProtection="1">
      <protection locked="0"/>
    </xf>
    <xf numFmtId="164" fontId="16" fillId="19" borderId="7" xfId="0" applyNumberFormat="1" applyFont="1" applyFill="1" applyBorder="1" applyAlignment="1">
      <alignment horizontal="center"/>
    </xf>
    <xf numFmtId="165" fontId="16" fillId="19" borderId="9" xfId="0" applyNumberFormat="1" applyFont="1" applyFill="1" applyBorder="1" applyAlignment="1">
      <alignment horizontal="center"/>
    </xf>
    <xf numFmtId="12" fontId="21" fillId="16" borderId="33" xfId="0" applyNumberFormat="1" applyFont="1" applyFill="1" applyBorder="1" applyAlignment="1">
      <alignment horizontal="center"/>
    </xf>
    <xf numFmtId="12" fontId="21" fillId="16" borderId="8" xfId="0" applyNumberFormat="1" applyFont="1" applyFill="1" applyBorder="1" applyAlignment="1">
      <alignment horizontal="center"/>
    </xf>
    <xf numFmtId="12" fontId="21" fillId="16" borderId="1" xfId="0" applyNumberFormat="1" applyFont="1" applyFill="1" applyBorder="1" applyAlignment="1">
      <alignment horizontal="center"/>
    </xf>
    <xf numFmtId="12" fontId="16" fillId="18" borderId="8" xfId="0" applyNumberFormat="1" applyFont="1" applyFill="1" applyBorder="1" applyAlignment="1" applyProtection="1">
      <alignment horizontal="center"/>
      <protection locked="0"/>
    </xf>
    <xf numFmtId="12" fontId="16" fillId="18" borderId="9" xfId="0" applyNumberFormat="1" applyFont="1" applyFill="1" applyBorder="1" applyAlignment="1" applyProtection="1">
      <alignment horizontal="center"/>
      <protection locked="0"/>
    </xf>
    <xf numFmtId="0" fontId="16" fillId="18" borderId="34" xfId="0" applyFont="1" applyFill="1" applyBorder="1" applyProtection="1">
      <protection locked="0"/>
    </xf>
    <xf numFmtId="12" fontId="21" fillId="16" borderId="19" xfId="0" applyNumberFormat="1" applyFont="1" applyFill="1" applyBorder="1" applyAlignment="1">
      <alignment horizontal="center"/>
    </xf>
    <xf numFmtId="0" fontId="8" fillId="14" borderId="0" xfId="0" applyFont="1" applyFill="1"/>
    <xf numFmtId="2" fontId="0" fillId="14" borderId="0" xfId="0" applyNumberFormat="1" applyFill="1"/>
    <xf numFmtId="0" fontId="16" fillId="0" borderId="0" xfId="0" applyFont="1"/>
    <xf numFmtId="0" fontId="16" fillId="18" borderId="35" xfId="0" applyFont="1" applyFill="1" applyBorder="1" applyProtection="1">
      <protection locked="0"/>
    </xf>
    <xf numFmtId="12" fontId="21" fillId="16" borderId="36" xfId="0" applyNumberFormat="1" applyFont="1" applyFill="1" applyBorder="1" applyAlignment="1">
      <alignment horizontal="center"/>
    </xf>
    <xf numFmtId="12" fontId="21" fillId="16" borderId="5" xfId="0" applyNumberFormat="1" applyFont="1" applyFill="1" applyBorder="1" applyAlignment="1">
      <alignment horizontal="center"/>
    </xf>
    <xf numFmtId="12" fontId="21" fillId="16" borderId="6" xfId="0" applyNumberFormat="1" applyFont="1" applyFill="1" applyBorder="1" applyAlignment="1">
      <alignment horizontal="center"/>
    </xf>
    <xf numFmtId="0" fontId="18" fillId="0" borderId="1" xfId="0" applyFont="1" applyBorder="1"/>
    <xf numFmtId="166" fontId="18" fillId="0" borderId="1" xfId="0" applyNumberFormat="1" applyFont="1" applyBorder="1"/>
    <xf numFmtId="166" fontId="10" fillId="11" borderId="20" xfId="4" applyNumberFormat="1"/>
    <xf numFmtId="0" fontId="18" fillId="0" borderId="1" xfId="0" applyFont="1" applyBorder="1" applyAlignment="1">
      <alignment horizontal="center"/>
    </xf>
    <xf numFmtId="0" fontId="17" fillId="0" borderId="1" xfId="0" applyFont="1" applyBorder="1"/>
    <xf numFmtId="0" fontId="18" fillId="0" borderId="1" xfId="0" applyFont="1" applyBorder="1" applyAlignment="1">
      <alignment horizontal="center" wrapText="1"/>
    </xf>
    <xf numFmtId="164" fontId="10" fillId="11" borderId="20" xfId="4" applyNumberFormat="1" applyAlignment="1">
      <alignment horizontal="center"/>
    </xf>
    <xf numFmtId="0" fontId="22" fillId="0" borderId="23" xfId="0" applyFont="1" applyBorder="1" applyAlignment="1">
      <alignment horizontal="justify" vertical="center" wrapText="1"/>
    </xf>
    <xf numFmtId="0" fontId="22" fillId="0" borderId="12" xfId="0" applyFont="1" applyBorder="1" applyAlignment="1">
      <alignment horizontal="justify" vertical="center" wrapText="1"/>
    </xf>
    <xf numFmtId="0" fontId="22" fillId="0" borderId="35" xfId="0" applyFont="1" applyBorder="1" applyAlignment="1">
      <alignment horizontal="justify" vertical="center" wrapText="1"/>
    </xf>
    <xf numFmtId="0" fontId="22" fillId="0" borderId="37" xfId="0" applyFont="1" applyBorder="1" applyAlignment="1">
      <alignment horizontal="justify" vertical="center" wrapText="1"/>
    </xf>
    <xf numFmtId="0" fontId="12" fillId="20" borderId="30" xfId="7" applyFont="1" applyFill="1" applyBorder="1" applyAlignment="1">
      <alignment horizontal="center" vertical="center" wrapText="1"/>
    </xf>
    <xf numFmtId="0" fontId="12" fillId="20" borderId="25" xfId="7" applyFont="1" applyFill="1" applyBorder="1" applyAlignment="1">
      <alignment horizontal="center" vertical="center" wrapText="1"/>
    </xf>
    <xf numFmtId="4" fontId="0" fillId="14" borderId="1" xfId="0" applyNumberFormat="1" applyFill="1" applyBorder="1" applyAlignment="1">
      <alignment horizontal="center"/>
    </xf>
    <xf numFmtId="0" fontId="24" fillId="14" borderId="1" xfId="0" applyFont="1" applyFill="1" applyBorder="1" applyAlignment="1">
      <alignment horizontal="center"/>
    </xf>
    <xf numFmtId="0" fontId="7" fillId="0" borderId="1" xfId="0" applyFont="1" applyBorder="1" applyAlignment="1">
      <alignment horizontal="center" vertical="center" wrapText="1"/>
    </xf>
    <xf numFmtId="0" fontId="2" fillId="6" borderId="1" xfId="0" applyFont="1" applyFill="1" applyBorder="1" applyAlignment="1">
      <alignment horizontal="center"/>
    </xf>
    <xf numFmtId="4" fontId="15" fillId="0" borderId="1" xfId="0" applyNumberFormat="1" applyFont="1" applyBorder="1" applyAlignment="1">
      <alignment horizontal="center" vertical="center"/>
    </xf>
    <xf numFmtId="4" fontId="0" fillId="3" borderId="1" xfId="0" applyNumberFormat="1" applyFill="1" applyBorder="1" applyAlignment="1">
      <alignment horizontal="center"/>
    </xf>
    <xf numFmtId="0" fontId="2" fillId="0" borderId="28"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2" borderId="38" xfId="0" applyFont="1" applyFill="1" applyBorder="1" applyAlignment="1">
      <alignment horizontal="center"/>
    </xf>
    <xf numFmtId="0" fontId="2" fillId="2" borderId="1" xfId="0" applyFont="1" applyFill="1" applyBorder="1" applyAlignment="1">
      <alignment horizontal="center"/>
    </xf>
    <xf numFmtId="0" fontId="0" fillId="21" borderId="1" xfId="0" applyFill="1" applyBorder="1" applyAlignment="1">
      <alignment horizontal="center"/>
    </xf>
    <xf numFmtId="0" fontId="0" fillId="22" borderId="1" xfId="0" applyFill="1" applyBorder="1" applyAlignment="1">
      <alignment horizontal="center"/>
    </xf>
    <xf numFmtId="0" fontId="0" fillId="23" borderId="1" xfId="0" applyFill="1" applyBorder="1" applyAlignment="1">
      <alignment horizontal="center"/>
    </xf>
    <xf numFmtId="166" fontId="16" fillId="14" borderId="0" xfId="0" applyNumberFormat="1" applyFont="1" applyFill="1"/>
    <xf numFmtId="4" fontId="10" fillId="11" borderId="20" xfId="4" applyNumberFormat="1" applyAlignment="1">
      <alignment horizontal="center"/>
    </xf>
    <xf numFmtId="4" fontId="10" fillId="11" borderId="20" xfId="1" applyNumberFormat="1" applyFont="1" applyFill="1" applyBorder="1" applyAlignment="1">
      <alignment horizontal="center"/>
    </xf>
    <xf numFmtId="167" fontId="10" fillId="11" borderId="20" xfId="1" applyNumberFormat="1" applyFont="1" applyFill="1" applyBorder="1" applyAlignment="1">
      <alignment horizontal="center"/>
    </xf>
    <xf numFmtId="0" fontId="0" fillId="0" borderId="0" xfId="0"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3" fillId="2" borderId="1" xfId="0" applyFont="1" applyFill="1" applyBorder="1" applyAlignment="1">
      <alignment horizontal="center" vertical="center"/>
    </xf>
    <xf numFmtId="4" fontId="4" fillId="2" borderId="1" xfId="0" applyNumberFormat="1" applyFont="1" applyFill="1" applyBorder="1" applyAlignment="1">
      <alignment horizontal="center" vertical="center"/>
    </xf>
    <xf numFmtId="0" fontId="3" fillId="2" borderId="15"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4" fontId="4" fillId="2" borderId="15" xfId="0" applyNumberFormat="1" applyFont="1" applyFill="1" applyBorder="1" applyAlignment="1">
      <alignment horizontal="center" vertical="center"/>
    </xf>
    <xf numFmtId="4" fontId="4" fillId="2" borderId="18" xfId="0" applyNumberFormat="1" applyFont="1" applyFill="1" applyBorder="1" applyAlignment="1">
      <alignment horizontal="center" vertical="center"/>
    </xf>
    <xf numFmtId="4" fontId="4" fillId="2" borderId="19" xfId="0" applyNumberFormat="1" applyFont="1" applyFill="1" applyBorder="1" applyAlignment="1">
      <alignment horizontal="center" vertical="center"/>
    </xf>
    <xf numFmtId="0" fontId="0" fillId="12" borderId="22" xfId="6" applyFont="1" applyAlignment="1">
      <alignment horizontal="left"/>
    </xf>
    <xf numFmtId="0" fontId="17" fillId="0" borderId="10" xfId="0" applyFont="1" applyBorder="1" applyAlignment="1">
      <alignment wrapText="1"/>
    </xf>
    <xf numFmtId="0" fontId="17" fillId="0" borderId="12" xfId="0" applyFont="1" applyBorder="1" applyAlignment="1">
      <alignment wrapText="1"/>
    </xf>
  </cellXfs>
  <cellStyles count="9">
    <cellStyle name="Calculation" xfId="4" builtinId="22"/>
    <cellStyle name="Comma" xfId="1" builtinId="3"/>
    <cellStyle name="Input" xfId="3" builtinId="20"/>
    <cellStyle name="Linked Cell" xfId="5" builtinId="24"/>
    <cellStyle name="MRC Subtitle" xfId="8" xr:uid="{68F457EA-0187-4646-B46A-4F33C981FB3D}"/>
    <cellStyle name="MRC Title" xfId="7" xr:uid="{A0374FB7-DC7F-436C-BD07-C4CE0EA4F0E7}"/>
    <cellStyle name="Normal" xfId="0" builtinId="0"/>
    <cellStyle name="Note" xfId="6" builtinId="1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Visualization_v1!$M$23</c:f>
              <c:strCache>
                <c:ptCount val="1"/>
                <c:pt idx="0">
                  <c:v>Baseline</c:v>
                </c:pt>
              </c:strCache>
            </c:strRef>
          </c:tx>
          <c:spPr>
            <a:ln w="28575" cap="rnd">
              <a:solidFill>
                <a:schemeClr val="accent1"/>
              </a:solidFill>
              <a:round/>
            </a:ln>
            <a:effectLst/>
          </c:spPr>
          <c:marker>
            <c:symbol val="none"/>
          </c:marker>
          <c:cat>
            <c:strRef>
              <c:f>Visualization_v1!$N$22:$T$22</c:f>
              <c:strCache>
                <c:ptCount val="7"/>
                <c:pt idx="0">
                  <c:v>Balanced</c:v>
                </c:pt>
                <c:pt idx="1">
                  <c:v>Cost-focused</c:v>
                </c:pt>
                <c:pt idx="2">
                  <c:v>Critical resource-focused</c:v>
                </c:pt>
                <c:pt idx="3">
                  <c:v>Energy security-focused</c:v>
                </c:pt>
                <c:pt idx="4">
                  <c:v>Human health-focused </c:v>
                </c:pt>
                <c:pt idx="5">
                  <c:v>Biodiversity-focused</c:v>
                </c:pt>
                <c:pt idx="6">
                  <c:v>Socio economic-focused</c:v>
                </c:pt>
              </c:strCache>
            </c:strRef>
          </c:cat>
          <c:val>
            <c:numRef>
              <c:f>Visualization_v1!$N$23:$T$23</c:f>
              <c:numCache>
                <c:formatCode>#,##0.00</c:formatCode>
                <c:ptCount val="7"/>
                <c:pt idx="0">
                  <c:v>0.16291712321024895</c:v>
                </c:pt>
                <c:pt idx="1">
                  <c:v>7.2126564147582478E-2</c:v>
                </c:pt>
                <c:pt idx="2">
                  <c:v>0.34403616249402003</c:v>
                </c:pt>
                <c:pt idx="3">
                  <c:v>0.14347918468504781</c:v>
                </c:pt>
                <c:pt idx="4">
                  <c:v>0.62420195799491407</c:v>
                </c:pt>
                <c:pt idx="5">
                  <c:v>0.21404134903853775</c:v>
                </c:pt>
                <c:pt idx="6">
                  <c:v>2.0770164735711059E-2</c:v>
                </c:pt>
              </c:numCache>
            </c:numRef>
          </c:val>
          <c:smooth val="0"/>
          <c:extLst>
            <c:ext xmlns:c16="http://schemas.microsoft.com/office/drawing/2014/chart" uri="{C3380CC4-5D6E-409C-BE32-E72D297353CC}">
              <c16:uniqueId val="{00000000-A356-42AA-B5EF-F37632E77FAE}"/>
            </c:ext>
          </c:extLst>
        </c:ser>
        <c:ser>
          <c:idx val="1"/>
          <c:order val="1"/>
          <c:tx>
            <c:strRef>
              <c:f>Visualization_v1!$M$24</c:f>
              <c:strCache>
                <c:ptCount val="1"/>
                <c:pt idx="0">
                  <c:v>"Electricity exports" (EURef price)</c:v>
                </c:pt>
              </c:strCache>
            </c:strRef>
          </c:tx>
          <c:spPr>
            <a:ln w="28575" cap="rnd">
              <a:solidFill>
                <a:schemeClr val="accent2"/>
              </a:solidFill>
              <a:round/>
            </a:ln>
            <a:effectLst/>
          </c:spPr>
          <c:marker>
            <c:symbol val="none"/>
          </c:marker>
          <c:cat>
            <c:strRef>
              <c:f>Visualization_v1!$N$22:$T$22</c:f>
              <c:strCache>
                <c:ptCount val="7"/>
                <c:pt idx="0">
                  <c:v>Balanced</c:v>
                </c:pt>
                <c:pt idx="1">
                  <c:v>Cost-focused</c:v>
                </c:pt>
                <c:pt idx="2">
                  <c:v>Critical resource-focused</c:v>
                </c:pt>
                <c:pt idx="3">
                  <c:v>Energy security-focused</c:v>
                </c:pt>
                <c:pt idx="4">
                  <c:v>Human health-focused </c:v>
                </c:pt>
                <c:pt idx="5">
                  <c:v>Biodiversity-focused</c:v>
                </c:pt>
                <c:pt idx="6">
                  <c:v>Socio economic-focused</c:v>
                </c:pt>
              </c:strCache>
            </c:strRef>
          </c:cat>
          <c:val>
            <c:numRef>
              <c:f>Visualization_v1!$N$24:$T$24</c:f>
              <c:numCache>
                <c:formatCode>#,##0.00</c:formatCode>
                <c:ptCount val="7"/>
                <c:pt idx="0">
                  <c:v>0.6805180473211534</c:v>
                </c:pt>
                <c:pt idx="1">
                  <c:v>0.84812187081211876</c:v>
                </c:pt>
                <c:pt idx="2">
                  <c:v>0.60184777625460395</c:v>
                </c:pt>
                <c:pt idx="3">
                  <c:v>0.71520576300891281</c:v>
                </c:pt>
                <c:pt idx="4">
                  <c:v>0.35666767724615828</c:v>
                </c:pt>
                <c:pt idx="5">
                  <c:v>0.18745712416619478</c:v>
                </c:pt>
                <c:pt idx="6">
                  <c:v>0.95375189161516738</c:v>
                </c:pt>
              </c:numCache>
            </c:numRef>
          </c:val>
          <c:smooth val="0"/>
          <c:extLst>
            <c:ext xmlns:c16="http://schemas.microsoft.com/office/drawing/2014/chart" uri="{C3380CC4-5D6E-409C-BE32-E72D297353CC}">
              <c16:uniqueId val="{00000001-A356-42AA-B5EF-F37632E77FAE}"/>
            </c:ext>
          </c:extLst>
        </c:ser>
        <c:ser>
          <c:idx val="2"/>
          <c:order val="2"/>
          <c:tx>
            <c:strRef>
              <c:f>Visualization_v1!$M$25</c:f>
              <c:strCache>
                <c:ptCount val="1"/>
                <c:pt idx="0">
                  <c:v>"Electricity exports" (-50% vs EURef price)</c:v>
                </c:pt>
              </c:strCache>
            </c:strRef>
          </c:tx>
          <c:spPr>
            <a:ln w="28575" cap="rnd">
              <a:solidFill>
                <a:schemeClr val="accent2"/>
              </a:solidFill>
              <a:prstDash val="sysDot"/>
              <a:round/>
            </a:ln>
            <a:effectLst/>
          </c:spPr>
          <c:marker>
            <c:symbol val="none"/>
          </c:marker>
          <c:cat>
            <c:strRef>
              <c:f>Visualization_v1!$N$22:$T$22</c:f>
              <c:strCache>
                <c:ptCount val="7"/>
                <c:pt idx="0">
                  <c:v>Balanced</c:v>
                </c:pt>
                <c:pt idx="1">
                  <c:v>Cost-focused</c:v>
                </c:pt>
                <c:pt idx="2">
                  <c:v>Critical resource-focused</c:v>
                </c:pt>
                <c:pt idx="3">
                  <c:v>Energy security-focused</c:v>
                </c:pt>
                <c:pt idx="4">
                  <c:v>Human health-focused </c:v>
                </c:pt>
                <c:pt idx="5">
                  <c:v>Biodiversity-focused</c:v>
                </c:pt>
                <c:pt idx="6">
                  <c:v>Socio economic-focused</c:v>
                </c:pt>
              </c:strCache>
            </c:strRef>
          </c:cat>
          <c:val>
            <c:numRef>
              <c:f>Visualization_v1!$N$25:$T$25</c:f>
              <c:numCache>
                <c:formatCode>#,##0.00</c:formatCode>
                <c:ptCount val="7"/>
                <c:pt idx="0">
                  <c:v>0.60984452959437596</c:v>
                </c:pt>
                <c:pt idx="1">
                  <c:v>0.50312897692398872</c:v>
                </c:pt>
                <c:pt idx="2">
                  <c:v>0.50932283985537607</c:v>
                </c:pt>
                <c:pt idx="3">
                  <c:v>0.54593555572628205</c:v>
                </c:pt>
                <c:pt idx="4">
                  <c:v>0.39502073963456064</c:v>
                </c:pt>
                <c:pt idx="5">
                  <c:v>0.90533721258449906</c:v>
                </c:pt>
                <c:pt idx="6">
                  <c:v>0.57171471988226175</c:v>
                </c:pt>
              </c:numCache>
            </c:numRef>
          </c:val>
          <c:smooth val="0"/>
          <c:extLst>
            <c:ext xmlns:c16="http://schemas.microsoft.com/office/drawing/2014/chart" uri="{C3380CC4-5D6E-409C-BE32-E72D297353CC}">
              <c16:uniqueId val="{00000002-A356-42AA-B5EF-F37632E77FAE}"/>
            </c:ext>
          </c:extLst>
        </c:ser>
        <c:dLbls>
          <c:showLegendKey val="0"/>
          <c:showVal val="0"/>
          <c:showCatName val="0"/>
          <c:showSerName val="0"/>
          <c:showPercent val="0"/>
          <c:showBubbleSize val="0"/>
        </c:dLbls>
        <c:smooth val="0"/>
        <c:axId val="1847243888"/>
        <c:axId val="1847244368"/>
      </c:lineChart>
      <c:catAx>
        <c:axId val="18472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Decision maker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47244368"/>
        <c:crosses val="autoZero"/>
        <c:auto val="1"/>
        <c:lblAlgn val="ctr"/>
        <c:lblOffset val="100"/>
        <c:noMultiLvlLbl val="0"/>
      </c:catAx>
      <c:valAx>
        <c:axId val="18472443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TOPSIS D </a:t>
                </a:r>
                <a:r>
                  <a:rPr lang="en-GB" baseline="0"/>
                  <a:t>values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472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Visualization_v2!$M$23</c:f>
              <c:strCache>
                <c:ptCount val="1"/>
                <c:pt idx="0">
                  <c:v>Baseline</c:v>
                </c:pt>
              </c:strCache>
            </c:strRef>
          </c:tx>
          <c:spPr>
            <a:ln w="28575" cap="rnd">
              <a:solidFill>
                <a:schemeClr val="accent1"/>
              </a:solidFill>
              <a:round/>
            </a:ln>
            <a:effectLst/>
          </c:spPr>
          <c:marker>
            <c:symbol val="none"/>
          </c:marker>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Visualization_v2!$N$23:$U$23</c:f>
              <c:numCache>
                <c:formatCode>#,##0.00</c:formatCode>
                <c:ptCount val="8"/>
                <c:pt idx="0">
                  <c:v>0.16291712321024895</c:v>
                </c:pt>
                <c:pt idx="1">
                  <c:v>9.5312055186471886E-2</c:v>
                </c:pt>
                <c:pt idx="2">
                  <c:v>0.18697970189888832</c:v>
                </c:pt>
                <c:pt idx="3">
                  <c:v>0.31024501253456332</c:v>
                </c:pt>
                <c:pt idx="4">
                  <c:v>0.10509285331987964</c:v>
                </c:pt>
                <c:pt idx="5">
                  <c:v>0.44122649143722437</c:v>
                </c:pt>
                <c:pt idx="6">
                  <c:v>0.25192241956021105</c:v>
                </c:pt>
                <c:pt idx="7">
                  <c:v>4.9504131269590593E-2</c:v>
                </c:pt>
              </c:numCache>
            </c:numRef>
          </c:val>
          <c:smooth val="0"/>
          <c:extLst>
            <c:ext xmlns:c16="http://schemas.microsoft.com/office/drawing/2014/chart" uri="{C3380CC4-5D6E-409C-BE32-E72D297353CC}">
              <c16:uniqueId val="{00000000-7C65-4EEE-B6DC-86F593D82EAB}"/>
            </c:ext>
          </c:extLst>
        </c:ser>
        <c:ser>
          <c:idx val="1"/>
          <c:order val="1"/>
          <c:tx>
            <c:strRef>
              <c:f>Visualization_v2!$M$24</c:f>
              <c:strCache>
                <c:ptCount val="1"/>
                <c:pt idx="0">
                  <c:v>"Electricity exports" (EURef price)</c:v>
                </c:pt>
              </c:strCache>
            </c:strRef>
          </c:tx>
          <c:spPr>
            <a:ln w="28575" cap="rnd">
              <a:solidFill>
                <a:schemeClr val="accent2"/>
              </a:solidFill>
              <a:round/>
            </a:ln>
            <a:effectLst/>
          </c:spPr>
          <c:marker>
            <c:symbol val="none"/>
          </c:marker>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Visualization_v2!$N$24:$U$24</c:f>
              <c:numCache>
                <c:formatCode>#,##0.00</c:formatCode>
                <c:ptCount val="8"/>
                <c:pt idx="0">
                  <c:v>0.6805180473211534</c:v>
                </c:pt>
                <c:pt idx="1">
                  <c:v>0.85436483043952605</c:v>
                </c:pt>
                <c:pt idx="2">
                  <c:v>0.78904023274124235</c:v>
                </c:pt>
                <c:pt idx="3">
                  <c:v>0.43356533358910904</c:v>
                </c:pt>
                <c:pt idx="4">
                  <c:v>0.84013580988043213</c:v>
                </c:pt>
                <c:pt idx="5">
                  <c:v>0.38638715623723652</c:v>
                </c:pt>
                <c:pt idx="6">
                  <c:v>0.27661089020089319</c:v>
                </c:pt>
                <c:pt idx="7">
                  <c:v>0.92260361121748879</c:v>
                </c:pt>
              </c:numCache>
            </c:numRef>
          </c:val>
          <c:smooth val="0"/>
          <c:extLst>
            <c:ext xmlns:c16="http://schemas.microsoft.com/office/drawing/2014/chart" uri="{C3380CC4-5D6E-409C-BE32-E72D297353CC}">
              <c16:uniqueId val="{00000001-7C65-4EEE-B6DC-86F593D82EAB}"/>
            </c:ext>
          </c:extLst>
        </c:ser>
        <c:ser>
          <c:idx val="2"/>
          <c:order val="2"/>
          <c:tx>
            <c:strRef>
              <c:f>Visualization_v1!$M$25</c:f>
              <c:strCache>
                <c:ptCount val="1"/>
                <c:pt idx="0">
                  <c:v>"Electricity exports" (-50% vs EURef price)</c:v>
                </c:pt>
              </c:strCache>
            </c:strRef>
          </c:tx>
          <c:spPr>
            <a:ln w="28575" cap="rnd">
              <a:solidFill>
                <a:schemeClr val="accent2"/>
              </a:solidFill>
              <a:prstDash val="sysDot"/>
              <a:round/>
            </a:ln>
            <a:effectLst/>
          </c:spPr>
          <c:marker>
            <c:symbol val="none"/>
          </c:marker>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Visualization_v2!$N$25:$U$25</c:f>
              <c:numCache>
                <c:formatCode>#,##0.00</c:formatCode>
                <c:ptCount val="8"/>
                <c:pt idx="0">
                  <c:v>0.60984452959437596</c:v>
                </c:pt>
                <c:pt idx="1">
                  <c:v>0.54894216789581174</c:v>
                </c:pt>
                <c:pt idx="2">
                  <c:v>0.5448322080507233</c:v>
                </c:pt>
                <c:pt idx="3">
                  <c:v>0.68106844917676557</c:v>
                </c:pt>
                <c:pt idx="4">
                  <c:v>0.56287019650382097</c:v>
                </c:pt>
                <c:pt idx="5">
                  <c:v>0.60740836193763437</c:v>
                </c:pt>
                <c:pt idx="6">
                  <c:v>0.82004931664618563</c:v>
                </c:pt>
                <c:pt idx="7">
                  <c:v>0.57030155933845383</c:v>
                </c:pt>
              </c:numCache>
            </c:numRef>
          </c:val>
          <c:smooth val="0"/>
          <c:extLst>
            <c:ext xmlns:c16="http://schemas.microsoft.com/office/drawing/2014/chart" uri="{C3380CC4-5D6E-409C-BE32-E72D297353CC}">
              <c16:uniqueId val="{00000002-7C65-4EEE-B6DC-86F593D82EAB}"/>
            </c:ext>
          </c:extLst>
        </c:ser>
        <c:dLbls>
          <c:showLegendKey val="0"/>
          <c:showVal val="0"/>
          <c:showCatName val="0"/>
          <c:showSerName val="0"/>
          <c:showPercent val="0"/>
          <c:showBubbleSize val="0"/>
        </c:dLbls>
        <c:smooth val="0"/>
        <c:axId val="1847243888"/>
        <c:axId val="1847244368"/>
      </c:lineChart>
      <c:catAx>
        <c:axId val="18472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Decision maker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6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crossAx val="1847244368"/>
        <c:crosses val="autoZero"/>
        <c:auto val="1"/>
        <c:lblAlgn val="ctr"/>
        <c:lblOffset val="100"/>
        <c:noMultiLvlLbl val="0"/>
      </c:catAx>
      <c:valAx>
        <c:axId val="18472443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TOPSIS D </a:t>
                </a:r>
                <a:r>
                  <a:rPr lang="en-GB" baseline="0"/>
                  <a:t>values</a:t>
                </a:r>
                <a:endParaRPr lang="en-GB"/>
              </a:p>
            </c:rich>
          </c:tx>
          <c:layout>
            <c:manualLayout>
              <c:xMode val="edge"/>
              <c:yMode val="edge"/>
              <c:x val="1.6961361040154353E-2"/>
              <c:y val="0.19345280371403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47243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Visualization_v2!$M$23</c:f>
              <c:strCache>
                <c:ptCount val="1"/>
                <c:pt idx="0">
                  <c:v>Baseline</c:v>
                </c:pt>
              </c:strCache>
            </c:strRef>
          </c:tx>
          <c:spPr>
            <a:solidFill>
              <a:schemeClr val="accent1"/>
            </a:solidFill>
            <a:ln>
              <a:noFill/>
            </a:ln>
            <a:effectLst/>
          </c:spPr>
          <c:invertIfNegative val="0"/>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Visualization_v2!$N$23:$U$23</c:f>
              <c:numCache>
                <c:formatCode>#,##0.00</c:formatCode>
                <c:ptCount val="8"/>
                <c:pt idx="0">
                  <c:v>0.16291712321024895</c:v>
                </c:pt>
                <c:pt idx="1">
                  <c:v>9.5312055186471886E-2</c:v>
                </c:pt>
                <c:pt idx="2">
                  <c:v>0.18697970189888832</c:v>
                </c:pt>
                <c:pt idx="3">
                  <c:v>0.31024501253456332</c:v>
                </c:pt>
                <c:pt idx="4">
                  <c:v>0.10509285331987964</c:v>
                </c:pt>
                <c:pt idx="5">
                  <c:v>0.44122649143722437</c:v>
                </c:pt>
                <c:pt idx="6">
                  <c:v>0.25192241956021105</c:v>
                </c:pt>
                <c:pt idx="7">
                  <c:v>4.9504131269590593E-2</c:v>
                </c:pt>
              </c:numCache>
            </c:numRef>
          </c:val>
          <c:extLst>
            <c:ext xmlns:c16="http://schemas.microsoft.com/office/drawing/2014/chart" uri="{C3380CC4-5D6E-409C-BE32-E72D297353CC}">
              <c16:uniqueId val="{00000000-98A0-43F2-A3A5-3C00C22EC02D}"/>
            </c:ext>
          </c:extLst>
        </c:ser>
        <c:ser>
          <c:idx val="1"/>
          <c:order val="1"/>
          <c:tx>
            <c:strRef>
              <c:f>Visualization_v2!$M$24</c:f>
              <c:strCache>
                <c:ptCount val="1"/>
                <c:pt idx="0">
                  <c:v>"Electricity exports" (EURef price)</c:v>
                </c:pt>
              </c:strCache>
            </c:strRef>
          </c:tx>
          <c:spPr>
            <a:solidFill>
              <a:schemeClr val="accent2"/>
            </a:solidFill>
            <a:ln>
              <a:noFill/>
            </a:ln>
            <a:effectLst/>
          </c:spPr>
          <c:invertIfNegative val="0"/>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Visualization_v2!$N$24:$U$24</c:f>
              <c:numCache>
                <c:formatCode>#,##0.00</c:formatCode>
                <c:ptCount val="8"/>
                <c:pt idx="0">
                  <c:v>0.6805180473211534</c:v>
                </c:pt>
                <c:pt idx="1">
                  <c:v>0.85436483043952605</c:v>
                </c:pt>
                <c:pt idx="2">
                  <c:v>0.78904023274124235</c:v>
                </c:pt>
                <c:pt idx="3">
                  <c:v>0.43356533358910904</c:v>
                </c:pt>
                <c:pt idx="4">
                  <c:v>0.84013580988043213</c:v>
                </c:pt>
                <c:pt idx="5">
                  <c:v>0.38638715623723652</c:v>
                </c:pt>
                <c:pt idx="6">
                  <c:v>0.27661089020089319</c:v>
                </c:pt>
                <c:pt idx="7">
                  <c:v>0.92260361121748879</c:v>
                </c:pt>
              </c:numCache>
            </c:numRef>
          </c:val>
          <c:extLst>
            <c:ext xmlns:c16="http://schemas.microsoft.com/office/drawing/2014/chart" uri="{C3380CC4-5D6E-409C-BE32-E72D297353CC}">
              <c16:uniqueId val="{00000001-98A0-43F2-A3A5-3C00C22EC02D}"/>
            </c:ext>
          </c:extLst>
        </c:ser>
        <c:dLbls>
          <c:showLegendKey val="0"/>
          <c:showVal val="0"/>
          <c:showCatName val="0"/>
          <c:showSerName val="0"/>
          <c:showPercent val="0"/>
          <c:showBubbleSize val="0"/>
        </c:dLbls>
        <c:gapWidth val="150"/>
        <c:axId val="688576831"/>
        <c:axId val="688603231"/>
      </c:barChart>
      <c:lineChart>
        <c:grouping val="standard"/>
        <c:varyColors val="0"/>
        <c:ser>
          <c:idx val="2"/>
          <c:order val="2"/>
          <c:tx>
            <c:strRef>
              <c:f>Visualization_v2!$M$25</c:f>
              <c:strCache>
                <c:ptCount val="1"/>
                <c:pt idx="0">
                  <c:v>"Electricity exports" (-50% vs EURef price)</c:v>
                </c:pt>
              </c:strCache>
            </c:strRef>
          </c:tx>
          <c:spPr>
            <a:ln w="28575" cap="rnd">
              <a:noFill/>
              <a:prstDash val="sysDot"/>
              <a:round/>
            </a:ln>
            <a:effectLst/>
          </c:spPr>
          <c:marker>
            <c:symbol val="triangle"/>
            <c:size val="8"/>
            <c:spPr>
              <a:solidFill>
                <a:schemeClr val="tx1"/>
              </a:solidFill>
              <a:ln w="9525">
                <a:noFill/>
              </a:ln>
              <a:effectLst/>
            </c:spPr>
          </c:marker>
          <c:cat>
            <c:strRef>
              <c:f>Visualization_v2!$N$22:$U$22</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Visualization_v2!$N$25:$U$25</c:f>
              <c:numCache>
                <c:formatCode>#,##0.00</c:formatCode>
                <c:ptCount val="8"/>
                <c:pt idx="0">
                  <c:v>0.60984452959437596</c:v>
                </c:pt>
                <c:pt idx="1">
                  <c:v>0.54894216789581174</c:v>
                </c:pt>
                <c:pt idx="2">
                  <c:v>0.5448322080507233</c:v>
                </c:pt>
                <c:pt idx="3">
                  <c:v>0.68106844917676557</c:v>
                </c:pt>
                <c:pt idx="4">
                  <c:v>0.56287019650382097</c:v>
                </c:pt>
                <c:pt idx="5">
                  <c:v>0.60740836193763437</c:v>
                </c:pt>
                <c:pt idx="6">
                  <c:v>0.82004931664618563</c:v>
                </c:pt>
                <c:pt idx="7">
                  <c:v>0.57030155933845383</c:v>
                </c:pt>
              </c:numCache>
            </c:numRef>
          </c:val>
          <c:smooth val="0"/>
          <c:extLst>
            <c:ext xmlns:c16="http://schemas.microsoft.com/office/drawing/2014/chart" uri="{C3380CC4-5D6E-409C-BE32-E72D297353CC}">
              <c16:uniqueId val="{00000002-98A0-43F2-A3A5-3C00C22EC02D}"/>
            </c:ext>
          </c:extLst>
        </c:ser>
        <c:dLbls>
          <c:showLegendKey val="0"/>
          <c:showVal val="0"/>
          <c:showCatName val="0"/>
          <c:showSerName val="0"/>
          <c:showPercent val="0"/>
          <c:showBubbleSize val="0"/>
        </c:dLbls>
        <c:marker val="1"/>
        <c:smooth val="0"/>
        <c:axId val="688576831"/>
        <c:axId val="688603231"/>
      </c:lineChart>
      <c:catAx>
        <c:axId val="6885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8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88603231"/>
        <c:crosses val="autoZero"/>
        <c:auto val="1"/>
        <c:lblAlgn val="ctr"/>
        <c:lblOffset val="100"/>
        <c:noMultiLvlLbl val="0"/>
      </c:catAx>
      <c:valAx>
        <c:axId val="68860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TOPSIS D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88576831"/>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Visualization_v2!$X$32</c:f>
              <c:strCache>
                <c:ptCount val="1"/>
                <c:pt idx="0">
                  <c:v>1st: EE (EURef price); 3rd: BaU</c:v>
                </c:pt>
              </c:strCache>
            </c:strRef>
          </c:tx>
          <c:spPr>
            <a:ln w="28575" cap="rnd">
              <a:solidFill>
                <a:schemeClr val="accent1"/>
              </a:solidFill>
              <a:round/>
            </a:ln>
            <a:effectLst/>
          </c:spPr>
          <c:marker>
            <c:symbol val="none"/>
          </c:marker>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Visualization_v2!$N$31:$N$37</c:f>
              <c:numCache>
                <c:formatCode>#,##0.00</c:formatCode>
                <c:ptCount val="7"/>
                <c:pt idx="0">
                  <c:v>0.14285714285714282</c:v>
                </c:pt>
                <c:pt idx="1">
                  <c:v>0.14285714285714282</c:v>
                </c:pt>
                <c:pt idx="2">
                  <c:v>0.14285714285714282</c:v>
                </c:pt>
                <c:pt idx="3">
                  <c:v>0.14285714285714282</c:v>
                </c:pt>
                <c:pt idx="4">
                  <c:v>0.14285714285714282</c:v>
                </c:pt>
                <c:pt idx="5">
                  <c:v>0.14285714285714282</c:v>
                </c:pt>
                <c:pt idx="6">
                  <c:v>0.14285714285714282</c:v>
                </c:pt>
              </c:numCache>
            </c:numRef>
          </c:val>
          <c:smooth val="0"/>
          <c:extLst>
            <c:ext xmlns:c16="http://schemas.microsoft.com/office/drawing/2014/chart" uri="{C3380CC4-5D6E-409C-BE32-E72D297353CC}">
              <c16:uniqueId val="{00000000-3EA7-478B-ACF8-96439C9D1327}"/>
            </c:ext>
          </c:extLst>
        </c:ser>
        <c:ser>
          <c:idx val="1"/>
          <c:order val="1"/>
          <c:spPr>
            <a:ln w="28575" cap="rnd">
              <a:solidFill>
                <a:schemeClr val="accent1"/>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Visualization_v2!$O$31:$O$37</c:f>
              <c:numCache>
                <c:formatCode>#,##0.00</c:formatCode>
                <c:ptCount val="7"/>
                <c:pt idx="0">
                  <c:v>0.36466894450087722</c:v>
                </c:pt>
                <c:pt idx="1">
                  <c:v>0.15516976021177703</c:v>
                </c:pt>
                <c:pt idx="2">
                  <c:v>5.6607258287930562E-2</c:v>
                </c:pt>
                <c:pt idx="3">
                  <c:v>0.15516976021177703</c:v>
                </c:pt>
                <c:pt idx="4">
                  <c:v>5.6607258287930562E-2</c:v>
                </c:pt>
                <c:pt idx="5">
                  <c:v>5.6607258287930562E-2</c:v>
                </c:pt>
                <c:pt idx="6">
                  <c:v>0.15516976021177703</c:v>
                </c:pt>
              </c:numCache>
            </c:numRef>
          </c:val>
          <c:smooth val="0"/>
          <c:extLst>
            <c:ext xmlns:c16="http://schemas.microsoft.com/office/drawing/2014/chart" uri="{C3380CC4-5D6E-409C-BE32-E72D297353CC}">
              <c16:uniqueId val="{00000001-3EA7-478B-ACF8-96439C9D1327}"/>
            </c:ext>
          </c:extLst>
        </c:ser>
        <c:ser>
          <c:idx val="2"/>
          <c:order val="2"/>
          <c:spPr>
            <a:ln w="28575" cap="rnd">
              <a:solidFill>
                <a:schemeClr val="accent1"/>
              </a:solidFill>
              <a:round/>
            </a:ln>
            <a:effectLst/>
          </c:spPr>
          <c:marker>
            <c:symbol val="none"/>
          </c:marker>
          <c:dLbls>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Visualization_v2!$P$31:$P$37</c:f>
              <c:numCache>
                <c:formatCode>#,##0.00</c:formatCode>
                <c:ptCount val="7"/>
                <c:pt idx="0">
                  <c:v>0.15516976021177703</c:v>
                </c:pt>
                <c:pt idx="1">
                  <c:v>0.36466894450087722</c:v>
                </c:pt>
                <c:pt idx="2">
                  <c:v>5.6607258287930562E-2</c:v>
                </c:pt>
                <c:pt idx="3">
                  <c:v>0.15516976021177703</c:v>
                </c:pt>
                <c:pt idx="4">
                  <c:v>5.6607258287930562E-2</c:v>
                </c:pt>
                <c:pt idx="5">
                  <c:v>5.6607258287930562E-2</c:v>
                </c:pt>
                <c:pt idx="6">
                  <c:v>0.15516976021177703</c:v>
                </c:pt>
              </c:numCache>
            </c:numRef>
          </c:val>
          <c:smooth val="0"/>
          <c:extLst>
            <c:ext xmlns:c16="http://schemas.microsoft.com/office/drawing/2014/chart" uri="{C3380CC4-5D6E-409C-BE32-E72D297353CC}">
              <c16:uniqueId val="{00000002-3EA7-478B-ACF8-96439C9D1327}"/>
            </c:ext>
          </c:extLst>
        </c:ser>
        <c:ser>
          <c:idx val="3"/>
          <c:order val="3"/>
          <c:tx>
            <c:strRef>
              <c:f>Visualization_v2!$X$34</c:f>
              <c:strCache>
                <c:ptCount val="1"/>
                <c:pt idx="0">
                  <c:v>1st: EE (-50%EURef price); 3rd: BaU</c:v>
                </c:pt>
              </c:strCache>
            </c:strRef>
          </c:tx>
          <c:spPr>
            <a:ln w="28575" cap="rnd">
              <a:solidFill>
                <a:schemeClr val="accent6"/>
              </a:solidFill>
              <a:round/>
            </a:ln>
            <a:effectLst/>
          </c:spPr>
          <c:marker>
            <c:symbol val="none"/>
          </c:marker>
          <c:dLbls>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Visualization_v2!$Q$31:$Q$37</c:f>
              <c:numCache>
                <c:formatCode>#,##0.00</c:formatCode>
                <c:ptCount val="7"/>
                <c:pt idx="0">
                  <c:v>6.4715843663212078E-2</c:v>
                </c:pt>
                <c:pt idx="1">
                  <c:v>6.4715843663212078E-2</c:v>
                </c:pt>
                <c:pt idx="2">
                  <c:v>0.38372959425591008</c:v>
                </c:pt>
                <c:pt idx="3">
                  <c:v>6.4715843663212078E-2</c:v>
                </c:pt>
                <c:pt idx="4">
                  <c:v>0.17870351554562083</c:v>
                </c:pt>
                <c:pt idx="5">
                  <c:v>0.17870351554562083</c:v>
                </c:pt>
                <c:pt idx="6">
                  <c:v>6.4715843663212078E-2</c:v>
                </c:pt>
              </c:numCache>
            </c:numRef>
          </c:val>
          <c:smooth val="0"/>
          <c:extLst>
            <c:ext xmlns:c16="http://schemas.microsoft.com/office/drawing/2014/chart" uri="{C3380CC4-5D6E-409C-BE32-E72D297353CC}">
              <c16:uniqueId val="{00000003-3EA7-478B-ACF8-96439C9D1327}"/>
            </c:ext>
          </c:extLst>
        </c:ser>
        <c:ser>
          <c:idx val="4"/>
          <c:order val="4"/>
          <c:spPr>
            <a:ln w="28575" cap="rnd">
              <a:solidFill>
                <a:schemeClr val="accent1"/>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Visualization_v2!$R$31:$R$37</c:f>
              <c:numCache>
                <c:formatCode>#,##0.00</c:formatCode>
                <c:ptCount val="7"/>
                <c:pt idx="0">
                  <c:v>0.15516976021177703</c:v>
                </c:pt>
                <c:pt idx="1">
                  <c:v>0.15516976021177703</c:v>
                </c:pt>
                <c:pt idx="2">
                  <c:v>5.6607258287930562E-2</c:v>
                </c:pt>
                <c:pt idx="3">
                  <c:v>0.36466894450087722</c:v>
                </c:pt>
                <c:pt idx="4">
                  <c:v>5.6607258287930562E-2</c:v>
                </c:pt>
                <c:pt idx="5">
                  <c:v>5.6607258287930562E-2</c:v>
                </c:pt>
                <c:pt idx="6">
                  <c:v>0.15516976021177703</c:v>
                </c:pt>
              </c:numCache>
            </c:numRef>
          </c:val>
          <c:smooth val="0"/>
          <c:extLst>
            <c:ext xmlns:c16="http://schemas.microsoft.com/office/drawing/2014/chart" uri="{C3380CC4-5D6E-409C-BE32-E72D297353CC}">
              <c16:uniqueId val="{00000004-3EA7-478B-ACF8-96439C9D1327}"/>
            </c:ext>
          </c:extLst>
        </c:ser>
        <c:ser>
          <c:idx val="5"/>
          <c:order val="5"/>
          <c:tx>
            <c:strRef>
              <c:f>Visualization_v2!$X$33</c:f>
              <c:strCache>
                <c:ptCount val="1"/>
                <c:pt idx="0">
                  <c:v>1st: EE (-50%EURef price); 2nd: BaU</c:v>
                </c:pt>
              </c:strCache>
            </c:strRef>
          </c:tx>
          <c:spPr>
            <a:ln w="28575" cap="rnd">
              <a:solidFill>
                <a:schemeClr val="accent2"/>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Visualization_v2!$S$31:$S$37</c:f>
              <c:numCache>
                <c:formatCode>#,##0.00</c:formatCode>
                <c:ptCount val="7"/>
                <c:pt idx="0">
                  <c:v>6.4715843663212078E-2</c:v>
                </c:pt>
                <c:pt idx="1">
                  <c:v>6.4715843663212078E-2</c:v>
                </c:pt>
                <c:pt idx="2">
                  <c:v>0.17870351554562083</c:v>
                </c:pt>
                <c:pt idx="3">
                  <c:v>6.4715843663212078E-2</c:v>
                </c:pt>
                <c:pt idx="4">
                  <c:v>0.38372959425591008</c:v>
                </c:pt>
                <c:pt idx="5">
                  <c:v>0.17870351554562083</c:v>
                </c:pt>
                <c:pt idx="6">
                  <c:v>6.4715843663212078E-2</c:v>
                </c:pt>
              </c:numCache>
            </c:numRef>
          </c:val>
          <c:smooth val="0"/>
          <c:extLst>
            <c:ext xmlns:c16="http://schemas.microsoft.com/office/drawing/2014/chart" uri="{C3380CC4-5D6E-409C-BE32-E72D297353CC}">
              <c16:uniqueId val="{00000005-3EA7-478B-ACF8-96439C9D1327}"/>
            </c:ext>
          </c:extLst>
        </c:ser>
        <c:ser>
          <c:idx val="6"/>
          <c:order val="6"/>
          <c:spPr>
            <a:ln w="28575" cap="rnd">
              <a:solidFill>
                <a:schemeClr val="accent6"/>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EA7-478B-ACF8-96439C9D1327}"/>
                </c:ext>
              </c:extLst>
            </c:dLbl>
            <c:dLbl>
              <c:idx val="1"/>
              <c:layout>
                <c:manualLayout>
                  <c:x val="-1.0047420100591245E-2"/>
                  <c:y val="1.0759661835748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EA7-478B-ACF8-96439C9D1327}"/>
                </c:ext>
              </c:extLst>
            </c:dLbl>
            <c:dLbl>
              <c:idx val="3"/>
              <c:layout>
                <c:manualLayout>
                  <c:x val="-1.1882552128225799E-2"/>
                  <c:y val="1.68949275362318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EA7-478B-ACF8-96439C9D132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EA7-478B-ACF8-96439C9D1327}"/>
                </c:ext>
              </c:extLst>
            </c:dLbl>
            <c:dLbl>
              <c:idx val="6"/>
              <c:layout>
                <c:manualLayout>
                  <c:x val="-3.2534145376847255E-2"/>
                  <c:y val="2.6097826086956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Visualization_v2!$T$31:$T$37</c:f>
              <c:numCache>
                <c:formatCode>#,##0.00</c:formatCode>
                <c:ptCount val="7"/>
                <c:pt idx="0">
                  <c:v>6.4715843663212078E-2</c:v>
                </c:pt>
                <c:pt idx="1">
                  <c:v>6.4715843663212078E-2</c:v>
                </c:pt>
                <c:pt idx="2">
                  <c:v>0.17870351554562083</c:v>
                </c:pt>
                <c:pt idx="3">
                  <c:v>6.4715843663212078E-2</c:v>
                </c:pt>
                <c:pt idx="4">
                  <c:v>0.17870351554562083</c:v>
                </c:pt>
                <c:pt idx="5">
                  <c:v>0.38372959425591002</c:v>
                </c:pt>
                <c:pt idx="6">
                  <c:v>6.4715843663212078E-2</c:v>
                </c:pt>
              </c:numCache>
            </c:numRef>
          </c:val>
          <c:smooth val="0"/>
          <c:extLst>
            <c:ext xmlns:c16="http://schemas.microsoft.com/office/drawing/2014/chart" uri="{C3380CC4-5D6E-409C-BE32-E72D297353CC}">
              <c16:uniqueId val="{00000006-3EA7-478B-ACF8-96439C9D1327}"/>
            </c:ext>
          </c:extLst>
        </c:ser>
        <c:ser>
          <c:idx val="7"/>
          <c:order val="7"/>
          <c:spPr>
            <a:ln w="28575" cap="rnd">
              <a:solidFill>
                <a:schemeClr val="accent1"/>
              </a:solidFill>
              <a:round/>
            </a:ln>
            <a:effectLst/>
          </c:spPr>
          <c:marker>
            <c:symbol val="none"/>
          </c:marker>
          <c:dLbls>
            <c:dLbl>
              <c:idx val="2"/>
              <c:layout>
                <c:manualLayout>
                  <c:x val="-8.71759962418808E-4"/>
                  <c:y val="3.22330917874395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EA7-478B-ACF8-96439C9D1327}"/>
                </c:ext>
              </c:extLst>
            </c:dLbl>
            <c:dLbl>
              <c:idx val="4"/>
              <c:layout>
                <c:manualLayout>
                  <c:x val="-2.1058212266398171E-2"/>
                  <c:y val="1.9962560386473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EA7-478B-ACF8-96439C9D1327}"/>
                </c:ext>
              </c:extLst>
            </c:dLbl>
            <c:dLbl>
              <c:idx val="5"/>
              <c:layout>
                <c:manualLayout>
                  <c:x val="-4.5420240176877831E-3"/>
                  <c:y val="1.0759661835748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EA7-478B-ACF8-96439C9D132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EA7-478B-ACF8-96439C9D1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Visualization_v2!$M$31:$M$37</c:f>
              <c:strCache>
                <c:ptCount val="7"/>
                <c:pt idx="0">
                  <c:v>LCOE</c:v>
                </c:pt>
                <c:pt idx="1">
                  <c:v>Land-use</c:v>
                </c:pt>
                <c:pt idx="2">
                  <c:v>Critical material</c:v>
                </c:pt>
                <c:pt idx="3">
                  <c:v>Diversity of installed power</c:v>
                </c:pt>
                <c:pt idx="4">
                  <c:v>Human toxicity</c:v>
                </c:pt>
                <c:pt idx="5">
                  <c:v>marine eutrophication</c:v>
                </c:pt>
                <c:pt idx="6">
                  <c:v>GDP</c:v>
                </c:pt>
              </c:strCache>
            </c:strRef>
          </c:cat>
          <c:val>
            <c:numRef>
              <c:f>Visualization_v2!$U$31:$U$37</c:f>
              <c:numCache>
                <c:formatCode>#,##0.00</c:formatCode>
                <c:ptCount val="7"/>
                <c:pt idx="0">
                  <c:v>0.15516976021177703</c:v>
                </c:pt>
                <c:pt idx="1">
                  <c:v>0.15516976021177703</c:v>
                </c:pt>
                <c:pt idx="2">
                  <c:v>5.6607258287930562E-2</c:v>
                </c:pt>
                <c:pt idx="3">
                  <c:v>0.15516976021177703</c:v>
                </c:pt>
                <c:pt idx="4">
                  <c:v>5.6607258287930562E-2</c:v>
                </c:pt>
                <c:pt idx="5">
                  <c:v>5.6607258287930562E-2</c:v>
                </c:pt>
                <c:pt idx="6">
                  <c:v>0.36466894450087722</c:v>
                </c:pt>
              </c:numCache>
            </c:numRef>
          </c:val>
          <c:smooth val="0"/>
          <c:extLst>
            <c:ext xmlns:c16="http://schemas.microsoft.com/office/drawing/2014/chart" uri="{C3380CC4-5D6E-409C-BE32-E72D297353CC}">
              <c16:uniqueId val="{00000007-3EA7-478B-ACF8-96439C9D1327}"/>
            </c:ext>
          </c:extLst>
        </c:ser>
        <c:dLbls>
          <c:showLegendKey val="0"/>
          <c:showVal val="0"/>
          <c:showCatName val="0"/>
          <c:showSerName val="0"/>
          <c:showPercent val="0"/>
          <c:showBubbleSize val="0"/>
        </c:dLbls>
        <c:smooth val="0"/>
        <c:axId val="1658071520"/>
        <c:axId val="1658045120"/>
      </c:lineChart>
      <c:catAx>
        <c:axId val="1658071520"/>
        <c:scaling>
          <c:orientation val="minMax"/>
        </c:scaling>
        <c:delete val="0"/>
        <c:axPos val="b"/>
        <c:majorGridlines>
          <c:spPr>
            <a:ln w="25400"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78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LID4096"/>
          </a:p>
        </c:txPr>
        <c:crossAx val="1658045120"/>
        <c:crosses val="autoZero"/>
        <c:auto val="1"/>
        <c:lblAlgn val="ctr"/>
        <c:lblOffset val="100"/>
        <c:noMultiLvlLbl val="0"/>
      </c:catAx>
      <c:valAx>
        <c:axId val="1658045120"/>
        <c:scaling>
          <c:orientation val="minMax"/>
          <c:max val="0.4"/>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crossAx val="1658071520"/>
        <c:crossesAt val="0"/>
        <c:crossBetween val="midCat"/>
      </c:valAx>
      <c:spPr>
        <a:noFill/>
        <a:ln>
          <a:noFill/>
        </a:ln>
        <a:effectLst/>
      </c:spPr>
    </c:plotArea>
    <c:legend>
      <c:legendPos val="t"/>
      <c:legendEntry>
        <c:idx val="1"/>
        <c:delete val="1"/>
      </c:legendEntry>
      <c:legendEntry>
        <c:idx val="2"/>
        <c:delete val="1"/>
      </c:legendEntry>
      <c:legendEntry>
        <c:idx val="4"/>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Visualization_v2!$M$23</c:f>
              <c:strCache>
                <c:ptCount val="1"/>
                <c:pt idx="0">
                  <c:v>Baseline</c:v>
                </c:pt>
              </c:strCache>
            </c:strRef>
          </c:tx>
          <c:spPr>
            <a:ln w="28575" cap="rnd">
              <a:solidFill>
                <a:schemeClr val="accent1"/>
              </a:solidFill>
              <a:round/>
            </a:ln>
            <a:effectLst/>
          </c:spPr>
          <c:marker>
            <c:symbol val="none"/>
          </c:marker>
          <c:val>
            <c:numRef>
              <c:f>Visualization_v2!$N$23:$U$23</c:f>
              <c:numCache>
                <c:formatCode>#,##0.00</c:formatCode>
                <c:ptCount val="8"/>
                <c:pt idx="0">
                  <c:v>0.16291712321024895</c:v>
                </c:pt>
                <c:pt idx="1">
                  <c:v>9.5312055186471886E-2</c:v>
                </c:pt>
                <c:pt idx="2">
                  <c:v>0.18697970189888832</c:v>
                </c:pt>
                <c:pt idx="3">
                  <c:v>0.31024501253456332</c:v>
                </c:pt>
                <c:pt idx="4">
                  <c:v>0.10509285331987964</c:v>
                </c:pt>
                <c:pt idx="5">
                  <c:v>0.44122649143722437</c:v>
                </c:pt>
                <c:pt idx="6">
                  <c:v>0.25192241956021105</c:v>
                </c:pt>
                <c:pt idx="7">
                  <c:v>4.9504131269590593E-2</c:v>
                </c:pt>
              </c:numCache>
            </c:numRef>
          </c:val>
          <c:smooth val="0"/>
          <c:extLst>
            <c:ext xmlns:c16="http://schemas.microsoft.com/office/drawing/2014/chart" uri="{C3380CC4-5D6E-409C-BE32-E72D297353CC}">
              <c16:uniqueId val="{00000000-3A02-440D-9131-F510CA0BC124}"/>
            </c:ext>
          </c:extLst>
        </c:ser>
        <c:ser>
          <c:idx val="1"/>
          <c:order val="1"/>
          <c:tx>
            <c:strRef>
              <c:f>Visualization_v2!$M$24</c:f>
              <c:strCache>
                <c:ptCount val="1"/>
                <c:pt idx="0">
                  <c:v>"Electricity exports" (EURef price)</c:v>
                </c:pt>
              </c:strCache>
            </c:strRef>
          </c:tx>
          <c:spPr>
            <a:ln w="28575" cap="rnd">
              <a:solidFill>
                <a:schemeClr val="accent2"/>
              </a:solidFill>
              <a:round/>
            </a:ln>
            <a:effectLst/>
          </c:spPr>
          <c:marker>
            <c:symbol val="none"/>
          </c:marker>
          <c:val>
            <c:numRef>
              <c:f>Visualization_v2!$N$24:$U$24</c:f>
              <c:numCache>
                <c:formatCode>#,##0.00</c:formatCode>
                <c:ptCount val="8"/>
                <c:pt idx="0">
                  <c:v>0.6805180473211534</c:v>
                </c:pt>
                <c:pt idx="1">
                  <c:v>0.85436483043952605</c:v>
                </c:pt>
                <c:pt idx="2">
                  <c:v>0.78904023274124235</c:v>
                </c:pt>
                <c:pt idx="3">
                  <c:v>0.43356533358910904</c:v>
                </c:pt>
                <c:pt idx="4">
                  <c:v>0.84013580988043213</c:v>
                </c:pt>
                <c:pt idx="5">
                  <c:v>0.38638715623723652</c:v>
                </c:pt>
                <c:pt idx="6">
                  <c:v>0.27661089020089319</c:v>
                </c:pt>
                <c:pt idx="7">
                  <c:v>0.92260361121748879</c:v>
                </c:pt>
              </c:numCache>
            </c:numRef>
          </c:val>
          <c:smooth val="0"/>
          <c:extLst>
            <c:ext xmlns:c16="http://schemas.microsoft.com/office/drawing/2014/chart" uri="{C3380CC4-5D6E-409C-BE32-E72D297353CC}">
              <c16:uniqueId val="{00000001-3A02-440D-9131-F510CA0BC124}"/>
            </c:ext>
          </c:extLst>
        </c:ser>
        <c:ser>
          <c:idx val="2"/>
          <c:order val="2"/>
          <c:tx>
            <c:strRef>
              <c:f>Visualization_v2!$M$25</c:f>
              <c:strCache>
                <c:ptCount val="1"/>
                <c:pt idx="0">
                  <c:v>"Electricity exports" (-50% vs EURef price)</c:v>
                </c:pt>
              </c:strCache>
            </c:strRef>
          </c:tx>
          <c:spPr>
            <a:ln w="28575" cap="rnd">
              <a:solidFill>
                <a:schemeClr val="accent3"/>
              </a:solidFill>
              <a:round/>
            </a:ln>
            <a:effectLst/>
          </c:spPr>
          <c:marker>
            <c:symbol val="none"/>
          </c:marker>
          <c:val>
            <c:numRef>
              <c:f>Visualization_v2!$N$25:$U$25</c:f>
              <c:numCache>
                <c:formatCode>#,##0.00</c:formatCode>
                <c:ptCount val="8"/>
                <c:pt idx="0">
                  <c:v>0.60984452959437596</c:v>
                </c:pt>
                <c:pt idx="1">
                  <c:v>0.54894216789581174</c:v>
                </c:pt>
                <c:pt idx="2">
                  <c:v>0.5448322080507233</c:v>
                </c:pt>
                <c:pt idx="3">
                  <c:v>0.68106844917676557</c:v>
                </c:pt>
                <c:pt idx="4">
                  <c:v>0.56287019650382097</c:v>
                </c:pt>
                <c:pt idx="5">
                  <c:v>0.60740836193763437</c:v>
                </c:pt>
                <c:pt idx="6">
                  <c:v>0.82004931664618563</c:v>
                </c:pt>
                <c:pt idx="7">
                  <c:v>0.57030155933845383</c:v>
                </c:pt>
              </c:numCache>
            </c:numRef>
          </c:val>
          <c:smooth val="0"/>
          <c:extLst>
            <c:ext xmlns:c16="http://schemas.microsoft.com/office/drawing/2014/chart" uri="{C3380CC4-5D6E-409C-BE32-E72D297353CC}">
              <c16:uniqueId val="{00000002-3A02-440D-9131-F510CA0BC124}"/>
            </c:ext>
          </c:extLst>
        </c:ser>
        <c:dLbls>
          <c:showLegendKey val="0"/>
          <c:showVal val="0"/>
          <c:showCatName val="0"/>
          <c:showSerName val="0"/>
          <c:showPercent val="0"/>
          <c:showBubbleSize val="0"/>
        </c:dLbls>
        <c:smooth val="0"/>
        <c:axId val="595653504"/>
        <c:axId val="595648704"/>
      </c:lineChart>
      <c:catAx>
        <c:axId val="59565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5648704"/>
        <c:crosses val="autoZero"/>
        <c:auto val="1"/>
        <c:lblAlgn val="ctr"/>
        <c:lblOffset val="100"/>
        <c:noMultiLvlLbl val="0"/>
      </c:catAx>
      <c:valAx>
        <c:axId val="595648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565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Radar_Chart!$B$5</c:f>
              <c:strCache>
                <c:ptCount val="1"/>
                <c:pt idx="0">
                  <c:v>Baseline</c:v>
                </c:pt>
              </c:strCache>
            </c:strRef>
          </c:tx>
          <c:spPr>
            <a:ln w="28575" cap="rnd">
              <a:solidFill>
                <a:schemeClr val="accent1"/>
              </a:solidFill>
              <a:round/>
            </a:ln>
            <a:effectLst/>
          </c:spPr>
          <c:marker>
            <c:symbol val="none"/>
          </c:marker>
          <c:cat>
            <c:strRef>
              <c:f>Radar_Chart!$C$4:$I$4</c:f>
              <c:strCache>
                <c:ptCount val="7"/>
                <c:pt idx="0">
                  <c:v>LCOE</c:v>
                </c:pt>
                <c:pt idx="1">
                  <c:v>Land-use</c:v>
                </c:pt>
                <c:pt idx="2">
                  <c:v>Critical material</c:v>
                </c:pt>
                <c:pt idx="3">
                  <c:v>Mix Diversity</c:v>
                </c:pt>
                <c:pt idx="4">
                  <c:v>Human toxicity</c:v>
                </c:pt>
                <c:pt idx="5">
                  <c:v>Marine eutrophication</c:v>
                </c:pt>
                <c:pt idx="6">
                  <c:v>GDP</c:v>
                </c:pt>
              </c:strCache>
            </c:strRef>
          </c:cat>
          <c:val>
            <c:numRef>
              <c:f>Radar_Chart!$C$5:$I$5</c:f>
              <c:numCache>
                <c:formatCode>#,##0.00</c:formatCode>
                <c:ptCount val="7"/>
                <c:pt idx="0">
                  <c:v>0.67809099549724028</c:v>
                </c:pt>
                <c:pt idx="1">
                  <c:v>0.52197428596145568</c:v>
                </c:pt>
                <c:pt idx="2">
                  <c:v>0.553595359455337</c:v>
                </c:pt>
                <c:pt idx="3">
                  <c:v>0.55186329081786478</c:v>
                </c:pt>
                <c:pt idx="4">
                  <c:v>0.48369325021441395</c:v>
                </c:pt>
                <c:pt idx="5">
                  <c:v>0.62576820627968321</c:v>
                </c:pt>
                <c:pt idx="6">
                  <c:v>0</c:v>
                </c:pt>
              </c:numCache>
            </c:numRef>
          </c:val>
          <c:extLst>
            <c:ext xmlns:c16="http://schemas.microsoft.com/office/drawing/2014/chart" uri="{C3380CC4-5D6E-409C-BE32-E72D297353CC}">
              <c16:uniqueId val="{00000000-4A31-4ED9-AEB8-C076920A1ACA}"/>
            </c:ext>
          </c:extLst>
        </c:ser>
        <c:ser>
          <c:idx val="1"/>
          <c:order val="1"/>
          <c:tx>
            <c:strRef>
              <c:f>Radar_Chart!$B$6</c:f>
              <c:strCache>
                <c:ptCount val="1"/>
                <c:pt idx="0">
                  <c:v>EE (EURef price)</c:v>
                </c:pt>
              </c:strCache>
            </c:strRef>
          </c:tx>
          <c:spPr>
            <a:ln w="28575" cap="rnd">
              <a:solidFill>
                <a:schemeClr val="accent2"/>
              </a:solidFill>
              <a:round/>
            </a:ln>
            <a:effectLst/>
          </c:spPr>
          <c:marker>
            <c:symbol val="none"/>
          </c:marker>
          <c:cat>
            <c:strRef>
              <c:f>Radar_Chart!$C$4:$I$4</c:f>
              <c:strCache>
                <c:ptCount val="7"/>
                <c:pt idx="0">
                  <c:v>LCOE</c:v>
                </c:pt>
                <c:pt idx="1">
                  <c:v>Land-use</c:v>
                </c:pt>
                <c:pt idx="2">
                  <c:v>Critical material</c:v>
                </c:pt>
                <c:pt idx="3">
                  <c:v>Mix Diversity</c:v>
                </c:pt>
                <c:pt idx="4">
                  <c:v>Human toxicity</c:v>
                </c:pt>
                <c:pt idx="5">
                  <c:v>Marine eutrophication</c:v>
                </c:pt>
                <c:pt idx="6">
                  <c:v>GDP</c:v>
                </c:pt>
              </c:strCache>
            </c:strRef>
          </c:cat>
          <c:val>
            <c:numRef>
              <c:f>Radar_Chart!$C$6:$I$6</c:f>
              <c:numCache>
                <c:formatCode>#,##0.00</c:formatCode>
                <c:ptCount val="7"/>
                <c:pt idx="0">
                  <c:v>0.45956709879161517</c:v>
                </c:pt>
                <c:pt idx="1">
                  <c:v>0.60049232062036739</c:v>
                </c:pt>
                <c:pt idx="2">
                  <c:v>0.58438225282053713</c:v>
                </c:pt>
                <c:pt idx="3">
                  <c:v>0.60817543394660956</c:v>
                </c:pt>
                <c:pt idx="4">
                  <c:v>0.64073395255600485</c:v>
                </c:pt>
                <c:pt idx="5">
                  <c:v>0.71047905118326327</c:v>
                </c:pt>
                <c:pt idx="6">
                  <c:v>0.86834444156099144</c:v>
                </c:pt>
              </c:numCache>
            </c:numRef>
          </c:val>
          <c:extLst>
            <c:ext xmlns:c16="http://schemas.microsoft.com/office/drawing/2014/chart" uri="{C3380CC4-5D6E-409C-BE32-E72D297353CC}">
              <c16:uniqueId val="{00000001-4A31-4ED9-AEB8-C076920A1ACA}"/>
            </c:ext>
          </c:extLst>
        </c:ser>
        <c:ser>
          <c:idx val="2"/>
          <c:order val="2"/>
          <c:tx>
            <c:strRef>
              <c:f>Radar_Chart!$B$7</c:f>
              <c:strCache>
                <c:ptCount val="1"/>
                <c:pt idx="0">
                  <c:v>EE (-50%EURef price)</c:v>
                </c:pt>
              </c:strCache>
            </c:strRef>
          </c:tx>
          <c:spPr>
            <a:ln w="28575" cap="rnd">
              <a:solidFill>
                <a:schemeClr val="accent3"/>
              </a:solidFill>
              <a:round/>
            </a:ln>
            <a:effectLst/>
          </c:spPr>
          <c:marker>
            <c:symbol val="none"/>
          </c:marker>
          <c:cat>
            <c:strRef>
              <c:f>Radar_Chart!$C$4:$I$4</c:f>
              <c:strCache>
                <c:ptCount val="7"/>
                <c:pt idx="0">
                  <c:v>LCOE</c:v>
                </c:pt>
                <c:pt idx="1">
                  <c:v>Land-use</c:v>
                </c:pt>
                <c:pt idx="2">
                  <c:v>Critical material</c:v>
                </c:pt>
                <c:pt idx="3">
                  <c:v>Mix Diversity</c:v>
                </c:pt>
                <c:pt idx="4">
                  <c:v>Human toxicity</c:v>
                </c:pt>
                <c:pt idx="5">
                  <c:v>Marine eutrophication</c:v>
                </c:pt>
                <c:pt idx="6">
                  <c:v>GDP</c:v>
                </c:pt>
              </c:strCache>
            </c:strRef>
          </c:cat>
          <c:val>
            <c:numRef>
              <c:f>Radar_Chart!$C$7:$I$7</c:f>
              <c:numCache>
                <c:formatCode>#,##0.00</c:formatCode>
                <c:ptCount val="7"/>
                <c:pt idx="0">
                  <c:v>0.57357709467326146</c:v>
                </c:pt>
                <c:pt idx="1">
                  <c:v>0.60576548075224168</c:v>
                </c:pt>
                <c:pt idx="2">
                  <c:v>0.59332079061660237</c:v>
                </c:pt>
                <c:pt idx="3">
                  <c:v>0.57058702210226453</c:v>
                </c:pt>
                <c:pt idx="4">
                  <c:v>0.596238913304873</c:v>
                </c:pt>
                <c:pt idx="5">
                  <c:v>0.32192183808999042</c:v>
                </c:pt>
                <c:pt idx="6">
                  <c:v>0.49596162231580992</c:v>
                </c:pt>
              </c:numCache>
            </c:numRef>
          </c:val>
          <c:extLst>
            <c:ext xmlns:c16="http://schemas.microsoft.com/office/drawing/2014/chart" uri="{C3380CC4-5D6E-409C-BE32-E72D297353CC}">
              <c16:uniqueId val="{00000002-4A31-4ED9-AEB8-C076920A1ACA}"/>
            </c:ext>
          </c:extLst>
        </c:ser>
        <c:dLbls>
          <c:showLegendKey val="0"/>
          <c:showVal val="0"/>
          <c:showCatName val="0"/>
          <c:showSerName val="0"/>
          <c:showPercent val="0"/>
          <c:showBubbleSize val="0"/>
        </c:dLbls>
        <c:axId val="657584400"/>
        <c:axId val="657577680"/>
      </c:radarChart>
      <c:catAx>
        <c:axId val="65758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57577680"/>
        <c:crosses val="autoZero"/>
        <c:auto val="1"/>
        <c:lblAlgn val="ctr"/>
        <c:lblOffset val="100"/>
        <c:noMultiLvlLbl val="0"/>
      </c:catAx>
      <c:valAx>
        <c:axId val="657577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57584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Weight_scenarios!$J$11</c:f>
              <c:strCache>
                <c:ptCount val="1"/>
                <c:pt idx="0">
                  <c:v>Power generation cost</c:v>
                </c:pt>
              </c:strCache>
            </c:strRef>
          </c:tx>
          <c:spPr>
            <a:solidFill>
              <a:schemeClr val="accent1"/>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Weight_scenarios!$J$12:$J$19</c:f>
              <c:numCache>
                <c:formatCode>#,##0.00</c:formatCode>
                <c:ptCount val="8"/>
                <c:pt idx="0">
                  <c:v>0.14285714285714282</c:v>
                </c:pt>
                <c:pt idx="1">
                  <c:v>0.36466894450087722</c:v>
                </c:pt>
                <c:pt idx="2">
                  <c:v>0.15516976021177703</c:v>
                </c:pt>
                <c:pt idx="3">
                  <c:v>6.4715843663212078E-2</c:v>
                </c:pt>
                <c:pt idx="4">
                  <c:v>0.15516976021177703</c:v>
                </c:pt>
                <c:pt idx="5">
                  <c:v>6.4715843663212078E-2</c:v>
                </c:pt>
                <c:pt idx="6">
                  <c:v>6.4715843663212078E-2</c:v>
                </c:pt>
                <c:pt idx="7">
                  <c:v>0.15516976021177703</c:v>
                </c:pt>
              </c:numCache>
            </c:numRef>
          </c:val>
          <c:extLst>
            <c:ext xmlns:c16="http://schemas.microsoft.com/office/drawing/2014/chart" uri="{C3380CC4-5D6E-409C-BE32-E72D297353CC}">
              <c16:uniqueId val="{00000000-E540-4A28-AB49-E605BD7A8418}"/>
            </c:ext>
          </c:extLst>
        </c:ser>
        <c:ser>
          <c:idx val="1"/>
          <c:order val="1"/>
          <c:tx>
            <c:strRef>
              <c:f>Weight_scenarios!$K$11</c:f>
              <c:strCache>
                <c:ptCount val="1"/>
                <c:pt idx="0">
                  <c:v>Land-use</c:v>
                </c:pt>
              </c:strCache>
            </c:strRef>
          </c:tx>
          <c:spPr>
            <a:solidFill>
              <a:schemeClr val="accent2"/>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Weight_scenarios!$K$12:$K$19</c:f>
              <c:numCache>
                <c:formatCode>#,##0.00</c:formatCode>
                <c:ptCount val="8"/>
                <c:pt idx="0">
                  <c:v>0.14285714285714282</c:v>
                </c:pt>
                <c:pt idx="1">
                  <c:v>0.15516976021177703</c:v>
                </c:pt>
                <c:pt idx="2">
                  <c:v>0.36466894450087722</c:v>
                </c:pt>
                <c:pt idx="3">
                  <c:v>6.4715843663212078E-2</c:v>
                </c:pt>
                <c:pt idx="4">
                  <c:v>0.15516976021177703</c:v>
                </c:pt>
                <c:pt idx="5">
                  <c:v>6.4715843663212078E-2</c:v>
                </c:pt>
                <c:pt idx="6">
                  <c:v>6.4715843663212078E-2</c:v>
                </c:pt>
                <c:pt idx="7">
                  <c:v>0.15516976021177703</c:v>
                </c:pt>
              </c:numCache>
            </c:numRef>
          </c:val>
          <c:extLst>
            <c:ext xmlns:c16="http://schemas.microsoft.com/office/drawing/2014/chart" uri="{C3380CC4-5D6E-409C-BE32-E72D297353CC}">
              <c16:uniqueId val="{00000001-E540-4A28-AB49-E605BD7A8418}"/>
            </c:ext>
          </c:extLst>
        </c:ser>
        <c:ser>
          <c:idx val="2"/>
          <c:order val="2"/>
          <c:tx>
            <c:strRef>
              <c:f>Weight_scenarios!$L$11</c:f>
              <c:strCache>
                <c:ptCount val="1"/>
                <c:pt idx="0">
                  <c:v>Critical material</c:v>
                </c:pt>
              </c:strCache>
            </c:strRef>
          </c:tx>
          <c:spPr>
            <a:solidFill>
              <a:schemeClr val="accent3"/>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Weight_scenarios!$L$12:$L$19</c:f>
              <c:numCache>
                <c:formatCode>#,##0.00</c:formatCode>
                <c:ptCount val="8"/>
                <c:pt idx="0">
                  <c:v>0.14285714285714282</c:v>
                </c:pt>
                <c:pt idx="1">
                  <c:v>5.6607258287930562E-2</c:v>
                </c:pt>
                <c:pt idx="2">
                  <c:v>5.6607258287930562E-2</c:v>
                </c:pt>
                <c:pt idx="3">
                  <c:v>0.38372959425591008</c:v>
                </c:pt>
                <c:pt idx="4">
                  <c:v>5.6607258287930562E-2</c:v>
                </c:pt>
                <c:pt idx="5">
                  <c:v>0.17870351554562083</c:v>
                </c:pt>
                <c:pt idx="6">
                  <c:v>0.17870351554562083</c:v>
                </c:pt>
                <c:pt idx="7">
                  <c:v>5.6607258287930562E-2</c:v>
                </c:pt>
              </c:numCache>
            </c:numRef>
          </c:val>
          <c:extLst>
            <c:ext xmlns:c16="http://schemas.microsoft.com/office/drawing/2014/chart" uri="{C3380CC4-5D6E-409C-BE32-E72D297353CC}">
              <c16:uniqueId val="{00000002-E540-4A28-AB49-E605BD7A8418}"/>
            </c:ext>
          </c:extLst>
        </c:ser>
        <c:ser>
          <c:idx val="3"/>
          <c:order val="3"/>
          <c:tx>
            <c:strRef>
              <c:f>Weight_scenarios!$M$11</c:f>
              <c:strCache>
                <c:ptCount val="1"/>
                <c:pt idx="0">
                  <c:v>Diversity of installed power</c:v>
                </c:pt>
              </c:strCache>
            </c:strRef>
          </c:tx>
          <c:spPr>
            <a:solidFill>
              <a:schemeClr val="accent4"/>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Weight_scenarios!$M$12:$M$19</c:f>
              <c:numCache>
                <c:formatCode>#,##0.00</c:formatCode>
                <c:ptCount val="8"/>
                <c:pt idx="0">
                  <c:v>0.14285714285714282</c:v>
                </c:pt>
                <c:pt idx="1">
                  <c:v>0.15516976021177703</c:v>
                </c:pt>
                <c:pt idx="2">
                  <c:v>0.15516976021177703</c:v>
                </c:pt>
                <c:pt idx="3">
                  <c:v>6.4715843663212078E-2</c:v>
                </c:pt>
                <c:pt idx="4">
                  <c:v>0.36466894450087722</c:v>
                </c:pt>
                <c:pt idx="5">
                  <c:v>6.4715843663212078E-2</c:v>
                </c:pt>
                <c:pt idx="6">
                  <c:v>6.4715843663212078E-2</c:v>
                </c:pt>
                <c:pt idx="7">
                  <c:v>0.15516976021177703</c:v>
                </c:pt>
              </c:numCache>
            </c:numRef>
          </c:val>
          <c:extLst>
            <c:ext xmlns:c16="http://schemas.microsoft.com/office/drawing/2014/chart" uri="{C3380CC4-5D6E-409C-BE32-E72D297353CC}">
              <c16:uniqueId val="{00000003-E540-4A28-AB49-E605BD7A8418}"/>
            </c:ext>
          </c:extLst>
        </c:ser>
        <c:ser>
          <c:idx val="4"/>
          <c:order val="4"/>
          <c:tx>
            <c:strRef>
              <c:f>Weight_scenarios!$N$11</c:f>
              <c:strCache>
                <c:ptCount val="1"/>
                <c:pt idx="0">
                  <c:v>Human toxicity</c:v>
                </c:pt>
              </c:strCache>
            </c:strRef>
          </c:tx>
          <c:spPr>
            <a:solidFill>
              <a:schemeClr val="accent5"/>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Weight_scenarios!$N$12:$N$19</c:f>
              <c:numCache>
                <c:formatCode>#,##0.00</c:formatCode>
                <c:ptCount val="8"/>
                <c:pt idx="0">
                  <c:v>0.14285714285714282</c:v>
                </c:pt>
                <c:pt idx="1">
                  <c:v>5.6607258287930562E-2</c:v>
                </c:pt>
                <c:pt idx="2">
                  <c:v>5.6607258287930562E-2</c:v>
                </c:pt>
                <c:pt idx="3">
                  <c:v>0.17870351554562083</c:v>
                </c:pt>
                <c:pt idx="4">
                  <c:v>5.6607258287930562E-2</c:v>
                </c:pt>
                <c:pt idx="5">
                  <c:v>0.38372959425591008</c:v>
                </c:pt>
                <c:pt idx="6">
                  <c:v>0.17870351554562083</c:v>
                </c:pt>
                <c:pt idx="7">
                  <c:v>5.6607258287930562E-2</c:v>
                </c:pt>
              </c:numCache>
            </c:numRef>
          </c:val>
          <c:extLst>
            <c:ext xmlns:c16="http://schemas.microsoft.com/office/drawing/2014/chart" uri="{C3380CC4-5D6E-409C-BE32-E72D297353CC}">
              <c16:uniqueId val="{00000004-E540-4A28-AB49-E605BD7A8418}"/>
            </c:ext>
          </c:extLst>
        </c:ser>
        <c:ser>
          <c:idx val="5"/>
          <c:order val="5"/>
          <c:tx>
            <c:strRef>
              <c:f>Weight_scenarios!$O$11</c:f>
              <c:strCache>
                <c:ptCount val="1"/>
                <c:pt idx="0">
                  <c:v>marine eutrophication</c:v>
                </c:pt>
              </c:strCache>
            </c:strRef>
          </c:tx>
          <c:spPr>
            <a:solidFill>
              <a:schemeClr val="accent6"/>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Weight_scenarios!$O$12:$O$19</c:f>
              <c:numCache>
                <c:formatCode>#,##0.00</c:formatCode>
                <c:ptCount val="8"/>
                <c:pt idx="0">
                  <c:v>0.14285714285714282</c:v>
                </c:pt>
                <c:pt idx="1">
                  <c:v>5.6607258287930562E-2</c:v>
                </c:pt>
                <c:pt idx="2">
                  <c:v>5.6607258287930562E-2</c:v>
                </c:pt>
                <c:pt idx="3">
                  <c:v>0.17870351554562083</c:v>
                </c:pt>
                <c:pt idx="4">
                  <c:v>5.6607258287930562E-2</c:v>
                </c:pt>
                <c:pt idx="5">
                  <c:v>0.17870351554562083</c:v>
                </c:pt>
                <c:pt idx="6">
                  <c:v>0.38372959425591002</c:v>
                </c:pt>
                <c:pt idx="7">
                  <c:v>5.6607258287930562E-2</c:v>
                </c:pt>
              </c:numCache>
            </c:numRef>
          </c:val>
          <c:extLst>
            <c:ext xmlns:c16="http://schemas.microsoft.com/office/drawing/2014/chart" uri="{C3380CC4-5D6E-409C-BE32-E72D297353CC}">
              <c16:uniqueId val="{00000005-E540-4A28-AB49-E605BD7A8418}"/>
            </c:ext>
          </c:extLst>
        </c:ser>
        <c:ser>
          <c:idx val="6"/>
          <c:order val="6"/>
          <c:tx>
            <c:strRef>
              <c:f>Weight_scenarios!$P$11</c:f>
              <c:strCache>
                <c:ptCount val="1"/>
                <c:pt idx="0">
                  <c:v>GDP</c:v>
                </c:pt>
              </c:strCache>
            </c:strRef>
          </c:tx>
          <c:spPr>
            <a:solidFill>
              <a:schemeClr val="accent1">
                <a:lumMod val="60000"/>
              </a:schemeClr>
            </a:solidFill>
            <a:ln>
              <a:noFill/>
            </a:ln>
            <a:effectLst/>
          </c:spPr>
          <c:invertIfNegative val="0"/>
          <c:cat>
            <c:strRef>
              <c:f>Weight_scenarios!$I$12:$I$19</c:f>
              <c:strCache>
                <c:ptCount val="8"/>
                <c:pt idx="0">
                  <c:v>Balanced</c:v>
                </c:pt>
                <c:pt idx="1">
                  <c:v>Cost-focused</c:v>
                </c:pt>
                <c:pt idx="2">
                  <c:v>Land use-focused</c:v>
                </c:pt>
                <c:pt idx="3">
                  <c:v>Critical Material-focused</c:v>
                </c:pt>
                <c:pt idx="4">
                  <c:v>Energy security-focused</c:v>
                </c:pt>
                <c:pt idx="5">
                  <c:v>Human health-focused</c:v>
                </c:pt>
                <c:pt idx="6">
                  <c:v>Biodiversity-focused</c:v>
                </c:pt>
                <c:pt idx="7">
                  <c:v>GDP-focused</c:v>
                </c:pt>
              </c:strCache>
            </c:strRef>
          </c:cat>
          <c:val>
            <c:numRef>
              <c:f>Weight_scenarios!$P$12:$P$19</c:f>
              <c:numCache>
                <c:formatCode>#,##0.00</c:formatCode>
                <c:ptCount val="8"/>
                <c:pt idx="0">
                  <c:v>0.14285714285714282</c:v>
                </c:pt>
                <c:pt idx="1">
                  <c:v>0.15516976021177703</c:v>
                </c:pt>
                <c:pt idx="2">
                  <c:v>0.15516976021177703</c:v>
                </c:pt>
                <c:pt idx="3">
                  <c:v>6.4715843663212078E-2</c:v>
                </c:pt>
                <c:pt idx="4">
                  <c:v>0.15516976021177703</c:v>
                </c:pt>
                <c:pt idx="5">
                  <c:v>6.4715843663212078E-2</c:v>
                </c:pt>
                <c:pt idx="6">
                  <c:v>6.4715843663212078E-2</c:v>
                </c:pt>
                <c:pt idx="7">
                  <c:v>0.36466894450087722</c:v>
                </c:pt>
              </c:numCache>
            </c:numRef>
          </c:val>
          <c:extLst>
            <c:ext xmlns:c16="http://schemas.microsoft.com/office/drawing/2014/chart" uri="{C3380CC4-5D6E-409C-BE32-E72D297353CC}">
              <c16:uniqueId val="{00000006-E540-4A28-AB49-E605BD7A8418}"/>
            </c:ext>
          </c:extLst>
        </c:ser>
        <c:dLbls>
          <c:showLegendKey val="0"/>
          <c:showVal val="0"/>
          <c:showCatName val="0"/>
          <c:showSerName val="0"/>
          <c:showPercent val="0"/>
          <c:showBubbleSize val="0"/>
        </c:dLbls>
        <c:gapWidth val="219"/>
        <c:overlap val="-27"/>
        <c:axId val="696709935"/>
        <c:axId val="696731535"/>
      </c:barChart>
      <c:catAx>
        <c:axId val="6967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96731535"/>
        <c:crosses val="autoZero"/>
        <c:auto val="1"/>
        <c:lblAlgn val="ctr"/>
        <c:lblOffset val="100"/>
        <c:noMultiLvlLbl val="0"/>
      </c:catAx>
      <c:valAx>
        <c:axId val="696731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9670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1696901</xdr:colOff>
      <xdr:row>33</xdr:row>
      <xdr:rowOff>25218</xdr:rowOff>
    </xdr:from>
    <xdr:to>
      <xdr:col>18</xdr:col>
      <xdr:colOff>465909</xdr:colOff>
      <xdr:row>48</xdr:row>
      <xdr:rowOff>25218</xdr:rowOff>
    </xdr:to>
    <xdr:graphicFrame macro="">
      <xdr:nvGraphicFramePr>
        <xdr:cNvPr id="2" name="Chart 1">
          <a:extLst>
            <a:ext uri="{FF2B5EF4-FFF2-40B4-BE49-F238E27FC236}">
              <a16:creationId xmlns:a16="http://schemas.microsoft.com/office/drawing/2014/main" id="{656526AD-EEE0-211F-A69F-A814D2E79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162712</xdr:colOff>
      <xdr:row>44</xdr:row>
      <xdr:rowOff>118586</xdr:rowOff>
    </xdr:from>
    <xdr:to>
      <xdr:col>38</xdr:col>
      <xdr:colOff>1019737</xdr:colOff>
      <xdr:row>62</xdr:row>
      <xdr:rowOff>94392</xdr:rowOff>
    </xdr:to>
    <xdr:graphicFrame macro="">
      <xdr:nvGraphicFramePr>
        <xdr:cNvPr id="2" name="Chart 1">
          <a:extLst>
            <a:ext uri="{FF2B5EF4-FFF2-40B4-BE49-F238E27FC236}">
              <a16:creationId xmlns:a16="http://schemas.microsoft.com/office/drawing/2014/main" id="{CB0B33D2-62CE-4AF1-9127-223E4BC2ADB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197550</xdr:colOff>
      <xdr:row>3</xdr:row>
      <xdr:rowOff>151414</xdr:rowOff>
    </xdr:from>
    <xdr:to>
      <xdr:col>16</xdr:col>
      <xdr:colOff>185927</xdr:colOff>
      <xdr:row>22</xdr:row>
      <xdr:rowOff>106566</xdr:rowOff>
    </xdr:to>
    <xdr:graphicFrame macro="">
      <xdr:nvGraphicFramePr>
        <xdr:cNvPr id="10" name="Chart 9">
          <a:extLst>
            <a:ext uri="{FF2B5EF4-FFF2-40B4-BE49-F238E27FC236}">
              <a16:creationId xmlns:a16="http://schemas.microsoft.com/office/drawing/2014/main" id="{542E4C95-DBE4-C50F-4525-353242AF615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462212</xdr:colOff>
      <xdr:row>21</xdr:row>
      <xdr:rowOff>75918</xdr:rowOff>
    </xdr:from>
    <xdr:to>
      <xdr:col>19</xdr:col>
      <xdr:colOff>932526</xdr:colOff>
      <xdr:row>44</xdr:row>
      <xdr:rowOff>8819</xdr:rowOff>
    </xdr:to>
    <xdr:graphicFrame macro="">
      <xdr:nvGraphicFramePr>
        <xdr:cNvPr id="3" name="Chart 2">
          <a:extLst>
            <a:ext uri="{FF2B5EF4-FFF2-40B4-BE49-F238E27FC236}">
              <a16:creationId xmlns:a16="http://schemas.microsoft.com/office/drawing/2014/main" id="{D9B93B1B-8797-93B2-EE3C-77B7FE9957A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1203960</xdr:colOff>
      <xdr:row>1</xdr:row>
      <xdr:rowOff>34290</xdr:rowOff>
    </xdr:from>
    <xdr:to>
      <xdr:col>27</xdr:col>
      <xdr:colOff>106680</xdr:colOff>
      <xdr:row>16</xdr:row>
      <xdr:rowOff>26670</xdr:rowOff>
    </xdr:to>
    <xdr:graphicFrame macro="">
      <xdr:nvGraphicFramePr>
        <xdr:cNvPr id="5" name="Chart 4">
          <a:extLst>
            <a:ext uri="{FF2B5EF4-FFF2-40B4-BE49-F238E27FC236}">
              <a16:creationId xmlns:a16="http://schemas.microsoft.com/office/drawing/2014/main" id="{2C8DD794-DC3B-7C6D-21D8-82A4E45AA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2</xdr:row>
      <xdr:rowOff>163830</xdr:rowOff>
    </xdr:from>
    <xdr:to>
      <xdr:col>7</xdr:col>
      <xdr:colOff>423112</xdr:colOff>
      <xdr:row>20</xdr:row>
      <xdr:rowOff>111990</xdr:rowOff>
    </xdr:to>
    <xdr:graphicFrame macro="">
      <xdr:nvGraphicFramePr>
        <xdr:cNvPr id="2" name="Chart 1">
          <a:extLst>
            <a:ext uri="{FF2B5EF4-FFF2-40B4-BE49-F238E27FC236}">
              <a16:creationId xmlns:a16="http://schemas.microsoft.com/office/drawing/2014/main" id="{3C59A739-B472-4CE2-1296-00D58F1B003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551330</xdr:colOff>
      <xdr:row>12</xdr:row>
      <xdr:rowOff>26893</xdr:rowOff>
    </xdr:from>
    <xdr:to>
      <xdr:col>13</xdr:col>
      <xdr:colOff>105694</xdr:colOff>
      <xdr:row>20</xdr:row>
      <xdr:rowOff>150422</xdr:rowOff>
    </xdr:to>
    <xdr:graphicFrame macro="">
      <xdr:nvGraphicFramePr>
        <xdr:cNvPr id="3" name="Chart 2">
          <a:extLst>
            <a:ext uri="{FF2B5EF4-FFF2-40B4-BE49-F238E27FC236}">
              <a16:creationId xmlns:a16="http://schemas.microsoft.com/office/drawing/2014/main" id="{3ACB10A5-CFDB-24FE-AC4F-F61CB479883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E063-04D1-45C4-9850-A6FCAE89033E}">
  <dimension ref="B1:BV57"/>
  <sheetViews>
    <sheetView zoomScale="85" zoomScaleNormal="85" workbookViewId="0">
      <selection activeCell="B5" sqref="B3:I5"/>
    </sheetView>
  </sheetViews>
  <sheetFormatPr defaultColWidth="4.44140625" defaultRowHeight="14.4" x14ac:dyDescent="0.3"/>
  <cols>
    <col min="2" max="2" width="25" bestFit="1" customWidth="1"/>
    <col min="3" max="3" width="19.5546875" bestFit="1" customWidth="1"/>
    <col min="4" max="4" width="18.6640625" bestFit="1" customWidth="1"/>
    <col min="5" max="5" width="14" bestFit="1" customWidth="1"/>
    <col min="6" max="6" width="25.33203125" bestFit="1" customWidth="1"/>
    <col min="7" max="7" width="14.88671875" bestFit="1" customWidth="1"/>
    <col min="8" max="8" width="20.88671875" bestFit="1" customWidth="1"/>
    <col min="9" max="9" width="5.33203125" bestFit="1" customWidth="1"/>
    <col min="13" max="13" width="36.33203125" bestFit="1" customWidth="1"/>
    <col min="14" max="14" width="5.6640625" bestFit="1" customWidth="1"/>
    <col min="15" max="15" width="14.6640625" bestFit="1" customWidth="1"/>
    <col min="16" max="16" width="15.6640625" bestFit="1" customWidth="1"/>
    <col min="17" max="17" width="8.88671875" bestFit="1" customWidth="1"/>
    <col min="18" max="18" width="12.5546875" bestFit="1" customWidth="1"/>
    <col min="19" max="19" width="10.6640625" bestFit="1" customWidth="1"/>
    <col min="20" max="20" width="24" bestFit="1" customWidth="1"/>
    <col min="34" max="34" width="4.5546875" bestFit="1" customWidth="1"/>
    <col min="36" max="36" width="17.44140625" bestFit="1" customWidth="1"/>
    <col min="37" max="37" width="13.33203125" bestFit="1" customWidth="1"/>
    <col min="38" max="38" width="18.88671875" bestFit="1" customWidth="1"/>
    <col min="39" max="39" width="21.6640625" bestFit="1" customWidth="1"/>
    <col min="40" max="40" width="13.33203125" bestFit="1" customWidth="1"/>
    <col min="41" max="41" width="24.5546875" bestFit="1" customWidth="1"/>
    <col min="42" max="42" width="9.88671875" bestFit="1" customWidth="1"/>
    <col min="43" max="43" width="18.33203125" bestFit="1" customWidth="1"/>
    <col min="44" max="44" width="23.6640625" bestFit="1" customWidth="1"/>
    <col min="45" max="65" width="4.5546875" bestFit="1" customWidth="1"/>
  </cols>
  <sheetData>
    <row r="1" spans="2:74" ht="15" thickBot="1" x14ac:dyDescent="0.35">
      <c r="B1" s="130"/>
      <c r="C1" s="130"/>
      <c r="D1" s="130"/>
      <c r="M1" s="131" t="s">
        <v>40</v>
      </c>
      <c r="N1" s="132"/>
      <c r="O1" s="132"/>
      <c r="P1" s="132"/>
      <c r="Q1" s="132"/>
      <c r="R1" s="132"/>
      <c r="S1" s="132"/>
      <c r="T1" s="133"/>
      <c r="AF1" s="130"/>
      <c r="AG1" s="130"/>
      <c r="AH1" s="130"/>
      <c r="AK1" s="130"/>
      <c r="AL1" s="130"/>
      <c r="AM1" s="130"/>
      <c r="AP1" s="130"/>
      <c r="AQ1" s="130"/>
      <c r="AR1" s="130"/>
      <c r="AU1" s="130"/>
      <c r="AV1" s="130"/>
      <c r="AW1" s="130"/>
      <c r="AZ1" s="130"/>
      <c r="BA1" s="130"/>
      <c r="BB1" s="130"/>
      <c r="BE1" s="130"/>
      <c r="BF1" s="130"/>
      <c r="BG1" s="130"/>
      <c r="BJ1" s="130"/>
      <c r="BK1" s="130"/>
      <c r="BL1" s="130"/>
      <c r="BO1" s="130"/>
      <c r="BP1" s="130"/>
      <c r="BQ1" s="130"/>
      <c r="BT1" s="130"/>
      <c r="BU1" s="130"/>
      <c r="BV1" s="130"/>
    </row>
    <row r="2" spans="2:74" x14ac:dyDescent="0.3">
      <c r="B2" s="1"/>
      <c r="C2" s="21" t="s">
        <v>41</v>
      </c>
      <c r="D2" s="21" t="s">
        <v>37</v>
      </c>
      <c r="E2" s="21" t="s">
        <v>38</v>
      </c>
      <c r="F2" s="21" t="s">
        <v>42</v>
      </c>
      <c r="G2" s="21" t="s">
        <v>17</v>
      </c>
      <c r="H2" s="21" t="s">
        <v>43</v>
      </c>
      <c r="I2" s="21" t="s">
        <v>24</v>
      </c>
      <c r="J2" s="1"/>
      <c r="K2" s="1"/>
      <c r="L2" s="1"/>
      <c r="M2" s="14" t="s">
        <v>39</v>
      </c>
      <c r="N2" s="23">
        <v>0.16666666666666666</v>
      </c>
      <c r="O2" s="23">
        <v>8.3333333333333329E-2</v>
      </c>
      <c r="P2" s="23">
        <v>8.3333333333333329E-2</v>
      </c>
      <c r="Q2" s="23">
        <v>0.16666666666666666</v>
      </c>
      <c r="R2" s="23">
        <v>0.16666666666666666</v>
      </c>
      <c r="S2" s="23">
        <v>0.16666666666666666</v>
      </c>
      <c r="T2" s="24">
        <v>0.16666666666666666</v>
      </c>
      <c r="U2" s="3"/>
      <c r="V2" s="3"/>
      <c r="W2" s="3"/>
    </row>
    <row r="3" spans="2:74" x14ac:dyDescent="0.3">
      <c r="B3" s="21" t="s">
        <v>44</v>
      </c>
      <c r="C3" s="20">
        <v>3183.4141458890263</v>
      </c>
      <c r="D3" s="20">
        <v>234412.22386008853</v>
      </c>
      <c r="E3" s="20">
        <v>902.85391987420633</v>
      </c>
      <c r="F3" s="20">
        <v>43.370138999999995</v>
      </c>
      <c r="G3" s="20">
        <v>14799.165421845959</v>
      </c>
      <c r="H3" s="20">
        <v>13267.188218752352</v>
      </c>
      <c r="I3" s="20">
        <v>0</v>
      </c>
      <c r="J3" s="3"/>
      <c r="K3" s="3"/>
      <c r="L3" s="3"/>
      <c r="M3" s="15" t="s">
        <v>31</v>
      </c>
      <c r="N3" s="27">
        <v>0.66666666666666663</v>
      </c>
      <c r="O3" s="27">
        <v>3.333333333333334E-2</v>
      </c>
      <c r="P3" s="27">
        <v>3.333333333333334E-2</v>
      </c>
      <c r="Q3" s="27">
        <v>6.666666666666668E-2</v>
      </c>
      <c r="R3" s="27">
        <v>6.666666666666668E-2</v>
      </c>
      <c r="S3" s="27">
        <v>6.666666666666668E-2</v>
      </c>
      <c r="T3" s="28">
        <v>6.666666666666668E-2</v>
      </c>
      <c r="U3" s="3"/>
      <c r="V3" s="3"/>
      <c r="W3" s="3"/>
    </row>
    <row r="4" spans="2:74" x14ac:dyDescent="0.3">
      <c r="B4" s="21" t="s">
        <v>45</v>
      </c>
      <c r="C4" s="20">
        <v>2157.5163407170794</v>
      </c>
      <c r="D4" s="20">
        <v>269673.70629809151</v>
      </c>
      <c r="E4" s="20">
        <v>953.06400000000019</v>
      </c>
      <c r="F4" s="20">
        <v>47.795628999999998</v>
      </c>
      <c r="G4" s="20">
        <v>19604.010912011163</v>
      </c>
      <c r="H4" s="20">
        <v>15063.180268567401</v>
      </c>
      <c r="I4" s="20">
        <v>0.56280780825182819</v>
      </c>
      <c r="J4" s="3"/>
      <c r="K4" s="3"/>
      <c r="L4" s="3"/>
      <c r="M4" s="15" t="s">
        <v>32</v>
      </c>
      <c r="N4" s="27">
        <v>6.666666666666668E-2</v>
      </c>
      <c r="O4" s="27">
        <v>0.33333333333333331</v>
      </c>
      <c r="P4" s="27">
        <v>0.33333333333333331</v>
      </c>
      <c r="Q4" s="27">
        <v>6.666666666666668E-2</v>
      </c>
      <c r="R4" s="27">
        <v>6.666666666666668E-2</v>
      </c>
      <c r="S4" s="27">
        <v>6.666666666666668E-2</v>
      </c>
      <c r="T4" s="28">
        <v>6.666666666666668E-2</v>
      </c>
      <c r="U4" s="3"/>
      <c r="V4" s="3"/>
      <c r="W4" s="3"/>
    </row>
    <row r="5" spans="2:74" x14ac:dyDescent="0.3">
      <c r="B5" s="21" t="s">
        <v>46</v>
      </c>
      <c r="C5" s="20">
        <v>2692.7557644410881</v>
      </c>
      <c r="D5" s="20">
        <v>272041.81757584569</v>
      </c>
      <c r="E5" s="20">
        <v>967.64178456644106</v>
      </c>
      <c r="F5" s="20">
        <v>44.841610000000017</v>
      </c>
      <c r="G5" s="20">
        <v>18242.6327120112</v>
      </c>
      <c r="H5" s="20">
        <v>6825.2071211136717</v>
      </c>
      <c r="I5" s="20">
        <v>0.3214520186607035</v>
      </c>
      <c r="J5" s="3"/>
      <c r="K5" s="3"/>
      <c r="L5" s="3"/>
      <c r="M5" s="15" t="s">
        <v>33</v>
      </c>
      <c r="N5" s="27">
        <v>6.666666666666668E-2</v>
      </c>
      <c r="O5" s="27">
        <v>3.333333333333334E-2</v>
      </c>
      <c r="P5" s="27">
        <v>3.333333333333334E-2</v>
      </c>
      <c r="Q5" s="27">
        <v>0.66666666666666663</v>
      </c>
      <c r="R5" s="27">
        <v>6.666666666666668E-2</v>
      </c>
      <c r="S5" s="27">
        <v>6.666666666666668E-2</v>
      </c>
      <c r="T5" s="28">
        <v>6.666666666666668E-2</v>
      </c>
      <c r="U5" s="3"/>
      <c r="V5" s="3"/>
      <c r="W5" s="3"/>
      <c r="AJ5" s="134" t="s">
        <v>13</v>
      </c>
      <c r="AK5" s="134"/>
      <c r="AL5" s="134"/>
      <c r="AM5" s="135" t="s">
        <v>14</v>
      </c>
      <c r="AN5" s="135"/>
      <c r="AO5" s="135"/>
      <c r="AP5" s="135" t="s">
        <v>15</v>
      </c>
      <c r="AQ5" s="135"/>
      <c r="AR5" s="135"/>
      <c r="AS5" s="135" t="s">
        <v>16</v>
      </c>
      <c r="AT5" s="135"/>
      <c r="AU5" s="135"/>
      <c r="AV5" s="135" t="s">
        <v>17</v>
      </c>
      <c r="AW5" s="135"/>
      <c r="AX5" s="135" t="s">
        <v>18</v>
      </c>
      <c r="AY5" s="135" t="s">
        <v>19</v>
      </c>
      <c r="AZ5" s="135"/>
      <c r="BA5" s="135"/>
      <c r="BB5" s="135" t="s">
        <v>20</v>
      </c>
      <c r="BC5" s="135" t="s">
        <v>21</v>
      </c>
      <c r="BD5" s="135"/>
      <c r="BE5" s="135" t="s">
        <v>22</v>
      </c>
      <c r="BF5" s="135"/>
      <c r="BG5" s="135"/>
      <c r="BH5" s="135" t="s">
        <v>23</v>
      </c>
      <c r="BI5" s="135"/>
      <c r="BJ5" s="135"/>
      <c r="BK5" s="135" t="s">
        <v>24</v>
      </c>
      <c r="BL5" s="135"/>
      <c r="BM5" s="135"/>
    </row>
    <row r="6" spans="2:74" x14ac:dyDescent="0.3">
      <c r="M6" s="15" t="s">
        <v>34</v>
      </c>
      <c r="N6" s="27">
        <v>6.666666666666668E-2</v>
      </c>
      <c r="O6" s="27">
        <v>3.333333333333334E-2</v>
      </c>
      <c r="P6" s="27">
        <v>3.333333333333334E-2</v>
      </c>
      <c r="Q6" s="27">
        <v>6.666666666666668E-2</v>
      </c>
      <c r="R6" s="27">
        <v>0.66666666666666663</v>
      </c>
      <c r="S6" s="27">
        <v>6.666666666666668E-2</v>
      </c>
      <c r="T6" s="28">
        <v>6.666666666666668E-2</v>
      </c>
      <c r="AJ6" s="7">
        <v>-0.78401297875392606</v>
      </c>
      <c r="AK6" s="7">
        <v>9.7194159560733212E-2</v>
      </c>
      <c r="AL6" s="7">
        <v>1</v>
      </c>
      <c r="AM6" s="8">
        <v>0</v>
      </c>
      <c r="AN6" s="8">
        <v>0</v>
      </c>
      <c r="AO6" s="8">
        <v>0.96357318140301196</v>
      </c>
      <c r="AP6" s="9">
        <v>0</v>
      </c>
      <c r="AQ6" s="9">
        <v>0</v>
      </c>
      <c r="AR6" s="9">
        <v>0.55298644381627804</v>
      </c>
      <c r="AS6" s="8">
        <v>0</v>
      </c>
      <c r="AT6" s="8">
        <v>0</v>
      </c>
      <c r="AU6" s="8">
        <v>0.68910505130127075</v>
      </c>
      <c r="AV6" s="3">
        <v>0</v>
      </c>
      <c r="AW6" s="3">
        <v>0</v>
      </c>
      <c r="AX6" s="3">
        <v>0.68914847755973008</v>
      </c>
      <c r="AY6" s="10">
        <v>0</v>
      </c>
      <c r="AZ6" s="10">
        <v>0</v>
      </c>
      <c r="BA6" s="10">
        <v>0.95799576830385191</v>
      </c>
      <c r="BB6" s="3">
        <v>0</v>
      </c>
      <c r="BC6" s="3">
        <v>6.2357614143024433E-3</v>
      </c>
      <c r="BD6" s="3">
        <v>1</v>
      </c>
      <c r="BE6" s="3">
        <v>0</v>
      </c>
      <c r="BF6" s="3">
        <v>6.6274598539537918E-2</v>
      </c>
      <c r="BG6" s="3">
        <v>1</v>
      </c>
      <c r="BH6" s="3">
        <v>0</v>
      </c>
      <c r="BI6" s="3">
        <v>0</v>
      </c>
      <c r="BJ6" s="3">
        <v>1</v>
      </c>
      <c r="BK6" s="3">
        <v>0</v>
      </c>
      <c r="BL6" s="3">
        <v>3.4641522068614935E-4</v>
      </c>
      <c r="BM6" s="3">
        <v>1</v>
      </c>
    </row>
    <row r="7" spans="2:74" x14ac:dyDescent="0.3">
      <c r="B7" s="1" t="s">
        <v>48</v>
      </c>
      <c r="C7" s="3">
        <v>6.666666666666668E-2</v>
      </c>
      <c r="D7" s="3">
        <v>3.333333333333334E-2</v>
      </c>
      <c r="E7" s="3">
        <v>3.333333333333334E-2</v>
      </c>
      <c r="F7" s="3">
        <v>6.666666666666668E-2</v>
      </c>
      <c r="G7" s="3">
        <v>6.666666666666668E-2</v>
      </c>
      <c r="H7" s="3">
        <v>6.666666666666668E-2</v>
      </c>
      <c r="I7" s="3">
        <v>0.66666666666666663</v>
      </c>
      <c r="J7" s="3"/>
      <c r="K7" s="3"/>
      <c r="L7" s="3"/>
      <c r="M7" s="15" t="s">
        <v>35</v>
      </c>
      <c r="N7" s="27">
        <v>6.666666666666668E-2</v>
      </c>
      <c r="O7" s="27">
        <v>3.333333333333334E-2</v>
      </c>
      <c r="P7" s="27">
        <v>3.333333333333334E-2</v>
      </c>
      <c r="Q7" s="27">
        <v>6.666666666666668E-2</v>
      </c>
      <c r="R7" s="27">
        <v>6.666666666666668E-2</v>
      </c>
      <c r="S7" s="27">
        <v>0.66666666666666663</v>
      </c>
      <c r="T7" s="28">
        <v>6.666666666666668E-2</v>
      </c>
      <c r="AJ7" s="7">
        <v>-0.81155825289745276</v>
      </c>
      <c r="AK7" s="7">
        <v>3.5217292737798223E-2</v>
      </c>
      <c r="AL7" s="7">
        <v>0.88981890342589331</v>
      </c>
      <c r="AM7" s="8">
        <v>0</v>
      </c>
      <c r="AN7" s="8">
        <v>3.9795712040180458E-3</v>
      </c>
      <c r="AO7" s="8">
        <v>0.97551189501506608</v>
      </c>
      <c r="AP7" s="9">
        <v>0</v>
      </c>
      <c r="AQ7" s="9">
        <v>8.3206699887752061E-2</v>
      </c>
      <c r="AR7" s="9">
        <v>0.8026065434795342</v>
      </c>
      <c r="AS7" s="8">
        <v>0</v>
      </c>
      <c r="AT7" s="8">
        <v>3.2541870409785865E-2</v>
      </c>
      <c r="AU7" s="8">
        <v>0.7867306625306284</v>
      </c>
      <c r="AV7" s="3">
        <v>0</v>
      </c>
      <c r="AW7" s="3">
        <v>3.2539903897976272E-2</v>
      </c>
      <c r="AX7" s="3">
        <v>0.78676818925365888</v>
      </c>
      <c r="AY7" s="10">
        <v>0</v>
      </c>
      <c r="AZ7" s="10">
        <v>8.8138277957979256E-3</v>
      </c>
      <c r="BA7" s="10">
        <v>0.97731412069078893</v>
      </c>
      <c r="BB7" s="3">
        <v>0</v>
      </c>
      <c r="BC7" s="3">
        <v>0</v>
      </c>
      <c r="BD7" s="3">
        <v>0.93151599689208586</v>
      </c>
      <c r="BE7" s="3">
        <v>0</v>
      </c>
      <c r="BF7" s="3">
        <v>1.3637913245490817E-2</v>
      </c>
      <c r="BG7" s="3">
        <v>0.96846501120933071</v>
      </c>
      <c r="BH7" s="3">
        <v>0</v>
      </c>
      <c r="BI7" s="3">
        <v>2.5594661364239982E-3</v>
      </c>
      <c r="BJ7" s="3">
        <v>1</v>
      </c>
      <c r="BK7" s="3">
        <v>0</v>
      </c>
      <c r="BL7" s="3">
        <v>0</v>
      </c>
      <c r="BM7" s="3">
        <v>1</v>
      </c>
    </row>
    <row r="8" spans="2:74" ht="15" thickBot="1" x14ac:dyDescent="0.35">
      <c r="M8" s="16" t="s">
        <v>36</v>
      </c>
      <c r="N8" s="12">
        <v>6.666666666666668E-2</v>
      </c>
      <c r="O8" s="12">
        <v>3.333333333333334E-2</v>
      </c>
      <c r="P8" s="12">
        <v>3.333333333333334E-2</v>
      </c>
      <c r="Q8" s="12">
        <v>6.666666666666668E-2</v>
      </c>
      <c r="R8" s="12">
        <v>6.666666666666668E-2</v>
      </c>
      <c r="S8" s="12">
        <v>6.666666666666668E-2</v>
      </c>
      <c r="T8" s="13">
        <v>0.66666666666666663</v>
      </c>
      <c r="AJ8" s="7">
        <v>-0.82721038300314087</v>
      </c>
      <c r="AK8" s="7">
        <v>0</v>
      </c>
      <c r="AL8" s="7">
        <v>0.82721038300314087</v>
      </c>
      <c r="AM8" s="8">
        <v>0</v>
      </c>
      <c r="AN8" s="8">
        <v>0.12243516375190849</v>
      </c>
      <c r="AO8" s="8">
        <v>1</v>
      </c>
      <c r="AP8" s="9">
        <v>0</v>
      </c>
      <c r="AQ8" s="9">
        <v>0.18032912016182648</v>
      </c>
      <c r="AR8" s="9">
        <v>1</v>
      </c>
      <c r="AS8" s="8">
        <v>0</v>
      </c>
      <c r="AT8" s="8">
        <v>0.20870353052727808</v>
      </c>
      <c r="AU8" s="8">
        <v>1</v>
      </c>
      <c r="AV8" s="3">
        <v>0</v>
      </c>
      <c r="AW8" s="3">
        <v>0.20875454107450656</v>
      </c>
      <c r="AX8" s="3">
        <v>1</v>
      </c>
      <c r="AY8" s="10">
        <v>0</v>
      </c>
      <c r="AZ8" s="10">
        <v>2.4070757169109058E-2</v>
      </c>
      <c r="BA8" s="10">
        <v>1</v>
      </c>
      <c r="BB8" s="3">
        <v>0</v>
      </c>
      <c r="BC8" s="3">
        <v>2.5681501165467829E-2</v>
      </c>
      <c r="BD8" s="3">
        <v>1</v>
      </c>
      <c r="BE8" s="3">
        <v>0</v>
      </c>
      <c r="BF8" s="3">
        <v>0</v>
      </c>
      <c r="BG8" s="3">
        <v>0.92755127147285821</v>
      </c>
      <c r="BH8" s="3">
        <v>0</v>
      </c>
      <c r="BI8" s="3">
        <v>8.7029711165191107E-3</v>
      </c>
      <c r="BJ8" s="3">
        <v>1</v>
      </c>
      <c r="BK8" s="3">
        <v>0</v>
      </c>
      <c r="BL8" s="3">
        <v>1.4015339629943337E-3</v>
      </c>
      <c r="BM8" s="3">
        <v>1</v>
      </c>
    </row>
    <row r="10" spans="2:74" x14ac:dyDescent="0.3">
      <c r="C10" s="25" t="s">
        <v>41</v>
      </c>
      <c r="D10" s="25" t="s">
        <v>37</v>
      </c>
      <c r="E10" s="25" t="s">
        <v>38</v>
      </c>
      <c r="F10" s="26" t="s">
        <v>42</v>
      </c>
      <c r="G10" s="25" t="s">
        <v>17</v>
      </c>
      <c r="H10" s="25" t="s">
        <v>43</v>
      </c>
      <c r="I10" s="26" t="s">
        <v>24</v>
      </c>
      <c r="J10" s="1"/>
      <c r="K10" s="1"/>
      <c r="L10" s="1"/>
      <c r="N10" s="3"/>
      <c r="O10" s="3"/>
      <c r="P10" s="3"/>
      <c r="Q10" s="3"/>
      <c r="R10" s="3"/>
      <c r="S10" s="3"/>
      <c r="T10" s="3"/>
    </row>
    <row r="11" spans="2:74" x14ac:dyDescent="0.3">
      <c r="B11" s="22" t="s">
        <v>44</v>
      </c>
      <c r="C11" s="20">
        <f t="shared" ref="C11:H11" si="0">C3^2</f>
        <v>10134125.624246359</v>
      </c>
      <c r="D11" s="20">
        <f t="shared" si="0"/>
        <v>54949090695.032257</v>
      </c>
      <c r="E11" s="20">
        <f t="shared" si="0"/>
        <v>815145.20063221978</v>
      </c>
      <c r="F11" s="20">
        <f t="shared" si="0"/>
        <v>1880.9689568793206</v>
      </c>
      <c r="G11" s="20">
        <f t="shared" si="0"/>
        <v>219015297.18316108</v>
      </c>
      <c r="H11" s="20">
        <f t="shared" si="0"/>
        <v>176018283.23180118</v>
      </c>
      <c r="I11" s="20">
        <f t="shared" ref="I11" si="1">I3^2</f>
        <v>0</v>
      </c>
      <c r="J11" s="2"/>
      <c r="K11" s="2"/>
      <c r="L11" s="2"/>
    </row>
    <row r="12" spans="2:74" x14ac:dyDescent="0.3">
      <c r="B12" s="21" t="s">
        <v>45</v>
      </c>
      <c r="C12" s="20">
        <f t="shared" ref="C12:D13" si="2">C4^2</f>
        <v>4654876.7604612168</v>
      </c>
      <c r="D12" s="20">
        <f t="shared" si="2"/>
        <v>72723907868.549316</v>
      </c>
      <c r="E12" s="20">
        <f t="shared" ref="E12:I12" si="3">E4^2</f>
        <v>908330.98809600039</v>
      </c>
      <c r="F12" s="20">
        <f t="shared" si="3"/>
        <v>2284.4221515056406</v>
      </c>
      <c r="G12" s="20">
        <f t="shared" si="3"/>
        <v>384317243.83825272</v>
      </c>
      <c r="H12" s="20">
        <f t="shared" si="3"/>
        <v>226899399.80335829</v>
      </c>
      <c r="I12" s="20">
        <f t="shared" si="3"/>
        <v>0.31675262902922663</v>
      </c>
      <c r="J12" s="2"/>
      <c r="K12" s="2"/>
      <c r="L12" s="2"/>
    </row>
    <row r="13" spans="2:74" x14ac:dyDescent="0.3">
      <c r="B13" s="21" t="s">
        <v>46</v>
      </c>
      <c r="C13" s="20">
        <f t="shared" si="2"/>
        <v>7250933.6069307085</v>
      </c>
      <c r="D13" s="20">
        <f t="shared" si="2"/>
        <v>74006750509.969711</v>
      </c>
      <c r="E13" s="20">
        <f t="shared" ref="E13:I13" si="4">E5^2</f>
        <v>936330.62323892675</v>
      </c>
      <c r="F13" s="20">
        <f t="shared" si="4"/>
        <v>2010.7699873921015</v>
      </c>
      <c r="G13" s="20">
        <f t="shared" si="4"/>
        <v>332793648.2653411</v>
      </c>
      <c r="H13" s="20">
        <f t="shared" si="4"/>
        <v>46583452.246100776</v>
      </c>
      <c r="I13" s="20">
        <f t="shared" si="4"/>
        <v>0.10333140030104127</v>
      </c>
      <c r="J13" s="2"/>
      <c r="K13" s="2"/>
      <c r="L13" s="2"/>
      <c r="AJ13" s="4">
        <v>3</v>
      </c>
      <c r="AK13" s="4">
        <v>5</v>
      </c>
      <c r="AL13" s="4">
        <v>7</v>
      </c>
      <c r="AM13" s="4">
        <v>1.5</v>
      </c>
      <c r="AN13" s="4">
        <v>2.5</v>
      </c>
      <c r="AO13" s="4">
        <v>3.5</v>
      </c>
      <c r="AP13" s="4">
        <v>1.5</v>
      </c>
      <c r="AQ13" s="4">
        <v>2.5</v>
      </c>
      <c r="AR13" s="4">
        <v>3.5</v>
      </c>
      <c r="AS13" s="4">
        <v>3</v>
      </c>
      <c r="AT13" s="4">
        <v>5</v>
      </c>
      <c r="AU13" s="4">
        <v>7</v>
      </c>
      <c r="AV13" s="4">
        <v>3</v>
      </c>
      <c r="AW13" s="4">
        <v>5</v>
      </c>
      <c r="AX13" s="4">
        <v>7</v>
      </c>
      <c r="AY13" s="4">
        <v>3</v>
      </c>
      <c r="AZ13" s="4">
        <v>5</v>
      </c>
      <c r="BA13" s="4">
        <v>7</v>
      </c>
      <c r="BB13" s="4">
        <v>3</v>
      </c>
      <c r="BC13" s="4">
        <v>5</v>
      </c>
      <c r="BD13" s="4">
        <v>7</v>
      </c>
      <c r="BE13" s="4">
        <v>1.5</v>
      </c>
      <c r="BF13" s="4">
        <v>2.5</v>
      </c>
      <c r="BG13" s="4">
        <v>3.5</v>
      </c>
      <c r="BH13" s="4">
        <v>1.5</v>
      </c>
      <c r="BI13" s="4">
        <v>2.5</v>
      </c>
      <c r="BJ13" s="4">
        <v>3.5</v>
      </c>
      <c r="BK13" s="4">
        <v>3</v>
      </c>
      <c r="BL13" s="4">
        <v>5</v>
      </c>
      <c r="BM13" s="4">
        <v>7</v>
      </c>
    </row>
    <row r="14" spans="2:74" x14ac:dyDescent="0.3">
      <c r="B14" s="19" t="s">
        <v>8</v>
      </c>
      <c r="C14" s="20">
        <f>SUM(C11:C13)</f>
        <v>22039935.991638284</v>
      </c>
      <c r="D14" s="20">
        <f>SUM(D11:D13)</f>
        <v>201679749073.55127</v>
      </c>
      <c r="E14" s="20">
        <f t="shared" ref="E14:I14" si="5">SUM(E11:E13)</f>
        <v>2659806.811967147</v>
      </c>
      <c r="F14" s="20">
        <f t="shared" si="5"/>
        <v>6176.1610957770627</v>
      </c>
      <c r="G14" s="20">
        <f t="shared" si="5"/>
        <v>936126189.28675485</v>
      </c>
      <c r="H14" s="20">
        <f t="shared" si="5"/>
        <v>449501135.28126025</v>
      </c>
      <c r="I14" s="20">
        <f t="shared" si="5"/>
        <v>0.42008402933026789</v>
      </c>
      <c r="J14" s="2"/>
      <c r="K14" s="2"/>
      <c r="L14" s="2"/>
      <c r="AJ14" s="4">
        <v>1</v>
      </c>
      <c r="AK14" s="4">
        <v>3</v>
      </c>
      <c r="AL14" s="4">
        <v>5</v>
      </c>
      <c r="AM14" s="4">
        <v>0.5</v>
      </c>
      <c r="AN14" s="4">
        <v>1.5</v>
      </c>
      <c r="AO14" s="4">
        <v>2.5</v>
      </c>
      <c r="AP14" s="4">
        <v>0.5</v>
      </c>
      <c r="AQ14" s="4">
        <v>1.5</v>
      </c>
      <c r="AR14" s="4">
        <v>2.5</v>
      </c>
      <c r="AS14" s="4">
        <v>1</v>
      </c>
      <c r="AT14" s="4">
        <v>3</v>
      </c>
      <c r="AU14" s="4">
        <v>5</v>
      </c>
      <c r="AV14" s="4">
        <v>1</v>
      </c>
      <c r="AW14" s="4">
        <v>3</v>
      </c>
      <c r="AX14" s="4">
        <v>5</v>
      </c>
      <c r="AY14" s="4">
        <v>1</v>
      </c>
      <c r="AZ14" s="4">
        <v>3</v>
      </c>
      <c r="BA14" s="4">
        <v>5</v>
      </c>
      <c r="BB14" s="4">
        <v>7</v>
      </c>
      <c r="BC14" s="4">
        <v>9</v>
      </c>
      <c r="BD14" s="4">
        <v>9</v>
      </c>
      <c r="BE14" s="4">
        <v>0.5</v>
      </c>
      <c r="BF14" s="4">
        <v>1.5</v>
      </c>
      <c r="BG14" s="4">
        <v>2.5</v>
      </c>
      <c r="BH14" s="4">
        <v>0.5</v>
      </c>
      <c r="BI14" s="4">
        <v>1.5</v>
      </c>
      <c r="BJ14" s="4">
        <v>2.5</v>
      </c>
      <c r="BK14" s="4">
        <v>7</v>
      </c>
      <c r="BL14" s="4">
        <v>9</v>
      </c>
      <c r="BM14" s="4">
        <v>9</v>
      </c>
    </row>
    <row r="15" spans="2:74" x14ac:dyDescent="0.3">
      <c r="B15" s="19" t="s">
        <v>9</v>
      </c>
      <c r="C15" s="20">
        <f>C14^(1/2)</f>
        <v>4694.6710205975332</v>
      </c>
      <c r="D15" s="20">
        <f>D14^(1/2)</f>
        <v>449087.68528378871</v>
      </c>
      <c r="E15" s="20">
        <f>E14^(1/2)</f>
        <v>1630.8914163631946</v>
      </c>
      <c r="F15" s="20">
        <f t="shared" ref="F15:I15" si="6">F14^(1/2)</f>
        <v>78.588555755765498</v>
      </c>
      <c r="G15" s="20">
        <f t="shared" si="6"/>
        <v>30596.179324986882</v>
      </c>
      <c r="H15" s="20">
        <f t="shared" si="6"/>
        <v>21201.441820811626</v>
      </c>
      <c r="I15" s="20">
        <f t="shared" si="6"/>
        <v>0.64813889663425373</v>
      </c>
      <c r="J15" s="2"/>
      <c r="K15" s="2"/>
      <c r="L15" s="2"/>
      <c r="AJ15" s="4">
        <v>7</v>
      </c>
      <c r="AK15" s="4">
        <v>9</v>
      </c>
      <c r="AL15" s="4">
        <v>9</v>
      </c>
      <c r="AM15" s="4">
        <v>1.5</v>
      </c>
      <c r="AN15" s="4">
        <v>2.5</v>
      </c>
      <c r="AO15" s="4">
        <v>3.5</v>
      </c>
      <c r="AP15" s="4">
        <v>1.5</v>
      </c>
      <c r="AQ15" s="4">
        <v>2.5</v>
      </c>
      <c r="AR15" s="4">
        <v>3.5</v>
      </c>
      <c r="AS15" s="4">
        <v>1</v>
      </c>
      <c r="AT15" s="4">
        <v>3</v>
      </c>
      <c r="AU15" s="4">
        <v>5</v>
      </c>
      <c r="AV15" s="4">
        <v>1</v>
      </c>
      <c r="AW15" s="4">
        <v>3</v>
      </c>
      <c r="AX15" s="4">
        <v>5</v>
      </c>
      <c r="AY15" s="4">
        <v>3</v>
      </c>
      <c r="AZ15" s="4">
        <v>5</v>
      </c>
      <c r="BA15" s="4">
        <v>7</v>
      </c>
      <c r="BB15" s="4">
        <v>1</v>
      </c>
      <c r="BC15" s="4">
        <v>3</v>
      </c>
      <c r="BD15" s="4">
        <v>5</v>
      </c>
      <c r="BE15" s="4">
        <v>0.5</v>
      </c>
      <c r="BF15" s="4">
        <v>1.5</v>
      </c>
      <c r="BG15" s="4">
        <v>2.5</v>
      </c>
      <c r="BH15" s="4">
        <v>0.5</v>
      </c>
      <c r="BI15" s="4">
        <v>1.5</v>
      </c>
      <c r="BJ15" s="4">
        <v>2.5</v>
      </c>
      <c r="BK15" s="4">
        <v>1</v>
      </c>
      <c r="BL15" s="4">
        <v>3</v>
      </c>
      <c r="BM15" s="4">
        <v>5</v>
      </c>
    </row>
    <row r="16" spans="2:74" x14ac:dyDescent="0.3">
      <c r="AJ16" s="1">
        <v>7</v>
      </c>
      <c r="AK16" s="1">
        <v>9</v>
      </c>
      <c r="AL16" s="1">
        <v>9</v>
      </c>
      <c r="AM16" s="1">
        <v>0.5</v>
      </c>
      <c r="AN16" s="1">
        <v>1.5</v>
      </c>
      <c r="AO16" s="1">
        <v>2.5</v>
      </c>
      <c r="AP16" s="1">
        <v>0.5</v>
      </c>
      <c r="AQ16" s="1">
        <v>1.5</v>
      </c>
      <c r="AR16" s="1">
        <v>2.5</v>
      </c>
      <c r="AS16" s="1">
        <v>1</v>
      </c>
      <c r="AT16" s="1">
        <v>3</v>
      </c>
      <c r="AU16" s="1">
        <v>5</v>
      </c>
      <c r="AV16" s="1">
        <v>7</v>
      </c>
      <c r="AW16" s="1">
        <v>9</v>
      </c>
      <c r="AX16" s="1">
        <v>9</v>
      </c>
      <c r="AY16" s="1">
        <v>1</v>
      </c>
      <c r="AZ16" s="1">
        <v>3</v>
      </c>
      <c r="BA16" s="1">
        <v>5</v>
      </c>
      <c r="BB16" s="1">
        <v>3</v>
      </c>
      <c r="BC16" s="1">
        <v>5</v>
      </c>
      <c r="BD16" s="1">
        <v>7</v>
      </c>
      <c r="BE16" s="1">
        <v>0.5</v>
      </c>
      <c r="BF16" s="1">
        <v>1.5</v>
      </c>
      <c r="BG16" s="1">
        <v>2.5</v>
      </c>
      <c r="BH16" s="1">
        <v>0.5</v>
      </c>
      <c r="BI16" s="1">
        <v>1.5</v>
      </c>
      <c r="BJ16" s="1">
        <v>2.5</v>
      </c>
      <c r="BK16" s="1">
        <v>1</v>
      </c>
      <c r="BL16" s="1">
        <v>3</v>
      </c>
      <c r="BM16" s="1">
        <v>5</v>
      </c>
    </row>
    <row r="17" spans="2:65" x14ac:dyDescent="0.3">
      <c r="B17" s="1" t="s">
        <v>10</v>
      </c>
      <c r="C17" s="1" t="s">
        <v>0</v>
      </c>
      <c r="D17" s="1" t="s">
        <v>1</v>
      </c>
      <c r="E17" s="1" t="s">
        <v>26</v>
      </c>
      <c r="F17" s="1" t="s">
        <v>27</v>
      </c>
      <c r="G17" s="1" t="s">
        <v>28</v>
      </c>
      <c r="H17" s="1" t="s">
        <v>29</v>
      </c>
      <c r="I17" s="1" t="s">
        <v>30</v>
      </c>
      <c r="J17" s="1"/>
      <c r="K17" s="1"/>
      <c r="L17" s="1"/>
    </row>
    <row r="18" spans="2:65" x14ac:dyDescent="0.3">
      <c r="B18" s="21" t="s">
        <v>44</v>
      </c>
      <c r="C18" s="3">
        <f>C3/C$15</f>
        <v>0.67809099549724028</v>
      </c>
      <c r="D18" s="3">
        <f t="shared" ref="C18:D20" si="7">D3/D$15</f>
        <v>0.52197428596145568</v>
      </c>
      <c r="E18" s="3">
        <f t="shared" ref="E18:I18" si="8">E3/E$15</f>
        <v>0.553595359455337</v>
      </c>
      <c r="F18" s="3">
        <f t="shared" si="8"/>
        <v>0.55186329081786478</v>
      </c>
      <c r="G18" s="3">
        <f t="shared" si="8"/>
        <v>0.48369325021441395</v>
      </c>
      <c r="H18" s="3">
        <f t="shared" si="8"/>
        <v>0.62576820627968321</v>
      </c>
      <c r="I18" s="3">
        <f t="shared" si="8"/>
        <v>0</v>
      </c>
      <c r="J18" s="3"/>
      <c r="K18" s="3"/>
      <c r="L18" s="3"/>
    </row>
    <row r="19" spans="2:65" x14ac:dyDescent="0.3">
      <c r="B19" s="21" t="s">
        <v>45</v>
      </c>
      <c r="C19" s="3">
        <f t="shared" si="7"/>
        <v>0.45956709879161517</v>
      </c>
      <c r="D19" s="3">
        <f t="shared" si="7"/>
        <v>0.60049232062036739</v>
      </c>
      <c r="E19" s="3">
        <f t="shared" ref="E19:I19" si="9">E4/E$15</f>
        <v>0.58438225282053713</v>
      </c>
      <c r="F19" s="3">
        <f t="shared" si="9"/>
        <v>0.60817543394660956</v>
      </c>
      <c r="G19" s="3">
        <f t="shared" si="9"/>
        <v>0.64073395255600485</v>
      </c>
      <c r="H19" s="3">
        <f t="shared" si="9"/>
        <v>0.71047905118326327</v>
      </c>
      <c r="I19" s="3">
        <f t="shared" si="9"/>
        <v>0.86834444156099144</v>
      </c>
      <c r="J19" s="3"/>
      <c r="K19" s="3"/>
      <c r="L19" s="3"/>
      <c r="AJ19" s="5"/>
      <c r="AK19" s="6"/>
      <c r="AL19" s="6"/>
      <c r="AM19" s="6"/>
      <c r="AN19" s="6"/>
      <c r="AO19" s="6"/>
      <c r="AP19" s="6"/>
      <c r="AQ19" s="6"/>
      <c r="AR19" s="6"/>
      <c r="AS19" s="6"/>
      <c r="AT19" s="6"/>
      <c r="AU19" s="6"/>
      <c r="AW19" s="6"/>
      <c r="AX19" s="6"/>
      <c r="AZ19" s="6"/>
      <c r="BA19" s="6"/>
      <c r="BD19" s="6"/>
      <c r="BF19" s="6"/>
      <c r="BG19" s="6"/>
      <c r="BI19" s="6"/>
      <c r="BJ19" s="6"/>
      <c r="BL19" s="6"/>
      <c r="BM19" s="6"/>
    </row>
    <row r="20" spans="2:65" x14ac:dyDescent="0.3">
      <c r="B20" s="21" t="s">
        <v>46</v>
      </c>
      <c r="C20" s="3">
        <f t="shared" si="7"/>
        <v>0.57357709467326146</v>
      </c>
      <c r="D20" s="3">
        <f t="shared" si="7"/>
        <v>0.60576548075224168</v>
      </c>
      <c r="E20" s="3">
        <f t="shared" ref="E20:I20" si="10">E5/E$15</f>
        <v>0.59332079061660237</v>
      </c>
      <c r="F20" s="3">
        <f t="shared" si="10"/>
        <v>0.57058702210226453</v>
      </c>
      <c r="G20" s="3">
        <f t="shared" si="10"/>
        <v>0.596238913304873</v>
      </c>
      <c r="H20" s="3">
        <f t="shared" si="10"/>
        <v>0.32192183808999042</v>
      </c>
      <c r="I20" s="3">
        <f t="shared" si="10"/>
        <v>0.49596162231580992</v>
      </c>
      <c r="J20" s="3"/>
      <c r="K20" s="3"/>
      <c r="L20" s="3"/>
    </row>
    <row r="21" spans="2:65" ht="15" thickBot="1" x14ac:dyDescent="0.35"/>
    <row r="22" spans="2:65" x14ac:dyDescent="0.3">
      <c r="B22" s="1" t="s">
        <v>2</v>
      </c>
      <c r="C22" s="1" t="s">
        <v>0</v>
      </c>
      <c r="D22" s="1" t="s">
        <v>1</v>
      </c>
      <c r="E22" s="1" t="s">
        <v>26</v>
      </c>
      <c r="F22" s="1" t="s">
        <v>27</v>
      </c>
      <c r="G22" s="1" t="s">
        <v>28</v>
      </c>
      <c r="H22" s="1" t="s">
        <v>29</v>
      </c>
      <c r="I22" s="1" t="s">
        <v>30</v>
      </c>
      <c r="J22" s="1"/>
      <c r="K22" s="1"/>
      <c r="L22" s="1"/>
      <c r="M22" s="17" t="s">
        <v>47</v>
      </c>
      <c r="N22" s="18" t="s">
        <v>56</v>
      </c>
      <c r="O22" s="35" t="s">
        <v>54</v>
      </c>
      <c r="P22" s="35" t="s">
        <v>49</v>
      </c>
      <c r="Q22" s="35" t="s">
        <v>50</v>
      </c>
      <c r="R22" s="35" t="s">
        <v>57</v>
      </c>
      <c r="S22" s="35" t="s">
        <v>51</v>
      </c>
      <c r="T22" s="36" t="s">
        <v>55</v>
      </c>
    </row>
    <row r="23" spans="2:65" x14ac:dyDescent="0.3">
      <c r="B23" s="21" t="s">
        <v>44</v>
      </c>
      <c r="C23" s="3">
        <f>C18*C$7</f>
        <v>4.5206066366482694E-2</v>
      </c>
      <c r="D23" s="3">
        <f t="shared" ref="D23:I23" si="11">D18*D$7</f>
        <v>1.7399142865381859E-2</v>
      </c>
      <c r="E23" s="3">
        <f t="shared" si="11"/>
        <v>1.8453178648511238E-2</v>
      </c>
      <c r="F23" s="3">
        <f t="shared" si="11"/>
        <v>3.6790886054524324E-2</v>
      </c>
      <c r="G23" s="3">
        <f t="shared" si="11"/>
        <v>3.2246216680960935E-2</v>
      </c>
      <c r="H23" s="3">
        <f t="shared" si="11"/>
        <v>4.1717880418645555E-2</v>
      </c>
      <c r="I23" s="3">
        <f t="shared" si="11"/>
        <v>0</v>
      </c>
      <c r="J23" s="3"/>
      <c r="K23" s="3"/>
      <c r="L23" s="3"/>
      <c r="M23" s="33" t="s">
        <v>44</v>
      </c>
      <c r="N23" s="20">
        <v>0.16291712321024895</v>
      </c>
      <c r="O23" s="20">
        <v>7.2126564147582478E-2</v>
      </c>
      <c r="P23" s="20">
        <v>0.34403616249402003</v>
      </c>
      <c r="Q23" s="20">
        <v>0.14347918468504781</v>
      </c>
      <c r="R23" s="20">
        <v>0.62420195799491407</v>
      </c>
      <c r="S23" s="20">
        <v>0.21404134903853775</v>
      </c>
      <c r="T23" s="30">
        <v>2.0770164735711059E-2</v>
      </c>
    </row>
    <row r="24" spans="2:65" x14ac:dyDescent="0.3">
      <c r="B24" s="21" t="s">
        <v>45</v>
      </c>
      <c r="C24" s="3">
        <f t="shared" ref="C24:I24" si="12">C19*C$7</f>
        <v>3.0637806586107683E-2</v>
      </c>
      <c r="D24" s="3">
        <f t="shared" si="12"/>
        <v>2.0016410687345585E-2</v>
      </c>
      <c r="E24" s="3">
        <f t="shared" si="12"/>
        <v>1.9479408427351241E-2</v>
      </c>
      <c r="F24" s="3">
        <f t="shared" si="12"/>
        <v>4.0545028929773977E-2</v>
      </c>
      <c r="G24" s="3">
        <f t="shared" si="12"/>
        <v>4.2715596837067001E-2</v>
      </c>
      <c r="H24" s="3">
        <f t="shared" si="12"/>
        <v>4.7365270078884227E-2</v>
      </c>
      <c r="I24" s="3">
        <f t="shared" si="12"/>
        <v>0.57889629437399426</v>
      </c>
      <c r="J24" s="3"/>
      <c r="K24" s="3"/>
      <c r="L24" s="3"/>
      <c r="M24" s="33" t="s">
        <v>52</v>
      </c>
      <c r="N24" s="20">
        <v>0.6805180473211534</v>
      </c>
      <c r="O24" s="20">
        <v>0.84812187081211876</v>
      </c>
      <c r="P24" s="20">
        <v>0.60184777625460395</v>
      </c>
      <c r="Q24" s="20">
        <v>0.71520576300891281</v>
      </c>
      <c r="R24" s="20">
        <v>0.35666767724615828</v>
      </c>
      <c r="S24" s="20">
        <v>0.18745712416619478</v>
      </c>
      <c r="T24" s="30">
        <v>0.95375189161516738</v>
      </c>
    </row>
    <row r="25" spans="2:65" ht="15" thickBot="1" x14ac:dyDescent="0.35">
      <c r="B25" s="21" t="s">
        <v>46</v>
      </c>
      <c r="C25" s="3">
        <f t="shared" ref="C25:I25" si="13">C20*C$7</f>
        <v>3.823847297821744E-2</v>
      </c>
      <c r="D25" s="3">
        <f t="shared" si="13"/>
        <v>2.0192182691741393E-2</v>
      </c>
      <c r="E25" s="3">
        <f t="shared" si="13"/>
        <v>1.9777359687220084E-2</v>
      </c>
      <c r="F25" s="3">
        <f t="shared" si="13"/>
        <v>3.8039134806817643E-2</v>
      </c>
      <c r="G25" s="3">
        <f t="shared" si="13"/>
        <v>3.9749260886991544E-2</v>
      </c>
      <c r="H25" s="3">
        <f t="shared" si="13"/>
        <v>2.1461455872666031E-2</v>
      </c>
      <c r="I25" s="3">
        <f t="shared" si="13"/>
        <v>0.33064108154387328</v>
      </c>
      <c r="J25" s="3"/>
      <c r="K25" s="3"/>
      <c r="L25" s="3"/>
      <c r="M25" s="34" t="s">
        <v>53</v>
      </c>
      <c r="N25" s="29">
        <v>0.60984452959437596</v>
      </c>
      <c r="O25" s="29">
        <v>0.50312897692398872</v>
      </c>
      <c r="P25" s="29">
        <v>0.50932283985537607</v>
      </c>
      <c r="Q25" s="29">
        <v>0.54593555572628205</v>
      </c>
      <c r="R25" s="29">
        <v>0.39502073963456064</v>
      </c>
      <c r="S25" s="29">
        <v>0.90533721258449906</v>
      </c>
      <c r="T25" s="31">
        <v>0.57171471988226175</v>
      </c>
    </row>
    <row r="26" spans="2:65" x14ac:dyDescent="0.3">
      <c r="B26" s="1"/>
      <c r="C26" s="1"/>
      <c r="D26" s="1"/>
      <c r="E26" s="1"/>
      <c r="F26" s="1"/>
      <c r="G26" s="1"/>
      <c r="H26" s="1"/>
      <c r="I26" s="1"/>
      <c r="J26" s="1"/>
      <c r="K26" s="1"/>
      <c r="L26" s="1"/>
      <c r="N26" s="7">
        <f>N24-N23</f>
        <v>0.51760092411090441</v>
      </c>
      <c r="O26" s="7">
        <f t="shared" ref="O26:T26" si="14">O24-O23</f>
        <v>0.77599530666453631</v>
      </c>
      <c r="P26" s="3">
        <f t="shared" si="14"/>
        <v>0.25781161376058392</v>
      </c>
      <c r="Q26" s="7">
        <f t="shared" si="14"/>
        <v>0.57172657832386498</v>
      </c>
      <c r="R26" s="32">
        <f t="shared" si="14"/>
        <v>-0.26753428074875579</v>
      </c>
      <c r="S26" s="32">
        <f t="shared" si="14"/>
        <v>-2.6584224872342965E-2</v>
      </c>
      <c r="T26" s="7">
        <f t="shared" si="14"/>
        <v>0.93298172687945635</v>
      </c>
      <c r="U26" s="2"/>
    </row>
    <row r="27" spans="2:65" x14ac:dyDescent="0.3">
      <c r="B27" s="1" t="s">
        <v>3</v>
      </c>
      <c r="C27" s="3">
        <f>MIN(C23:C25)</f>
        <v>3.0637806586107683E-2</v>
      </c>
      <c r="D27" s="3">
        <f>MIN(D23:D25)</f>
        <v>1.7399142865381859E-2</v>
      </c>
      <c r="E27" s="3">
        <f>MIN(E23:E25)</f>
        <v>1.8453178648511238E-2</v>
      </c>
      <c r="F27" s="3">
        <f>MAX(F23:F25)</f>
        <v>4.0545028929773977E-2</v>
      </c>
      <c r="G27" s="3">
        <f t="shared" ref="G27" si="15">MIN(G23:G25)</f>
        <v>3.2246216680960935E-2</v>
      </c>
      <c r="H27" s="3">
        <f t="shared" ref="H27" si="16">MIN(H23:H25)</f>
        <v>2.1461455872666031E-2</v>
      </c>
      <c r="I27" s="3">
        <f>MAX(I23:I25)</f>
        <v>0.57889629437399426</v>
      </c>
      <c r="J27" s="3"/>
      <c r="K27" s="3"/>
      <c r="L27" s="3"/>
    </row>
    <row r="28" spans="2:65" x14ac:dyDescent="0.3">
      <c r="B28" s="1" t="s">
        <v>4</v>
      </c>
      <c r="C28" s="3">
        <f>MAX(C23:C25)</f>
        <v>4.5206066366482694E-2</v>
      </c>
      <c r="D28" s="3">
        <f>MAX(D23:D25)</f>
        <v>2.0192182691741393E-2</v>
      </c>
      <c r="E28" s="3">
        <f>MAX(E23:E25)</f>
        <v>1.9777359687220084E-2</v>
      </c>
      <c r="F28" s="3">
        <f>MIN(F23:F25)</f>
        <v>3.6790886054524324E-2</v>
      </c>
      <c r="G28" s="3">
        <f t="shared" ref="G28" si="17">MAX(G23:G25)</f>
        <v>4.2715596837067001E-2</v>
      </c>
      <c r="H28" s="3">
        <f t="shared" ref="H28" si="18">MAX(H23:H25)</f>
        <v>4.7365270078884227E-2</v>
      </c>
      <c r="I28" s="3">
        <f>MIN(I23:I25)</f>
        <v>0</v>
      </c>
      <c r="J28" s="3"/>
      <c r="K28" s="3"/>
      <c r="L28" s="3"/>
      <c r="AJ28" s="1" t="s">
        <v>13</v>
      </c>
      <c r="AK28" s="1" t="s">
        <v>14</v>
      </c>
      <c r="AL28" s="1" t="s">
        <v>15</v>
      </c>
      <c r="AM28" s="1" t="s">
        <v>16</v>
      </c>
      <c r="AN28" s="1" t="s">
        <v>17</v>
      </c>
      <c r="AO28" s="1" t="s">
        <v>19</v>
      </c>
      <c r="AP28" s="1" t="s">
        <v>20</v>
      </c>
      <c r="AQ28" s="1" t="s">
        <v>25</v>
      </c>
      <c r="AR28" s="1" t="s">
        <v>23</v>
      </c>
      <c r="AS28" s="1" t="s">
        <v>24</v>
      </c>
    </row>
    <row r="29" spans="2:65" x14ac:dyDescent="0.3">
      <c r="AJ29" s="3">
        <f>AVERAGE(AJ6:AL6)</f>
        <v>0.10439372693560238</v>
      </c>
      <c r="AK29" s="3">
        <f>AVERAGE(AM6:AO6)</f>
        <v>0.32119106046767065</v>
      </c>
      <c r="AL29" s="3">
        <f>AVERAGE(AP6:AR6)</f>
        <v>0.18432881460542602</v>
      </c>
      <c r="AM29" s="3">
        <f>AVERAGE(AS6:AU6)</f>
        <v>0.22970168376709024</v>
      </c>
      <c r="AN29" s="3">
        <f>AVERAGE(AV6:AX6)</f>
        <v>0.2297161591865767</v>
      </c>
      <c r="AO29" s="3">
        <f>AVERAGE(AY6:BA6)</f>
        <v>0.31933192276795064</v>
      </c>
      <c r="AP29" s="3">
        <f>AVERAGE(BB6:BD6)</f>
        <v>0.33541192047143414</v>
      </c>
      <c r="AQ29" s="3">
        <f>AVERAGE(BE6:BG6)</f>
        <v>0.35542486617984598</v>
      </c>
      <c r="AR29" s="3">
        <f>AVERAGE(BH6:BJ6)</f>
        <v>0.33333333333333331</v>
      </c>
      <c r="AS29" s="3">
        <f>AVERAGE(BK6:BM6)</f>
        <v>0.33344880507356206</v>
      </c>
    </row>
    <row r="30" spans="2:65" x14ac:dyDescent="0.3">
      <c r="AJ30" s="3">
        <f>AVERAGE(AJ7:AL7)</f>
        <v>3.7825981088746276E-2</v>
      </c>
      <c r="AK30" s="3">
        <f t="shared" ref="AK30:AK31" si="19">AVERAGE(AM7:AO7)</f>
        <v>0.32649715540636137</v>
      </c>
      <c r="AL30" s="3">
        <f t="shared" ref="AL30:AL31" si="20">AVERAGE(AP7:AR7)</f>
        <v>0.29527108112242878</v>
      </c>
      <c r="AM30" s="3">
        <f t="shared" ref="AM30:AM31" si="21">AVERAGE(AS7:AU7)</f>
        <v>0.27309084431347141</v>
      </c>
      <c r="AN30" s="3">
        <f t="shared" ref="AN30:AN31" si="22">AVERAGE(AV7:AX7)</f>
        <v>0.27310269771721168</v>
      </c>
      <c r="AO30" s="3">
        <f t="shared" ref="AO30:AO31" si="23">AVERAGE(AY7:BA7)</f>
        <v>0.32870931616219562</v>
      </c>
      <c r="AP30" s="3">
        <f t="shared" ref="AP30:AP31" si="24">AVERAGE(BB7:BD7)</f>
        <v>0.31050533229736194</v>
      </c>
      <c r="AQ30" s="3">
        <f t="shared" ref="AQ30:AQ31" si="25">AVERAGE(BE7:BG7)</f>
        <v>0.32736764148494052</v>
      </c>
      <c r="AR30" s="3">
        <f t="shared" ref="AR30:AR31" si="26">AVERAGE(BH7:BJ7)</f>
        <v>0.33418648871214135</v>
      </c>
      <c r="AS30" s="3">
        <f t="shared" ref="AS30:AS31" si="27">AVERAGE(BK7:BM7)</f>
        <v>0.33333333333333331</v>
      </c>
    </row>
    <row r="31" spans="2:65" x14ac:dyDescent="0.3">
      <c r="B31" t="s">
        <v>5</v>
      </c>
      <c r="C31" s="1" t="s">
        <v>0</v>
      </c>
      <c r="D31" s="1" t="s">
        <v>1</v>
      </c>
      <c r="E31" s="1" t="s">
        <v>26</v>
      </c>
      <c r="F31" s="1" t="s">
        <v>27</v>
      </c>
      <c r="G31" s="1" t="s">
        <v>28</v>
      </c>
      <c r="H31" s="1" t="s">
        <v>29</v>
      </c>
      <c r="I31" s="1" t="s">
        <v>30</v>
      </c>
      <c r="J31" s="1"/>
      <c r="K31" s="1"/>
      <c r="L31" s="1"/>
      <c r="AJ31" s="3">
        <f t="shared" ref="AJ31" si="28">AVERAGE(AJ8:AL8)</f>
        <v>0</v>
      </c>
      <c r="AK31" s="3">
        <f t="shared" si="19"/>
        <v>0.37414505458396952</v>
      </c>
      <c r="AL31" s="3">
        <f t="shared" si="20"/>
        <v>0.39344304005394215</v>
      </c>
      <c r="AM31" s="3">
        <f t="shared" si="21"/>
        <v>0.40290117684242599</v>
      </c>
      <c r="AN31" s="3">
        <f t="shared" si="22"/>
        <v>0.4029181803581689</v>
      </c>
      <c r="AO31" s="3">
        <f t="shared" si="23"/>
        <v>0.34135691905636967</v>
      </c>
      <c r="AP31" s="3">
        <f t="shared" si="24"/>
        <v>0.34189383372182264</v>
      </c>
      <c r="AQ31" s="3">
        <f t="shared" si="25"/>
        <v>0.30918375715761942</v>
      </c>
      <c r="AR31" s="3">
        <f t="shared" si="26"/>
        <v>0.33623432370550638</v>
      </c>
      <c r="AS31" s="3">
        <f t="shared" si="27"/>
        <v>0.33380051132099808</v>
      </c>
    </row>
    <row r="32" spans="2:65" x14ac:dyDescent="0.3">
      <c r="B32" s="21" t="s">
        <v>44</v>
      </c>
      <c r="C32" s="3">
        <f>C23-C$27</f>
        <v>1.4568259780375011E-2</v>
      </c>
      <c r="D32" s="3">
        <f t="shared" ref="D32:I32" si="29">D23-D$27</f>
        <v>0</v>
      </c>
      <c r="E32" s="3">
        <f t="shared" si="29"/>
        <v>0</v>
      </c>
      <c r="F32" s="3">
        <f t="shared" si="29"/>
        <v>-3.7541428752496525E-3</v>
      </c>
      <c r="G32" s="3">
        <f t="shared" si="29"/>
        <v>0</v>
      </c>
      <c r="H32" s="3">
        <f t="shared" si="29"/>
        <v>2.0256424545979524E-2</v>
      </c>
      <c r="I32" s="3">
        <f t="shared" si="29"/>
        <v>-0.57889629437399426</v>
      </c>
      <c r="J32" s="3"/>
      <c r="K32" s="3"/>
      <c r="L32" s="3"/>
    </row>
    <row r="33" spans="2:45" x14ac:dyDescent="0.3">
      <c r="B33" s="21" t="s">
        <v>45</v>
      </c>
      <c r="C33" s="3">
        <f>C24-C$27</f>
        <v>0</v>
      </c>
      <c r="D33" s="3">
        <f t="shared" ref="D33:I33" si="30">D24-D$27</f>
        <v>2.6172678219637258E-3</v>
      </c>
      <c r="E33" s="3">
        <f t="shared" si="30"/>
        <v>1.0262297788400029E-3</v>
      </c>
      <c r="F33" s="3">
        <f t="shared" si="30"/>
        <v>0</v>
      </c>
      <c r="G33" s="3">
        <f t="shared" si="30"/>
        <v>1.0469380156106066E-2</v>
      </c>
      <c r="H33" s="3">
        <f t="shared" si="30"/>
        <v>2.5903814206218196E-2</v>
      </c>
      <c r="I33" s="3">
        <f t="shared" si="30"/>
        <v>0</v>
      </c>
      <c r="J33" s="3"/>
      <c r="K33" s="3"/>
      <c r="L33" s="3"/>
    </row>
    <row r="34" spans="2:45" x14ac:dyDescent="0.3">
      <c r="B34" s="21" t="s">
        <v>46</v>
      </c>
      <c r="C34" s="3">
        <f>C25-C$27</f>
        <v>7.6006663921097568E-3</v>
      </c>
      <c r="D34" s="3">
        <f t="shared" ref="D34:I34" si="31">D25-D$27</f>
        <v>2.7930398263595335E-3</v>
      </c>
      <c r="E34" s="3">
        <f t="shared" si="31"/>
        <v>1.3241810387088458E-3</v>
      </c>
      <c r="F34" s="3">
        <f t="shared" si="31"/>
        <v>-2.5058941229563342E-3</v>
      </c>
      <c r="G34" s="3">
        <f t="shared" si="31"/>
        <v>7.5030442060306096E-3</v>
      </c>
      <c r="H34" s="3">
        <f t="shared" si="31"/>
        <v>0</v>
      </c>
      <c r="I34" s="3">
        <f t="shared" si="31"/>
        <v>-0.24825521283012097</v>
      </c>
      <c r="J34" s="3"/>
      <c r="K34" s="3"/>
      <c r="L34" s="3"/>
    </row>
    <row r="35" spans="2:45" x14ac:dyDescent="0.3">
      <c r="C35" s="1"/>
      <c r="D35" s="1"/>
      <c r="E35" s="1"/>
      <c r="F35" s="1"/>
      <c r="G35" s="1"/>
      <c r="H35" s="1"/>
      <c r="I35" s="1"/>
      <c r="J35" s="1"/>
      <c r="K35" s="1"/>
      <c r="L35" s="1"/>
    </row>
    <row r="36" spans="2:45" x14ac:dyDescent="0.3">
      <c r="C36" s="1"/>
      <c r="D36" s="1"/>
      <c r="E36" s="1"/>
      <c r="F36" s="1"/>
      <c r="G36" s="1"/>
      <c r="H36" s="1"/>
      <c r="I36" s="1"/>
      <c r="J36" s="1"/>
      <c r="K36" s="1"/>
      <c r="L36" s="1"/>
      <c r="AJ36" s="3">
        <f>AVERAGE(AJ13:AL13)</f>
        <v>5</v>
      </c>
      <c r="AK36" s="3">
        <f>AVERAGE(AM13:AO13)</f>
        <v>2.5</v>
      </c>
      <c r="AL36" s="3">
        <f>AVERAGE(AP13:AR13)</f>
        <v>2.5</v>
      </c>
      <c r="AM36" s="3">
        <f>AVERAGE(AS13:AU13)</f>
        <v>5</v>
      </c>
      <c r="AN36" s="3">
        <f>AVERAGE(AV13:AX13)</f>
        <v>5</v>
      </c>
      <c r="AO36" s="3">
        <f>AVERAGE(AY13:BA13)</f>
        <v>5</v>
      </c>
      <c r="AP36" s="3">
        <f>AVERAGE(BB13:BD13)</f>
        <v>5</v>
      </c>
      <c r="AQ36" s="3">
        <f>AVERAGE(BE13:BG13)</f>
        <v>2.5</v>
      </c>
      <c r="AR36" s="3">
        <f>AVERAGE(BH13:BJ13)</f>
        <v>2.5</v>
      </c>
      <c r="AS36" s="3">
        <f>AVERAGE(BK13:BM13)</f>
        <v>5</v>
      </c>
    </row>
    <row r="37" spans="2:45" x14ac:dyDescent="0.3">
      <c r="B37" t="s">
        <v>6</v>
      </c>
      <c r="C37" s="1" t="s">
        <v>0</v>
      </c>
      <c r="D37" s="1" t="s">
        <v>1</v>
      </c>
      <c r="E37" s="1" t="s">
        <v>26</v>
      </c>
      <c r="F37" s="1" t="s">
        <v>27</v>
      </c>
      <c r="G37" s="1" t="s">
        <v>28</v>
      </c>
      <c r="H37" s="1" t="s">
        <v>29</v>
      </c>
      <c r="I37" s="1" t="s">
        <v>30</v>
      </c>
      <c r="J37" s="1"/>
      <c r="K37" s="1"/>
      <c r="L37" s="1"/>
      <c r="AJ37" s="3">
        <f t="shared" ref="AJ37:AJ39" si="32">AVERAGE(AJ14:AL14)</f>
        <v>3</v>
      </c>
      <c r="AK37" s="3">
        <f t="shared" ref="AK37:AK39" si="33">AVERAGE(AM14:AO14)</f>
        <v>1.5</v>
      </c>
      <c r="AL37" s="3">
        <f t="shared" ref="AL37:AL39" si="34">AVERAGE(AP14:AR14)</f>
        <v>1.5</v>
      </c>
      <c r="AM37" s="3">
        <f t="shared" ref="AM37:AM39" si="35">AVERAGE(AS14:AU14)</f>
        <v>3</v>
      </c>
      <c r="AN37" s="3">
        <f t="shared" ref="AN37:AN39" si="36">AVERAGE(AV14:AX14)</f>
        <v>3</v>
      </c>
      <c r="AO37" s="3">
        <f t="shared" ref="AO37:AO39" si="37">AVERAGE(AY14:BA14)</f>
        <v>3</v>
      </c>
      <c r="AP37" s="3">
        <f t="shared" ref="AP37:AP39" si="38">AVERAGE(BB14:BD14)</f>
        <v>8.3333333333333339</v>
      </c>
      <c r="AQ37" s="3">
        <f t="shared" ref="AQ37:AQ39" si="39">AVERAGE(BE14:BG14)</f>
        <v>1.5</v>
      </c>
      <c r="AR37" s="3">
        <f t="shared" ref="AR37:AR39" si="40">AVERAGE(BH14:BJ14)</f>
        <v>1.5</v>
      </c>
      <c r="AS37" s="3">
        <f t="shared" ref="AS37:AS39" si="41">AVERAGE(BK14:BM14)</f>
        <v>8.3333333333333339</v>
      </c>
    </row>
    <row r="38" spans="2:45" x14ac:dyDescent="0.3">
      <c r="B38" s="21" t="s">
        <v>44</v>
      </c>
      <c r="C38" s="3">
        <f>C23-C$28</f>
        <v>0</v>
      </c>
      <c r="D38" s="3">
        <f t="shared" ref="D38:I38" si="42">D23-D$28</f>
        <v>-2.7930398263595335E-3</v>
      </c>
      <c r="E38" s="3">
        <f t="shared" si="42"/>
        <v>-1.3241810387088458E-3</v>
      </c>
      <c r="F38" s="3">
        <f t="shared" si="42"/>
        <v>0</v>
      </c>
      <c r="G38" s="3">
        <f t="shared" si="42"/>
        <v>-1.0469380156106066E-2</v>
      </c>
      <c r="H38" s="3">
        <f t="shared" si="42"/>
        <v>-5.6473896602386719E-3</v>
      </c>
      <c r="I38" s="3">
        <f t="shared" si="42"/>
        <v>0</v>
      </c>
      <c r="J38" s="3"/>
      <c r="K38" s="3"/>
      <c r="L38" s="3"/>
      <c r="AJ38" s="3">
        <f t="shared" si="32"/>
        <v>8.3333333333333339</v>
      </c>
      <c r="AK38" s="3">
        <f t="shared" si="33"/>
        <v>2.5</v>
      </c>
      <c r="AL38" s="3">
        <f t="shared" si="34"/>
        <v>2.5</v>
      </c>
      <c r="AM38" s="3">
        <f t="shared" si="35"/>
        <v>3</v>
      </c>
      <c r="AN38" s="3">
        <f t="shared" si="36"/>
        <v>3</v>
      </c>
      <c r="AO38" s="3">
        <f t="shared" si="37"/>
        <v>5</v>
      </c>
      <c r="AP38" s="3">
        <f t="shared" si="38"/>
        <v>3</v>
      </c>
      <c r="AQ38" s="3">
        <f t="shared" si="39"/>
        <v>1.5</v>
      </c>
      <c r="AR38" s="3">
        <f t="shared" si="40"/>
        <v>1.5</v>
      </c>
      <c r="AS38" s="3">
        <f t="shared" si="41"/>
        <v>3</v>
      </c>
    </row>
    <row r="39" spans="2:45" x14ac:dyDescent="0.3">
      <c r="B39" s="21" t="s">
        <v>45</v>
      </c>
      <c r="C39" s="3">
        <f>C24-C$28</f>
        <v>-1.4568259780375011E-2</v>
      </c>
      <c r="D39" s="3">
        <f t="shared" ref="D39:I39" si="43">D24-D$28</f>
        <v>-1.7577200439580776E-4</v>
      </c>
      <c r="E39" s="3">
        <f t="shared" si="43"/>
        <v>-2.9795125986884288E-4</v>
      </c>
      <c r="F39" s="3">
        <f t="shared" si="43"/>
        <v>3.7541428752496525E-3</v>
      </c>
      <c r="G39" s="3">
        <f t="shared" si="43"/>
        <v>0</v>
      </c>
      <c r="H39" s="3">
        <f t="shared" si="43"/>
        <v>0</v>
      </c>
      <c r="I39" s="3">
        <f t="shared" si="43"/>
        <v>0.57889629437399426</v>
      </c>
      <c r="J39" s="3"/>
      <c r="K39" s="3"/>
      <c r="L39" s="3"/>
      <c r="AJ39" s="3">
        <f t="shared" si="32"/>
        <v>8.3333333333333339</v>
      </c>
      <c r="AK39" s="3">
        <f t="shared" si="33"/>
        <v>1.5</v>
      </c>
      <c r="AL39" s="3">
        <f t="shared" si="34"/>
        <v>1.5</v>
      </c>
      <c r="AM39" s="3">
        <f t="shared" si="35"/>
        <v>3</v>
      </c>
      <c r="AN39" s="3">
        <f t="shared" si="36"/>
        <v>8.3333333333333339</v>
      </c>
      <c r="AO39" s="3">
        <f t="shared" si="37"/>
        <v>3</v>
      </c>
      <c r="AP39" s="3">
        <f t="shared" si="38"/>
        <v>5</v>
      </c>
      <c r="AQ39" s="3">
        <f t="shared" si="39"/>
        <v>1.5</v>
      </c>
      <c r="AR39" s="3">
        <f t="shared" si="40"/>
        <v>1.5</v>
      </c>
      <c r="AS39" s="3">
        <f t="shared" si="41"/>
        <v>3</v>
      </c>
    </row>
    <row r="40" spans="2:45" x14ac:dyDescent="0.3">
      <c r="B40" s="21" t="s">
        <v>46</v>
      </c>
      <c r="C40" s="3">
        <f>C25-C$28</f>
        <v>-6.9675933882652544E-3</v>
      </c>
      <c r="D40" s="3">
        <f t="shared" ref="D40:I40" si="44">D25-D$28</f>
        <v>0</v>
      </c>
      <c r="E40" s="3">
        <f t="shared" si="44"/>
        <v>0</v>
      </c>
      <c r="F40" s="3">
        <f t="shared" si="44"/>
        <v>1.2482487522933183E-3</v>
      </c>
      <c r="G40" s="3">
        <f t="shared" si="44"/>
        <v>-2.9663359500754563E-3</v>
      </c>
      <c r="H40" s="3">
        <f t="shared" si="44"/>
        <v>-2.5903814206218196E-2</v>
      </c>
      <c r="I40" s="3">
        <f t="shared" si="44"/>
        <v>0.33064108154387328</v>
      </c>
      <c r="J40" s="3"/>
      <c r="K40" s="3"/>
      <c r="L40" s="3"/>
    </row>
    <row r="43" spans="2:45" x14ac:dyDescent="0.3">
      <c r="B43" t="s">
        <v>7</v>
      </c>
    </row>
    <row r="44" spans="2:45" x14ac:dyDescent="0.3">
      <c r="B44" s="21" t="s">
        <v>44</v>
      </c>
      <c r="C44" s="3">
        <f>SQRT(C32^2+D32^2+E32^2+F32^2+G32^2+H32^2+I32^2)</f>
        <v>0.57944591650738675</v>
      </c>
    </row>
    <row r="45" spans="2:45" x14ac:dyDescent="0.3">
      <c r="B45" s="21" t="s">
        <v>45</v>
      </c>
      <c r="C45" s="3">
        <f>SQRT(C33^2+D33^2+E33^2+F33^2+G33^2+H33^2+I33^2)</f>
        <v>2.8080576021410314E-2</v>
      </c>
      <c r="AH45" s="11">
        <f>SUM(AJ45:AS45)</f>
        <v>1</v>
      </c>
      <c r="AJ45" s="3">
        <f>AJ36/SUM($AJ$36:$AS$36)</f>
        <v>0.125</v>
      </c>
      <c r="AK45" s="3">
        <f t="shared" ref="AK45:AS45" si="45">AK36/SUM($AJ$36:$AS$36)</f>
        <v>6.25E-2</v>
      </c>
      <c r="AL45" s="3">
        <f t="shared" si="45"/>
        <v>6.25E-2</v>
      </c>
      <c r="AM45" s="3">
        <f t="shared" si="45"/>
        <v>0.125</v>
      </c>
      <c r="AN45" s="3">
        <f t="shared" si="45"/>
        <v>0.125</v>
      </c>
      <c r="AO45" s="3">
        <f t="shared" si="45"/>
        <v>0.125</v>
      </c>
      <c r="AP45" s="3">
        <f t="shared" si="45"/>
        <v>0.125</v>
      </c>
      <c r="AQ45" s="3">
        <f t="shared" si="45"/>
        <v>6.25E-2</v>
      </c>
      <c r="AR45" s="3">
        <f t="shared" si="45"/>
        <v>6.25E-2</v>
      </c>
      <c r="AS45" s="3">
        <f t="shared" si="45"/>
        <v>0.125</v>
      </c>
    </row>
    <row r="46" spans="2:45" x14ac:dyDescent="0.3">
      <c r="B46" s="21" t="s">
        <v>46</v>
      </c>
      <c r="C46" s="3">
        <f>SQRT(C34^2+D34^2+E34^2+F34^2+G34^2+H34^2+I34^2)</f>
        <v>0.24851670070951132</v>
      </c>
      <c r="AH46" s="11">
        <f>SUM(AJ46:AS46)</f>
        <v>0.99999999999999978</v>
      </c>
      <c r="AJ46" s="3">
        <f>AJ37/SUM($AJ$37:$AS$37)</f>
        <v>8.6538461538461522E-2</v>
      </c>
      <c r="AK46" s="3">
        <f t="shared" ref="AK46:AS46" si="46">AK37/SUM($AJ$37:$AS$37)</f>
        <v>4.3269230769230761E-2</v>
      </c>
      <c r="AL46" s="3">
        <f t="shared" si="46"/>
        <v>4.3269230769230761E-2</v>
      </c>
      <c r="AM46" s="3">
        <f t="shared" si="46"/>
        <v>8.6538461538461522E-2</v>
      </c>
      <c r="AN46" s="3">
        <f t="shared" si="46"/>
        <v>8.6538461538461522E-2</v>
      </c>
      <c r="AO46" s="3">
        <f t="shared" si="46"/>
        <v>8.6538461538461522E-2</v>
      </c>
      <c r="AP46" s="3">
        <f t="shared" si="46"/>
        <v>0.24038461538461536</v>
      </c>
      <c r="AQ46" s="3">
        <f t="shared" si="46"/>
        <v>4.3269230769230761E-2</v>
      </c>
      <c r="AR46" s="3">
        <f t="shared" si="46"/>
        <v>4.3269230769230761E-2</v>
      </c>
      <c r="AS46" s="3">
        <f t="shared" si="46"/>
        <v>0.24038461538461536</v>
      </c>
    </row>
    <row r="47" spans="2:45" x14ac:dyDescent="0.3">
      <c r="C47" s="3"/>
      <c r="AH47" s="11">
        <f>SUM(AJ47:AS47)</f>
        <v>1</v>
      </c>
      <c r="AJ47" s="3">
        <f>AJ38/SUM($AJ$38:$AS$38)</f>
        <v>0.25</v>
      </c>
      <c r="AK47" s="3">
        <f t="shared" ref="AK47:AS47" si="47">AK38/SUM($AJ$38:$AS$38)</f>
        <v>7.4999999999999997E-2</v>
      </c>
      <c r="AL47" s="3">
        <f t="shared" si="47"/>
        <v>7.4999999999999997E-2</v>
      </c>
      <c r="AM47" s="3">
        <f t="shared" si="47"/>
        <v>0.09</v>
      </c>
      <c r="AN47" s="3">
        <f t="shared" si="47"/>
        <v>0.09</v>
      </c>
      <c r="AO47" s="3">
        <f t="shared" si="47"/>
        <v>0.15</v>
      </c>
      <c r="AP47" s="3">
        <f t="shared" si="47"/>
        <v>0.09</v>
      </c>
      <c r="AQ47" s="3">
        <f t="shared" si="47"/>
        <v>4.4999999999999998E-2</v>
      </c>
      <c r="AR47" s="3">
        <f t="shared" si="47"/>
        <v>4.4999999999999998E-2</v>
      </c>
      <c r="AS47" s="3">
        <f t="shared" si="47"/>
        <v>0.09</v>
      </c>
    </row>
    <row r="48" spans="2:45" x14ac:dyDescent="0.3">
      <c r="C48" s="3"/>
      <c r="AH48" s="11">
        <f>SUM(AJ48:AS48)</f>
        <v>0.99999999999999989</v>
      </c>
      <c r="AJ48" s="3">
        <f>AJ39/SUM($AJ$39:$AS$39)</f>
        <v>0.22727272727272727</v>
      </c>
      <c r="AK48" s="3">
        <f t="shared" ref="AK48:AS48" si="48">AK39/SUM($AJ$39:$AS$39)</f>
        <v>4.0909090909090902E-2</v>
      </c>
      <c r="AL48" s="3">
        <f t="shared" si="48"/>
        <v>4.0909090909090902E-2</v>
      </c>
      <c r="AM48" s="3">
        <f t="shared" si="48"/>
        <v>8.1818181818181804E-2</v>
      </c>
      <c r="AN48" s="3">
        <f t="shared" si="48"/>
        <v>0.22727272727272727</v>
      </c>
      <c r="AO48" s="3">
        <f t="shared" si="48"/>
        <v>8.1818181818181804E-2</v>
      </c>
      <c r="AP48" s="3">
        <f t="shared" si="48"/>
        <v>0.13636363636363635</v>
      </c>
      <c r="AQ48" s="3">
        <f t="shared" si="48"/>
        <v>4.0909090909090902E-2</v>
      </c>
      <c r="AR48" s="3">
        <f t="shared" si="48"/>
        <v>4.0909090909090902E-2</v>
      </c>
      <c r="AS48" s="3">
        <f t="shared" si="48"/>
        <v>8.1818181818181804E-2</v>
      </c>
    </row>
    <row r="49" spans="2:3" x14ac:dyDescent="0.3">
      <c r="B49" t="s">
        <v>11</v>
      </c>
      <c r="C49" s="3"/>
    </row>
    <row r="50" spans="2:3" x14ac:dyDescent="0.3">
      <c r="B50" s="21" t="s">
        <v>44</v>
      </c>
      <c r="C50" s="3">
        <f>SQRT(C38^2+D38^2+E38^2+F38^2+G38^2+H38^2+I38^2)</f>
        <v>1.229046206302044E-2</v>
      </c>
    </row>
    <row r="51" spans="2:3" x14ac:dyDescent="0.3">
      <c r="B51" s="21" t="s">
        <v>45</v>
      </c>
      <c r="C51" s="3">
        <f>SQRT(C39^2+D39^2+E39^2+F39^2+G39^2+H39^2+I39^2)</f>
        <v>0.5790918468537174</v>
      </c>
    </row>
    <row r="52" spans="2:3" x14ac:dyDescent="0.3">
      <c r="B52" s="21" t="s">
        <v>46</v>
      </c>
      <c r="C52" s="3">
        <f>SQRT(C40^2+D40^2+E40^2+F40^2+G40^2+H40^2+I40^2)</f>
        <v>0.33174302860267169</v>
      </c>
    </row>
    <row r="54" spans="2:3" x14ac:dyDescent="0.3">
      <c r="B54" t="s">
        <v>12</v>
      </c>
    </row>
    <row r="55" spans="2:3" x14ac:dyDescent="0.3">
      <c r="B55" s="21" t="s">
        <v>44</v>
      </c>
      <c r="C55" s="3">
        <f>C50/(C44+C50)</f>
        <v>2.0770164735711059E-2</v>
      </c>
    </row>
    <row r="56" spans="2:3" x14ac:dyDescent="0.3">
      <c r="B56" s="21" t="s">
        <v>45</v>
      </c>
      <c r="C56" s="3">
        <f>C51/(C45+C51)</f>
        <v>0.95375189161516738</v>
      </c>
    </row>
    <row r="57" spans="2:3" x14ac:dyDescent="0.3">
      <c r="B57" s="21" t="s">
        <v>46</v>
      </c>
      <c r="C57" s="3">
        <f>C52/(C46+C52)</f>
        <v>0.57171471988226175</v>
      </c>
    </row>
  </sheetData>
  <mergeCells count="21">
    <mergeCell ref="AY5:BA5"/>
    <mergeCell ref="BB5:BD5"/>
    <mergeCell ref="BE5:BG5"/>
    <mergeCell ref="BH5:BJ5"/>
    <mergeCell ref="BK5:BM5"/>
    <mergeCell ref="AJ5:AL5"/>
    <mergeCell ref="AM5:AO5"/>
    <mergeCell ref="AP5:AR5"/>
    <mergeCell ref="AS5:AU5"/>
    <mergeCell ref="AV5:AX5"/>
    <mergeCell ref="BT1:BV1"/>
    <mergeCell ref="B1:D1"/>
    <mergeCell ref="AF1:AH1"/>
    <mergeCell ref="AK1:AM1"/>
    <mergeCell ref="AP1:AR1"/>
    <mergeCell ref="AU1:AW1"/>
    <mergeCell ref="M1:T1"/>
    <mergeCell ref="AZ1:BB1"/>
    <mergeCell ref="BE1:BG1"/>
    <mergeCell ref="BJ1:BL1"/>
    <mergeCell ref="BO1:BQ1"/>
  </mergeCells>
  <phoneticPr fontId="6" type="noConversion"/>
  <conditionalFormatting sqref="C55:C57">
    <cfRule type="colorScale" priority="12">
      <colorScale>
        <cfvo type="min"/>
        <cfvo type="percentile" val="50"/>
        <cfvo type="max"/>
        <color rgb="FFF8696B"/>
        <color rgb="FFFFEB84"/>
        <color rgb="FF63BE7B"/>
      </colorScale>
    </cfRule>
  </conditionalFormatting>
  <conditionalFormatting sqref="AG55:AG57">
    <cfRule type="colorScale" priority="10">
      <colorScale>
        <cfvo type="min"/>
        <cfvo type="percentile" val="50"/>
        <cfvo type="max"/>
        <color rgb="FFF8696B"/>
        <color rgb="FFFFEB84"/>
        <color rgb="FF63BE7B"/>
      </colorScale>
    </cfRule>
  </conditionalFormatting>
  <conditionalFormatting sqref="AL55:AL57">
    <cfRule type="colorScale" priority="8">
      <colorScale>
        <cfvo type="min"/>
        <cfvo type="percentile" val="50"/>
        <cfvo type="max"/>
        <color rgb="FFF8696B"/>
        <color rgb="FFFFEB84"/>
        <color rgb="FF63BE7B"/>
      </colorScale>
    </cfRule>
  </conditionalFormatting>
  <conditionalFormatting sqref="AQ55:AQ57">
    <cfRule type="colorScale" priority="7">
      <colorScale>
        <cfvo type="min"/>
        <cfvo type="percentile" val="50"/>
        <cfvo type="max"/>
        <color rgb="FFF8696B"/>
        <color rgb="FFFFEB84"/>
        <color rgb="FF63BE7B"/>
      </colorScale>
    </cfRule>
  </conditionalFormatting>
  <conditionalFormatting sqref="AV55:AV57">
    <cfRule type="colorScale" priority="6">
      <colorScale>
        <cfvo type="min"/>
        <cfvo type="percentile" val="50"/>
        <cfvo type="max"/>
        <color rgb="FFF8696B"/>
        <color rgb="FFFFEB84"/>
        <color rgb="FF63BE7B"/>
      </colorScale>
    </cfRule>
  </conditionalFormatting>
  <conditionalFormatting sqref="BA55:BA57">
    <cfRule type="colorScale" priority="5">
      <colorScale>
        <cfvo type="min"/>
        <cfvo type="percentile" val="50"/>
        <cfvo type="max"/>
        <color rgb="FFF8696B"/>
        <color rgb="FFFFEB84"/>
        <color rgb="FF63BE7B"/>
      </colorScale>
    </cfRule>
  </conditionalFormatting>
  <conditionalFormatting sqref="BF55:BF57">
    <cfRule type="colorScale" priority="4">
      <colorScale>
        <cfvo type="min"/>
        <cfvo type="percentile" val="50"/>
        <cfvo type="max"/>
        <color rgb="FFF8696B"/>
        <color rgb="FFFFEB84"/>
        <color rgb="FF63BE7B"/>
      </colorScale>
    </cfRule>
  </conditionalFormatting>
  <conditionalFormatting sqref="BK55:BK57">
    <cfRule type="colorScale" priority="3">
      <colorScale>
        <cfvo type="min"/>
        <cfvo type="percentile" val="50"/>
        <cfvo type="max"/>
        <color rgb="FFF8696B"/>
        <color rgb="FFFFEB84"/>
        <color rgb="FF63BE7B"/>
      </colorScale>
    </cfRule>
  </conditionalFormatting>
  <conditionalFormatting sqref="BP55:BP57">
    <cfRule type="colorScale" priority="2">
      <colorScale>
        <cfvo type="min"/>
        <cfvo type="percentile" val="50"/>
        <cfvo type="max"/>
        <color rgb="FFF8696B"/>
        <color rgb="FFFFEB84"/>
        <color rgb="FF63BE7B"/>
      </colorScale>
    </cfRule>
  </conditionalFormatting>
  <conditionalFormatting sqref="BU55:BU5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6789-2A5A-4D94-9DF2-3EE125DEB738}">
  <dimension ref="B1:BV57"/>
  <sheetViews>
    <sheetView zoomScale="85" zoomScaleNormal="85" workbookViewId="0">
      <selection activeCell="A31" sqref="A31"/>
    </sheetView>
  </sheetViews>
  <sheetFormatPr defaultColWidth="4.44140625" defaultRowHeight="14.4" x14ac:dyDescent="0.3"/>
  <cols>
    <col min="2" max="2" width="25" bestFit="1" customWidth="1"/>
    <col min="3" max="3" width="19.5546875" bestFit="1" customWidth="1"/>
    <col min="4" max="4" width="18.6640625" bestFit="1" customWidth="1"/>
    <col min="5" max="5" width="14" bestFit="1" customWidth="1"/>
    <col min="6" max="6" width="25.33203125" bestFit="1" customWidth="1"/>
    <col min="7" max="7" width="14.88671875" bestFit="1" customWidth="1"/>
    <col min="8" max="8" width="20.88671875" bestFit="1" customWidth="1"/>
    <col min="9" max="9" width="5.33203125" bestFit="1" customWidth="1"/>
    <col min="13" max="13" width="36.33203125" bestFit="1" customWidth="1"/>
    <col min="14" max="14" width="8.6640625" bestFit="1" customWidth="1"/>
    <col min="15" max="15" width="14.6640625" bestFit="1" customWidth="1"/>
    <col min="16" max="16" width="15.6640625" bestFit="1" customWidth="1"/>
    <col min="17" max="17" width="21.6640625" bestFit="1" customWidth="1"/>
    <col min="18" max="18" width="21.44140625" bestFit="1" customWidth="1"/>
    <col min="19" max="19" width="20.44140625" bestFit="1" customWidth="1"/>
    <col min="20" max="20" width="24" bestFit="1" customWidth="1"/>
    <col min="21" max="21" width="11.5546875" bestFit="1" customWidth="1"/>
    <col min="34" max="34" width="4.5546875" bestFit="1" customWidth="1"/>
    <col min="36" max="36" width="17.44140625" bestFit="1" customWidth="1"/>
    <col min="37" max="37" width="13.33203125" bestFit="1" customWidth="1"/>
    <col min="38" max="38" width="18.88671875" bestFit="1" customWidth="1"/>
    <col min="39" max="39" width="21.6640625" bestFit="1" customWidth="1"/>
    <col min="40" max="40" width="13.33203125" bestFit="1" customWidth="1"/>
    <col min="41" max="41" width="24.5546875" bestFit="1" customWidth="1"/>
    <col min="42" max="42" width="9.88671875" bestFit="1" customWidth="1"/>
    <col min="43" max="43" width="18.33203125" bestFit="1" customWidth="1"/>
    <col min="44" max="44" width="23.6640625" bestFit="1" customWidth="1"/>
    <col min="45" max="65" width="4.5546875" bestFit="1" customWidth="1"/>
  </cols>
  <sheetData>
    <row r="1" spans="2:74" ht="15" thickBot="1" x14ac:dyDescent="0.35">
      <c r="B1" s="130"/>
      <c r="C1" s="130"/>
      <c r="D1" s="130"/>
      <c r="M1" s="131" t="s">
        <v>40</v>
      </c>
      <c r="N1" s="132"/>
      <c r="O1" s="132"/>
      <c r="P1" s="132"/>
      <c r="Q1" s="132"/>
      <c r="R1" s="132"/>
      <c r="S1" s="132"/>
      <c r="T1" s="133"/>
      <c r="AF1" s="130"/>
      <c r="AG1" s="130"/>
      <c r="AH1" s="130"/>
      <c r="AK1" s="130"/>
      <c r="AL1" s="130"/>
      <c r="AM1" s="130"/>
      <c r="AP1" s="130"/>
      <c r="AQ1" s="130"/>
      <c r="AR1" s="130"/>
      <c r="AU1" s="130"/>
      <c r="AV1" s="130"/>
      <c r="AW1" s="130"/>
      <c r="AZ1" s="130"/>
      <c r="BA1" s="130"/>
      <c r="BB1" s="130"/>
      <c r="BE1" s="130"/>
      <c r="BF1" s="130"/>
      <c r="BG1" s="130"/>
      <c r="BJ1" s="130"/>
      <c r="BK1" s="130"/>
      <c r="BL1" s="130"/>
      <c r="BO1" s="130"/>
      <c r="BP1" s="130"/>
      <c r="BQ1" s="130"/>
      <c r="BT1" s="130"/>
      <c r="BU1" s="130"/>
      <c r="BV1" s="130"/>
    </row>
    <row r="2" spans="2:74" x14ac:dyDescent="0.3">
      <c r="B2" s="1"/>
      <c r="C2" s="21" t="s">
        <v>41</v>
      </c>
      <c r="D2" s="21" t="s">
        <v>37</v>
      </c>
      <c r="E2" s="21" t="s">
        <v>38</v>
      </c>
      <c r="F2" s="21" t="s">
        <v>42</v>
      </c>
      <c r="G2" s="21" t="s">
        <v>17</v>
      </c>
      <c r="H2" s="21" t="s">
        <v>43</v>
      </c>
      <c r="I2" s="21" t="s">
        <v>24</v>
      </c>
      <c r="J2" s="1"/>
      <c r="K2" s="1"/>
      <c r="L2" s="1"/>
      <c r="M2" s="14" t="s">
        <v>56</v>
      </c>
      <c r="N2" s="39">
        <v>0.14285714285714282</v>
      </c>
      <c r="O2" s="39">
        <v>0.14285714285714282</v>
      </c>
      <c r="P2" s="40">
        <v>0.14285714285714282</v>
      </c>
      <c r="Q2" s="39">
        <v>0.14285714285714282</v>
      </c>
      <c r="R2" s="40">
        <v>0.14285714285714282</v>
      </c>
      <c r="S2" s="40">
        <v>0.14285714285714282</v>
      </c>
      <c r="T2" s="39">
        <v>0.14285714285714282</v>
      </c>
      <c r="U2" s="3"/>
      <c r="V2" s="3"/>
      <c r="W2" s="3"/>
    </row>
    <row r="3" spans="2:74" x14ac:dyDescent="0.3">
      <c r="B3" s="21" t="s">
        <v>44</v>
      </c>
      <c r="C3" s="20">
        <v>3183.4141458890263</v>
      </c>
      <c r="D3" s="20">
        <v>234412.22386008853</v>
      </c>
      <c r="E3" s="20">
        <v>902.85391987420633</v>
      </c>
      <c r="F3" s="20">
        <v>43.370138999999995</v>
      </c>
      <c r="G3" s="20">
        <v>14799.165421845959</v>
      </c>
      <c r="H3" s="20">
        <v>13267.188218752352</v>
      </c>
      <c r="I3" s="20">
        <v>0</v>
      </c>
      <c r="J3" s="3"/>
      <c r="K3" s="3"/>
      <c r="L3" s="3"/>
      <c r="M3" s="15" t="s">
        <v>54</v>
      </c>
      <c r="N3" s="39">
        <v>0.36466894450087722</v>
      </c>
      <c r="O3" s="39">
        <v>0.15516976021177703</v>
      </c>
      <c r="P3" s="40">
        <v>5.6607258287930562E-2</v>
      </c>
      <c r="Q3" s="39">
        <v>0.15516976021177703</v>
      </c>
      <c r="R3" s="40">
        <v>5.6607258287930562E-2</v>
      </c>
      <c r="S3" s="40">
        <v>5.6607258287930562E-2</v>
      </c>
      <c r="T3" s="39">
        <v>0.15516976021177703</v>
      </c>
      <c r="U3" s="3"/>
      <c r="V3" s="3"/>
      <c r="W3" s="3"/>
    </row>
    <row r="4" spans="2:74" x14ac:dyDescent="0.3">
      <c r="B4" s="21" t="s">
        <v>45</v>
      </c>
      <c r="C4" s="20">
        <v>2157.5163407170794</v>
      </c>
      <c r="D4" s="20">
        <v>269673.70629809151</v>
      </c>
      <c r="E4" s="20">
        <v>953.06400000000019</v>
      </c>
      <c r="F4" s="20">
        <v>47.795628999999998</v>
      </c>
      <c r="G4" s="20">
        <v>19604.010912011163</v>
      </c>
      <c r="H4" s="20">
        <v>15063.180268567401</v>
      </c>
      <c r="I4" s="20">
        <v>0.56280780825182819</v>
      </c>
      <c r="J4" s="3"/>
      <c r="K4" s="3"/>
      <c r="L4" s="3"/>
      <c r="M4" s="15" t="s">
        <v>92</v>
      </c>
      <c r="N4" s="39">
        <v>0.15516976021177703</v>
      </c>
      <c r="O4" s="39">
        <v>0.36466894450087722</v>
      </c>
      <c r="P4" s="40">
        <v>5.6607258287930562E-2</v>
      </c>
      <c r="Q4" s="39">
        <v>0.15516976021177703</v>
      </c>
      <c r="R4" s="40">
        <v>5.6607258287930562E-2</v>
      </c>
      <c r="S4" s="40">
        <v>5.6607258287930562E-2</v>
      </c>
      <c r="T4" s="39">
        <v>0.15516976021177703</v>
      </c>
      <c r="U4" s="3"/>
      <c r="V4" s="3"/>
      <c r="W4" s="3"/>
    </row>
    <row r="5" spans="2:74" x14ac:dyDescent="0.3">
      <c r="B5" s="21" t="s">
        <v>46</v>
      </c>
      <c r="C5" s="20">
        <v>2692.7557644410881</v>
      </c>
      <c r="D5" s="20">
        <v>272041.81757584569</v>
      </c>
      <c r="E5" s="20">
        <v>967.64178456644106</v>
      </c>
      <c r="F5" s="20">
        <v>44.841610000000017</v>
      </c>
      <c r="G5" s="20">
        <v>18242.6327120112</v>
      </c>
      <c r="H5" s="20">
        <v>6825.2071211136717</v>
      </c>
      <c r="I5" s="20">
        <v>0.3214520186607035</v>
      </c>
      <c r="J5" s="3"/>
      <c r="K5" s="3"/>
      <c r="L5" s="3"/>
      <c r="M5" s="15" t="s">
        <v>94</v>
      </c>
      <c r="N5" s="39">
        <v>6.4715843663212078E-2</v>
      </c>
      <c r="O5" s="39">
        <v>6.4715843663212078E-2</v>
      </c>
      <c r="P5" s="40">
        <v>0.38372959425591008</v>
      </c>
      <c r="Q5" s="39">
        <v>6.4715843663212078E-2</v>
      </c>
      <c r="R5" s="40">
        <v>0.17870351554562083</v>
      </c>
      <c r="S5" s="40">
        <v>0.17870351554562083</v>
      </c>
      <c r="T5" s="39">
        <v>6.4715843663212078E-2</v>
      </c>
      <c r="U5" s="3"/>
      <c r="V5" s="3"/>
      <c r="W5" s="3"/>
      <c r="AJ5" s="134" t="s">
        <v>13</v>
      </c>
      <c r="AK5" s="134"/>
      <c r="AL5" s="134"/>
      <c r="AM5" s="135" t="s">
        <v>14</v>
      </c>
      <c r="AN5" s="135"/>
      <c r="AO5" s="135"/>
      <c r="AP5" s="135" t="s">
        <v>15</v>
      </c>
      <c r="AQ5" s="135"/>
      <c r="AR5" s="135"/>
      <c r="AS5" s="135" t="s">
        <v>16</v>
      </c>
      <c r="AT5" s="135"/>
      <c r="AU5" s="135"/>
      <c r="AV5" s="135" t="s">
        <v>17</v>
      </c>
      <c r="AW5" s="135"/>
      <c r="AX5" s="135" t="s">
        <v>18</v>
      </c>
      <c r="AY5" s="135" t="s">
        <v>19</v>
      </c>
      <c r="AZ5" s="135"/>
      <c r="BA5" s="135"/>
      <c r="BB5" s="135" t="s">
        <v>20</v>
      </c>
      <c r="BC5" s="135" t="s">
        <v>21</v>
      </c>
      <c r="BD5" s="135"/>
      <c r="BE5" s="135" t="s">
        <v>22</v>
      </c>
      <c r="BF5" s="135"/>
      <c r="BG5" s="135"/>
      <c r="BH5" s="135" t="s">
        <v>23</v>
      </c>
      <c r="BI5" s="135"/>
      <c r="BJ5" s="135"/>
      <c r="BK5" s="135" t="s">
        <v>24</v>
      </c>
      <c r="BL5" s="135"/>
      <c r="BM5" s="135"/>
    </row>
    <row r="6" spans="2:74" x14ac:dyDescent="0.3">
      <c r="M6" s="15" t="s">
        <v>50</v>
      </c>
      <c r="N6" s="39">
        <v>0.15516976021177703</v>
      </c>
      <c r="O6" s="39">
        <v>0.15516976021177703</v>
      </c>
      <c r="P6" s="40">
        <v>5.6607258287930562E-2</v>
      </c>
      <c r="Q6" s="39">
        <v>0.36466894450087722</v>
      </c>
      <c r="R6" s="40">
        <v>5.6607258287930562E-2</v>
      </c>
      <c r="S6" s="40">
        <v>5.6607258287930562E-2</v>
      </c>
      <c r="T6" s="39">
        <v>0.15516976021177703</v>
      </c>
      <c r="AJ6" s="7">
        <v>-0.78401297875392606</v>
      </c>
      <c r="AK6" s="7">
        <v>9.7194159560733212E-2</v>
      </c>
      <c r="AL6" s="7">
        <v>1</v>
      </c>
      <c r="AM6" s="8">
        <v>0</v>
      </c>
      <c r="AN6" s="8">
        <v>0</v>
      </c>
      <c r="AO6" s="8">
        <v>0.96357318140301196</v>
      </c>
      <c r="AP6" s="9">
        <v>0</v>
      </c>
      <c r="AQ6" s="9">
        <v>0</v>
      </c>
      <c r="AR6" s="9">
        <v>0.55298644381627804</v>
      </c>
      <c r="AS6" s="8">
        <v>0</v>
      </c>
      <c r="AT6" s="8">
        <v>0</v>
      </c>
      <c r="AU6" s="8">
        <v>0.68910505130127075</v>
      </c>
      <c r="AV6" s="3">
        <v>0</v>
      </c>
      <c r="AW6" s="3">
        <v>0</v>
      </c>
      <c r="AX6" s="3">
        <v>0.68914847755973008</v>
      </c>
      <c r="AY6" s="10">
        <v>0</v>
      </c>
      <c r="AZ6" s="10">
        <v>0</v>
      </c>
      <c r="BA6" s="10">
        <v>0.95799576830385191</v>
      </c>
      <c r="BB6" s="3">
        <v>0</v>
      </c>
      <c r="BC6" s="3">
        <v>6.2357614143024433E-3</v>
      </c>
      <c r="BD6" s="3">
        <v>1</v>
      </c>
      <c r="BE6" s="3">
        <v>0</v>
      </c>
      <c r="BF6" s="3">
        <v>6.6274598539537918E-2</v>
      </c>
      <c r="BG6" s="3">
        <v>1</v>
      </c>
      <c r="BH6" s="3">
        <v>0</v>
      </c>
      <c r="BI6" s="3">
        <v>0</v>
      </c>
      <c r="BJ6" s="3">
        <v>1</v>
      </c>
      <c r="BK6" s="3">
        <v>0</v>
      </c>
      <c r="BL6" s="3">
        <v>3.4641522068614935E-4</v>
      </c>
      <c r="BM6" s="3">
        <v>1</v>
      </c>
    </row>
    <row r="7" spans="2:74" x14ac:dyDescent="0.3">
      <c r="B7" s="1" t="s">
        <v>48</v>
      </c>
      <c r="C7" s="3">
        <v>0.15516976021177703</v>
      </c>
      <c r="D7" s="3">
        <v>0.15516976021177703</v>
      </c>
      <c r="E7" s="3">
        <v>5.6607258287930562E-2</v>
      </c>
      <c r="F7" s="3">
        <v>0.15516976021177703</v>
      </c>
      <c r="G7" s="3">
        <v>5.6607258287930562E-2</v>
      </c>
      <c r="H7" s="3">
        <v>5.6607258287930562E-2</v>
      </c>
      <c r="I7" s="3">
        <v>0.36466894450087722</v>
      </c>
      <c r="J7" s="3"/>
      <c r="K7" s="3"/>
      <c r="L7" s="3"/>
      <c r="M7" s="15" t="s">
        <v>97</v>
      </c>
      <c r="N7" s="39">
        <v>6.4715843663212078E-2</v>
      </c>
      <c r="O7" s="39">
        <v>6.4715843663212078E-2</v>
      </c>
      <c r="P7" s="40">
        <v>0.17870351554562083</v>
      </c>
      <c r="Q7" s="39">
        <v>6.4715843663212078E-2</v>
      </c>
      <c r="R7" s="40">
        <v>0.38372959425591008</v>
      </c>
      <c r="S7" s="40">
        <v>0.17870351554562083</v>
      </c>
      <c r="T7" s="39">
        <v>6.4715843663212078E-2</v>
      </c>
      <c r="AJ7" s="7">
        <v>-0.81155825289745276</v>
      </c>
      <c r="AK7" s="7">
        <v>3.5217292737798223E-2</v>
      </c>
      <c r="AL7" s="7">
        <v>0.88981890342589331</v>
      </c>
      <c r="AM7" s="8">
        <v>0</v>
      </c>
      <c r="AN7" s="8">
        <v>3.9795712040180458E-3</v>
      </c>
      <c r="AO7" s="8">
        <v>0.97551189501506608</v>
      </c>
      <c r="AP7" s="9">
        <v>0</v>
      </c>
      <c r="AQ7" s="9">
        <v>8.3206699887752061E-2</v>
      </c>
      <c r="AR7" s="9">
        <v>0.8026065434795342</v>
      </c>
      <c r="AS7" s="8">
        <v>0</v>
      </c>
      <c r="AT7" s="8">
        <v>3.2541870409785865E-2</v>
      </c>
      <c r="AU7" s="8">
        <v>0.7867306625306284</v>
      </c>
      <c r="AV7" s="3">
        <v>0</v>
      </c>
      <c r="AW7" s="3">
        <v>3.2539903897976272E-2</v>
      </c>
      <c r="AX7" s="3">
        <v>0.78676818925365888</v>
      </c>
      <c r="AY7" s="10">
        <v>0</v>
      </c>
      <c r="AZ7" s="10">
        <v>8.8138277957979256E-3</v>
      </c>
      <c r="BA7" s="10">
        <v>0.97731412069078893</v>
      </c>
      <c r="BB7" s="3">
        <v>0</v>
      </c>
      <c r="BC7" s="3">
        <v>0</v>
      </c>
      <c r="BD7" s="3">
        <v>0.93151599689208586</v>
      </c>
      <c r="BE7" s="3">
        <v>0</v>
      </c>
      <c r="BF7" s="3">
        <v>1.3637913245490817E-2</v>
      </c>
      <c r="BG7" s="3">
        <v>0.96846501120933071</v>
      </c>
      <c r="BH7" s="3">
        <v>0</v>
      </c>
      <c r="BI7" s="3">
        <v>2.5594661364239982E-3</v>
      </c>
      <c r="BJ7" s="3">
        <v>1</v>
      </c>
      <c r="BK7" s="3">
        <v>0</v>
      </c>
      <c r="BL7" s="3">
        <v>0</v>
      </c>
      <c r="BM7" s="3">
        <v>1</v>
      </c>
    </row>
    <row r="8" spans="2:74" ht="15" thickBot="1" x14ac:dyDescent="0.35">
      <c r="M8" s="16" t="s">
        <v>51</v>
      </c>
      <c r="N8" s="39">
        <v>6.4715843663212078E-2</v>
      </c>
      <c r="O8" s="39">
        <v>6.4715843663212078E-2</v>
      </c>
      <c r="P8" s="40">
        <v>0.17870351554562083</v>
      </c>
      <c r="Q8" s="39">
        <v>6.4715843663212078E-2</v>
      </c>
      <c r="R8" s="40">
        <v>0.17870351554562083</v>
      </c>
      <c r="S8" s="40">
        <v>0.38372959425591002</v>
      </c>
      <c r="T8" s="39">
        <v>6.4715843663212078E-2</v>
      </c>
      <c r="AJ8" s="7">
        <v>-0.82721038300314087</v>
      </c>
      <c r="AK8" s="7">
        <v>0</v>
      </c>
      <c r="AL8" s="7">
        <v>0.82721038300314087</v>
      </c>
      <c r="AM8" s="8">
        <v>0</v>
      </c>
      <c r="AN8" s="8">
        <v>0.12243516375190849</v>
      </c>
      <c r="AO8" s="8">
        <v>1</v>
      </c>
      <c r="AP8" s="9">
        <v>0</v>
      </c>
      <c r="AQ8" s="9">
        <v>0.18032912016182648</v>
      </c>
      <c r="AR8" s="9">
        <v>1</v>
      </c>
      <c r="AS8" s="8">
        <v>0</v>
      </c>
      <c r="AT8" s="8">
        <v>0.20870353052727808</v>
      </c>
      <c r="AU8" s="8">
        <v>1</v>
      </c>
      <c r="AV8" s="3">
        <v>0</v>
      </c>
      <c r="AW8" s="3">
        <v>0.20875454107450656</v>
      </c>
      <c r="AX8" s="3">
        <v>1</v>
      </c>
      <c r="AY8" s="10">
        <v>0</v>
      </c>
      <c r="AZ8" s="10">
        <v>2.4070757169109058E-2</v>
      </c>
      <c r="BA8" s="10">
        <v>1</v>
      </c>
      <c r="BB8" s="3">
        <v>0</v>
      </c>
      <c r="BC8" s="3">
        <v>2.5681501165467829E-2</v>
      </c>
      <c r="BD8" s="3">
        <v>1</v>
      </c>
      <c r="BE8" s="3">
        <v>0</v>
      </c>
      <c r="BF8" s="3">
        <v>0</v>
      </c>
      <c r="BG8" s="3">
        <v>0.92755127147285821</v>
      </c>
      <c r="BH8" s="3">
        <v>0</v>
      </c>
      <c r="BI8" s="3">
        <v>8.7029711165191107E-3</v>
      </c>
      <c r="BJ8" s="3">
        <v>1</v>
      </c>
      <c r="BK8" s="3">
        <v>0</v>
      </c>
      <c r="BL8" s="3">
        <v>1.4015339629943337E-3</v>
      </c>
      <c r="BM8" s="3">
        <v>1</v>
      </c>
    </row>
    <row r="9" spans="2:74" x14ac:dyDescent="0.3">
      <c r="M9" s="15" t="s">
        <v>100</v>
      </c>
      <c r="N9" s="3">
        <v>0.15516976021177703</v>
      </c>
      <c r="O9" s="3">
        <v>0.15516976021177703</v>
      </c>
      <c r="P9" s="3">
        <v>5.6607258287930562E-2</v>
      </c>
      <c r="Q9" s="3">
        <v>0.15516976021177703</v>
      </c>
      <c r="R9" s="3">
        <v>5.6607258287930562E-2</v>
      </c>
      <c r="S9" s="3">
        <v>5.6607258287930562E-2</v>
      </c>
      <c r="T9" s="3">
        <v>0.36466894450087722</v>
      </c>
    </row>
    <row r="10" spans="2:74" x14ac:dyDescent="0.3">
      <c r="C10" s="25" t="s">
        <v>41</v>
      </c>
      <c r="D10" s="25" t="s">
        <v>37</v>
      </c>
      <c r="E10" s="25" t="s">
        <v>38</v>
      </c>
      <c r="F10" s="26" t="s">
        <v>42</v>
      </c>
      <c r="G10" s="25" t="s">
        <v>17</v>
      </c>
      <c r="H10" s="25" t="s">
        <v>43</v>
      </c>
      <c r="I10" s="26" t="s">
        <v>24</v>
      </c>
      <c r="J10" s="1"/>
      <c r="K10" s="1"/>
      <c r="L10" s="1"/>
      <c r="N10" s="3"/>
      <c r="O10" s="3"/>
      <c r="P10" s="3"/>
      <c r="Q10" s="3"/>
      <c r="R10" s="3"/>
      <c r="S10" s="3"/>
      <c r="T10" s="3"/>
    </row>
    <row r="11" spans="2:74" x14ac:dyDescent="0.3">
      <c r="B11" s="22" t="s">
        <v>44</v>
      </c>
      <c r="C11" s="20">
        <f t="shared" ref="C11:I13" si="0">C3^2</f>
        <v>10134125.624246359</v>
      </c>
      <c r="D11" s="20">
        <f t="shared" si="0"/>
        <v>54949090695.032257</v>
      </c>
      <c r="E11" s="20">
        <f t="shared" si="0"/>
        <v>815145.20063221978</v>
      </c>
      <c r="F11" s="20">
        <f t="shared" si="0"/>
        <v>1880.9689568793206</v>
      </c>
      <c r="G11" s="20">
        <f t="shared" si="0"/>
        <v>219015297.18316108</v>
      </c>
      <c r="H11" s="20">
        <f t="shared" si="0"/>
        <v>176018283.23180118</v>
      </c>
      <c r="I11" s="20">
        <f t="shared" si="0"/>
        <v>0</v>
      </c>
      <c r="J11" s="2"/>
      <c r="K11" s="2"/>
      <c r="L11" s="2"/>
    </row>
    <row r="12" spans="2:74" x14ac:dyDescent="0.3">
      <c r="B12" s="21" t="s">
        <v>45</v>
      </c>
      <c r="C12" s="20">
        <f t="shared" si="0"/>
        <v>4654876.7604612168</v>
      </c>
      <c r="D12" s="20">
        <f t="shared" si="0"/>
        <v>72723907868.549316</v>
      </c>
      <c r="E12" s="20">
        <f t="shared" si="0"/>
        <v>908330.98809600039</v>
      </c>
      <c r="F12" s="20">
        <f t="shared" si="0"/>
        <v>2284.4221515056406</v>
      </c>
      <c r="G12" s="20">
        <f t="shared" si="0"/>
        <v>384317243.83825272</v>
      </c>
      <c r="H12" s="20">
        <f t="shared" si="0"/>
        <v>226899399.80335829</v>
      </c>
      <c r="I12" s="20">
        <f t="shared" si="0"/>
        <v>0.31675262902922663</v>
      </c>
      <c r="J12" s="2"/>
      <c r="K12" s="2"/>
      <c r="L12" s="2"/>
    </row>
    <row r="13" spans="2:74" x14ac:dyDescent="0.3">
      <c r="B13" s="21" t="s">
        <v>46</v>
      </c>
      <c r="C13" s="20">
        <f t="shared" si="0"/>
        <v>7250933.6069307085</v>
      </c>
      <c r="D13" s="20">
        <f t="shared" si="0"/>
        <v>74006750509.969711</v>
      </c>
      <c r="E13" s="20">
        <f t="shared" si="0"/>
        <v>936330.62323892675</v>
      </c>
      <c r="F13" s="20">
        <f t="shared" si="0"/>
        <v>2010.7699873921015</v>
      </c>
      <c r="G13" s="20">
        <f t="shared" si="0"/>
        <v>332793648.2653411</v>
      </c>
      <c r="H13" s="20">
        <f t="shared" si="0"/>
        <v>46583452.246100776</v>
      </c>
      <c r="I13" s="20">
        <f t="shared" si="0"/>
        <v>0.10333140030104127</v>
      </c>
      <c r="J13" s="2"/>
      <c r="K13" s="2"/>
      <c r="L13" s="2"/>
      <c r="AJ13" s="4">
        <v>3</v>
      </c>
      <c r="AK13" s="4">
        <v>5</v>
      </c>
      <c r="AL13" s="4">
        <v>7</v>
      </c>
      <c r="AM13" s="4">
        <v>1.5</v>
      </c>
      <c r="AN13" s="4">
        <v>2.5</v>
      </c>
      <c r="AO13" s="4">
        <v>3.5</v>
      </c>
      <c r="AP13" s="4">
        <v>1.5</v>
      </c>
      <c r="AQ13" s="4">
        <v>2.5</v>
      </c>
      <c r="AR13" s="4">
        <v>3.5</v>
      </c>
      <c r="AS13" s="4">
        <v>3</v>
      </c>
      <c r="AT13" s="4">
        <v>5</v>
      </c>
      <c r="AU13" s="4">
        <v>7</v>
      </c>
      <c r="AV13" s="4">
        <v>3</v>
      </c>
      <c r="AW13" s="4">
        <v>5</v>
      </c>
      <c r="AX13" s="4">
        <v>7</v>
      </c>
      <c r="AY13" s="4">
        <v>3</v>
      </c>
      <c r="AZ13" s="4">
        <v>5</v>
      </c>
      <c r="BA13" s="4">
        <v>7</v>
      </c>
      <c r="BB13" s="4">
        <v>3</v>
      </c>
      <c r="BC13" s="4">
        <v>5</v>
      </c>
      <c r="BD13" s="4">
        <v>7</v>
      </c>
      <c r="BE13" s="4">
        <v>1.5</v>
      </c>
      <c r="BF13" s="4">
        <v>2.5</v>
      </c>
      <c r="BG13" s="4">
        <v>3.5</v>
      </c>
      <c r="BH13" s="4">
        <v>1.5</v>
      </c>
      <c r="BI13" s="4">
        <v>2.5</v>
      </c>
      <c r="BJ13" s="4">
        <v>3.5</v>
      </c>
      <c r="BK13" s="4">
        <v>3</v>
      </c>
      <c r="BL13" s="4">
        <v>5</v>
      </c>
      <c r="BM13" s="4">
        <v>7</v>
      </c>
    </row>
    <row r="14" spans="2:74" x14ac:dyDescent="0.3">
      <c r="B14" s="19" t="s">
        <v>8</v>
      </c>
      <c r="C14" s="20">
        <f>SUM(C11:C13)</f>
        <v>22039935.991638284</v>
      </c>
      <c r="D14" s="20">
        <f>SUM(D11:D13)</f>
        <v>201679749073.55127</v>
      </c>
      <c r="E14" s="20">
        <f t="shared" ref="E14:I14" si="1">SUM(E11:E13)</f>
        <v>2659806.811967147</v>
      </c>
      <c r="F14" s="20">
        <f t="shared" si="1"/>
        <v>6176.1610957770627</v>
      </c>
      <c r="G14" s="20">
        <f t="shared" si="1"/>
        <v>936126189.28675485</v>
      </c>
      <c r="H14" s="20">
        <f t="shared" si="1"/>
        <v>449501135.28126025</v>
      </c>
      <c r="I14" s="20">
        <f t="shared" si="1"/>
        <v>0.42008402933026789</v>
      </c>
      <c r="J14" s="2"/>
      <c r="K14" s="2"/>
      <c r="L14" s="2"/>
      <c r="AJ14" s="4">
        <v>1</v>
      </c>
      <c r="AK14" s="4">
        <v>3</v>
      </c>
      <c r="AL14" s="4">
        <v>5</v>
      </c>
      <c r="AM14" s="4">
        <v>0.5</v>
      </c>
      <c r="AN14" s="4">
        <v>1.5</v>
      </c>
      <c r="AO14" s="4">
        <v>2.5</v>
      </c>
      <c r="AP14" s="4">
        <v>0.5</v>
      </c>
      <c r="AQ14" s="4">
        <v>1.5</v>
      </c>
      <c r="AR14" s="4">
        <v>2.5</v>
      </c>
      <c r="AS14" s="4">
        <v>1</v>
      </c>
      <c r="AT14" s="4">
        <v>3</v>
      </c>
      <c r="AU14" s="4">
        <v>5</v>
      </c>
      <c r="AV14" s="4">
        <v>1</v>
      </c>
      <c r="AW14" s="4">
        <v>3</v>
      </c>
      <c r="AX14" s="4">
        <v>5</v>
      </c>
      <c r="AY14" s="4">
        <v>1</v>
      </c>
      <c r="AZ14" s="4">
        <v>3</v>
      </c>
      <c r="BA14" s="4">
        <v>5</v>
      </c>
      <c r="BB14" s="4">
        <v>7</v>
      </c>
      <c r="BC14" s="4">
        <v>9</v>
      </c>
      <c r="BD14" s="4">
        <v>9</v>
      </c>
      <c r="BE14" s="4">
        <v>0.5</v>
      </c>
      <c r="BF14" s="4">
        <v>1.5</v>
      </c>
      <c r="BG14" s="4">
        <v>2.5</v>
      </c>
      <c r="BH14" s="4">
        <v>0.5</v>
      </c>
      <c r="BI14" s="4">
        <v>1.5</v>
      </c>
      <c r="BJ14" s="4">
        <v>2.5</v>
      </c>
      <c r="BK14" s="4">
        <v>7</v>
      </c>
      <c r="BL14" s="4">
        <v>9</v>
      </c>
      <c r="BM14" s="4">
        <v>9</v>
      </c>
    </row>
    <row r="15" spans="2:74" x14ac:dyDescent="0.3">
      <c r="B15" s="19" t="s">
        <v>9</v>
      </c>
      <c r="C15" s="20">
        <f>C14^(1/2)</f>
        <v>4694.6710205975332</v>
      </c>
      <c r="D15" s="20">
        <f>D14^(1/2)</f>
        <v>449087.68528378871</v>
      </c>
      <c r="E15" s="20">
        <f>E14^(1/2)</f>
        <v>1630.8914163631946</v>
      </c>
      <c r="F15" s="20">
        <f t="shared" ref="F15:I15" si="2">F14^(1/2)</f>
        <v>78.588555755765498</v>
      </c>
      <c r="G15" s="20">
        <f t="shared" si="2"/>
        <v>30596.179324986882</v>
      </c>
      <c r="H15" s="20">
        <f t="shared" si="2"/>
        <v>21201.441820811626</v>
      </c>
      <c r="I15" s="20">
        <f t="shared" si="2"/>
        <v>0.64813889663425373</v>
      </c>
      <c r="J15" s="2"/>
      <c r="K15" s="2"/>
      <c r="L15" s="2"/>
      <c r="AJ15" s="4">
        <v>7</v>
      </c>
      <c r="AK15" s="4">
        <v>9</v>
      </c>
      <c r="AL15" s="4">
        <v>9</v>
      </c>
      <c r="AM15" s="4">
        <v>1.5</v>
      </c>
      <c r="AN15" s="4">
        <v>2.5</v>
      </c>
      <c r="AO15" s="4">
        <v>3.5</v>
      </c>
      <c r="AP15" s="4">
        <v>1.5</v>
      </c>
      <c r="AQ15" s="4">
        <v>2.5</v>
      </c>
      <c r="AR15" s="4">
        <v>3.5</v>
      </c>
      <c r="AS15" s="4">
        <v>1</v>
      </c>
      <c r="AT15" s="4">
        <v>3</v>
      </c>
      <c r="AU15" s="4">
        <v>5</v>
      </c>
      <c r="AV15" s="4">
        <v>1</v>
      </c>
      <c r="AW15" s="4">
        <v>3</v>
      </c>
      <c r="AX15" s="4">
        <v>5</v>
      </c>
      <c r="AY15" s="4">
        <v>3</v>
      </c>
      <c r="AZ15" s="4">
        <v>5</v>
      </c>
      <c r="BA15" s="4">
        <v>7</v>
      </c>
      <c r="BB15" s="4">
        <v>1</v>
      </c>
      <c r="BC15" s="4">
        <v>3</v>
      </c>
      <c r="BD15" s="4">
        <v>5</v>
      </c>
      <c r="BE15" s="4">
        <v>0.5</v>
      </c>
      <c r="BF15" s="4">
        <v>1.5</v>
      </c>
      <c r="BG15" s="4">
        <v>2.5</v>
      </c>
      <c r="BH15" s="4">
        <v>0.5</v>
      </c>
      <c r="BI15" s="4">
        <v>1.5</v>
      </c>
      <c r="BJ15" s="4">
        <v>2.5</v>
      </c>
      <c r="BK15" s="4">
        <v>1</v>
      </c>
      <c r="BL15" s="4">
        <v>3</v>
      </c>
      <c r="BM15" s="4">
        <v>5</v>
      </c>
    </row>
    <row r="16" spans="2:74" x14ac:dyDescent="0.3">
      <c r="AJ16" s="1">
        <v>7</v>
      </c>
      <c r="AK16" s="1">
        <v>9</v>
      </c>
      <c r="AL16" s="1">
        <v>9</v>
      </c>
      <c r="AM16" s="1">
        <v>0.5</v>
      </c>
      <c r="AN16" s="1">
        <v>1.5</v>
      </c>
      <c r="AO16" s="1">
        <v>2.5</v>
      </c>
      <c r="AP16" s="1">
        <v>0.5</v>
      </c>
      <c r="AQ16" s="1">
        <v>1.5</v>
      </c>
      <c r="AR16" s="1">
        <v>2.5</v>
      </c>
      <c r="AS16" s="1">
        <v>1</v>
      </c>
      <c r="AT16" s="1">
        <v>3</v>
      </c>
      <c r="AU16" s="1">
        <v>5</v>
      </c>
      <c r="AV16" s="1">
        <v>7</v>
      </c>
      <c r="AW16" s="1">
        <v>9</v>
      </c>
      <c r="AX16" s="1">
        <v>9</v>
      </c>
      <c r="AY16" s="1">
        <v>1</v>
      </c>
      <c r="AZ16" s="1">
        <v>3</v>
      </c>
      <c r="BA16" s="1">
        <v>5</v>
      </c>
      <c r="BB16" s="1">
        <v>3</v>
      </c>
      <c r="BC16" s="1">
        <v>5</v>
      </c>
      <c r="BD16" s="1">
        <v>7</v>
      </c>
      <c r="BE16" s="1">
        <v>0.5</v>
      </c>
      <c r="BF16" s="1">
        <v>1.5</v>
      </c>
      <c r="BG16" s="1">
        <v>2.5</v>
      </c>
      <c r="BH16" s="1">
        <v>0.5</v>
      </c>
      <c r="BI16" s="1">
        <v>1.5</v>
      </c>
      <c r="BJ16" s="1">
        <v>2.5</v>
      </c>
      <c r="BK16" s="1">
        <v>1</v>
      </c>
      <c r="BL16" s="1">
        <v>3</v>
      </c>
      <c r="BM16" s="1">
        <v>5</v>
      </c>
    </row>
    <row r="17" spans="2:65" x14ac:dyDescent="0.3">
      <c r="B17" s="1" t="s">
        <v>10</v>
      </c>
      <c r="C17" s="1" t="s">
        <v>0</v>
      </c>
      <c r="D17" s="1" t="s">
        <v>1</v>
      </c>
      <c r="E17" s="1" t="s">
        <v>26</v>
      </c>
      <c r="F17" s="1" t="s">
        <v>27</v>
      </c>
      <c r="G17" s="1" t="s">
        <v>28</v>
      </c>
      <c r="H17" s="1" t="s">
        <v>29</v>
      </c>
      <c r="I17" s="1" t="s">
        <v>30</v>
      </c>
      <c r="J17" s="1"/>
      <c r="K17" s="1"/>
      <c r="L17" s="1"/>
    </row>
    <row r="18" spans="2:65" x14ac:dyDescent="0.3">
      <c r="B18" s="21" t="s">
        <v>44</v>
      </c>
      <c r="C18" s="3">
        <f>C3/C$15</f>
        <v>0.67809099549724028</v>
      </c>
      <c r="D18" s="3">
        <f t="shared" ref="C18:I20" si="3">D3/D$15</f>
        <v>0.52197428596145568</v>
      </c>
      <c r="E18" s="3">
        <f t="shared" si="3"/>
        <v>0.553595359455337</v>
      </c>
      <c r="F18" s="3">
        <f t="shared" si="3"/>
        <v>0.55186329081786478</v>
      </c>
      <c r="G18" s="3">
        <f t="shared" si="3"/>
        <v>0.48369325021441395</v>
      </c>
      <c r="H18" s="3">
        <f t="shared" si="3"/>
        <v>0.62576820627968321</v>
      </c>
      <c r="I18" s="3">
        <f t="shared" si="3"/>
        <v>0</v>
      </c>
      <c r="J18" s="3"/>
      <c r="K18" s="3"/>
      <c r="L18" s="3"/>
    </row>
    <row r="19" spans="2:65" x14ac:dyDescent="0.3">
      <c r="B19" s="21" t="s">
        <v>45</v>
      </c>
      <c r="C19" s="3">
        <f t="shared" si="3"/>
        <v>0.45956709879161517</v>
      </c>
      <c r="D19" s="3">
        <f t="shared" si="3"/>
        <v>0.60049232062036739</v>
      </c>
      <c r="E19" s="3">
        <f t="shared" si="3"/>
        <v>0.58438225282053713</v>
      </c>
      <c r="F19" s="3">
        <f t="shared" si="3"/>
        <v>0.60817543394660956</v>
      </c>
      <c r="G19" s="3">
        <f t="shared" si="3"/>
        <v>0.64073395255600485</v>
      </c>
      <c r="H19" s="3">
        <f t="shared" si="3"/>
        <v>0.71047905118326327</v>
      </c>
      <c r="I19" s="3">
        <f t="shared" si="3"/>
        <v>0.86834444156099144</v>
      </c>
      <c r="J19" s="3"/>
      <c r="K19" s="3"/>
      <c r="L19" s="3"/>
      <c r="AJ19" s="5"/>
      <c r="AK19" s="6"/>
      <c r="AL19" s="6"/>
      <c r="AM19" s="6"/>
      <c r="AN19" s="6"/>
      <c r="AO19" s="6"/>
      <c r="AP19" s="6"/>
      <c r="AQ19" s="6"/>
      <c r="AR19" s="6"/>
      <c r="AS19" s="6"/>
      <c r="AT19" s="6"/>
      <c r="AU19" s="6"/>
      <c r="AW19" s="6"/>
      <c r="AX19" s="6"/>
      <c r="AZ19" s="6"/>
      <c r="BA19" s="6"/>
      <c r="BD19" s="6"/>
      <c r="BF19" s="6"/>
      <c r="BG19" s="6"/>
      <c r="BI19" s="6"/>
      <c r="BJ19" s="6"/>
      <c r="BL19" s="6"/>
      <c r="BM19" s="6"/>
    </row>
    <row r="20" spans="2:65" x14ac:dyDescent="0.3">
      <c r="B20" s="21" t="s">
        <v>46</v>
      </c>
      <c r="C20" s="3">
        <f t="shared" si="3"/>
        <v>0.57357709467326146</v>
      </c>
      <c r="D20" s="3">
        <f t="shared" si="3"/>
        <v>0.60576548075224168</v>
      </c>
      <c r="E20" s="3">
        <f t="shared" si="3"/>
        <v>0.59332079061660237</v>
      </c>
      <c r="F20" s="3">
        <f t="shared" si="3"/>
        <v>0.57058702210226453</v>
      </c>
      <c r="G20" s="3">
        <f t="shared" si="3"/>
        <v>0.596238913304873</v>
      </c>
      <c r="H20" s="3">
        <f t="shared" si="3"/>
        <v>0.32192183808999042</v>
      </c>
      <c r="I20" s="3">
        <f t="shared" si="3"/>
        <v>0.49596162231580992</v>
      </c>
      <c r="J20" s="3"/>
      <c r="K20" s="3"/>
      <c r="L20" s="3"/>
    </row>
    <row r="21" spans="2:65" ht="15" thickBot="1" x14ac:dyDescent="0.35"/>
    <row r="22" spans="2:65" x14ac:dyDescent="0.3">
      <c r="B22" s="1" t="s">
        <v>2</v>
      </c>
      <c r="C22" s="1" t="s">
        <v>0</v>
      </c>
      <c r="D22" s="1" t="s">
        <v>1</v>
      </c>
      <c r="E22" s="1" t="s">
        <v>26</v>
      </c>
      <c r="F22" s="1" t="s">
        <v>27</v>
      </c>
      <c r="G22" s="1" t="s">
        <v>28</v>
      </c>
      <c r="H22" s="1" t="s">
        <v>29</v>
      </c>
      <c r="I22" s="1" t="s">
        <v>30</v>
      </c>
      <c r="J22" s="1"/>
      <c r="K22" s="1"/>
      <c r="L22" s="1"/>
      <c r="M22" s="118" t="s">
        <v>47</v>
      </c>
      <c r="N22" s="21" t="s">
        <v>56</v>
      </c>
      <c r="O22" s="21" t="s">
        <v>54</v>
      </c>
      <c r="P22" s="21" t="s">
        <v>92</v>
      </c>
      <c r="Q22" s="21" t="s">
        <v>94</v>
      </c>
      <c r="R22" s="21" t="s">
        <v>50</v>
      </c>
      <c r="S22" s="21" t="s">
        <v>97</v>
      </c>
      <c r="T22" s="21" t="s">
        <v>51</v>
      </c>
      <c r="U22" s="21" t="s">
        <v>100</v>
      </c>
    </row>
    <row r="23" spans="2:65" x14ac:dyDescent="0.3">
      <c r="B23" s="21" t="s">
        <v>44</v>
      </c>
      <c r="C23" s="3">
        <f>C18*C$7</f>
        <v>0.10521921717307195</v>
      </c>
      <c r="D23" s="3">
        <f t="shared" ref="D23:I23" si="4">D18*D$7</f>
        <v>8.0994624789352612E-2</v>
      </c>
      <c r="E23" s="3">
        <f t="shared" si="4"/>
        <v>3.1337515499688023E-2</v>
      </c>
      <c r="F23" s="3">
        <f t="shared" si="4"/>
        <v>8.563249450589025E-2</v>
      </c>
      <c r="G23" s="3">
        <f t="shared" si="4"/>
        <v>2.7380548747015954E-2</v>
      </c>
      <c r="H23" s="3">
        <f t="shared" si="4"/>
        <v>3.5423022481249039E-2</v>
      </c>
      <c r="I23" s="3">
        <f t="shared" si="4"/>
        <v>0</v>
      </c>
      <c r="J23" s="3"/>
      <c r="K23" s="3"/>
      <c r="L23" s="3"/>
      <c r="M23" s="119" t="s">
        <v>44</v>
      </c>
      <c r="N23" s="117">
        <v>0.16291712321024895</v>
      </c>
      <c r="O23" s="117">
        <v>9.5312055186471886E-2</v>
      </c>
      <c r="P23" s="117">
        <v>0.18697970189888832</v>
      </c>
      <c r="Q23" s="117">
        <v>0.31024501253456332</v>
      </c>
      <c r="R23" s="117">
        <v>0.10509285331987964</v>
      </c>
      <c r="S23" s="117">
        <v>0.44122649143722437</v>
      </c>
      <c r="T23" s="117">
        <v>0.25192241956021105</v>
      </c>
      <c r="U23" s="20">
        <v>4.9504131269590593E-2</v>
      </c>
    </row>
    <row r="24" spans="2:65" x14ac:dyDescent="0.3">
      <c r="B24" s="21" t="s">
        <v>45</v>
      </c>
      <c r="C24" s="3">
        <f t="shared" ref="C24:I25" si="5">C19*C$7</f>
        <v>7.1310916520716972E-2</v>
      </c>
      <c r="D24" s="3">
        <f t="shared" si="5"/>
        <v>9.3178249399675936E-2</v>
      </c>
      <c r="E24" s="3">
        <f t="shared" si="5"/>
        <v>3.3080277124294885E-2</v>
      </c>
      <c r="F24" s="3">
        <f t="shared" si="5"/>
        <v>9.4370436252188841E-2</v>
      </c>
      <c r="G24" s="3">
        <f t="shared" si="5"/>
        <v>3.6270192346184414E-2</v>
      </c>
      <c r="H24" s="3">
        <f t="shared" si="5"/>
        <v>4.0218271158494821E-2</v>
      </c>
      <c r="I24" s="3">
        <f t="shared" si="5"/>
        <v>0.31665825096725042</v>
      </c>
      <c r="J24" s="3"/>
      <c r="K24" s="3"/>
      <c r="L24" s="3"/>
      <c r="M24" s="119" t="s">
        <v>52</v>
      </c>
      <c r="N24" s="117">
        <v>0.6805180473211534</v>
      </c>
      <c r="O24" s="117">
        <v>0.85436483043952605</v>
      </c>
      <c r="P24" s="117">
        <v>0.78904023274124235</v>
      </c>
      <c r="Q24" s="117">
        <v>0.43356533358910904</v>
      </c>
      <c r="R24" s="117">
        <v>0.84013580988043213</v>
      </c>
      <c r="S24" s="117">
        <v>0.38638715623723652</v>
      </c>
      <c r="T24" s="117">
        <v>0.27661089020089319</v>
      </c>
      <c r="U24" s="20">
        <v>0.92260361121748879</v>
      </c>
    </row>
    <row r="25" spans="2:65" ht="15" thickBot="1" x14ac:dyDescent="0.35">
      <c r="B25" s="21" t="s">
        <v>46</v>
      </c>
      <c r="C25" s="3">
        <f t="shared" si="5"/>
        <v>8.9001820243417712E-2</v>
      </c>
      <c r="D25" s="3">
        <f t="shared" si="5"/>
        <v>9.3996484392897178E-2</v>
      </c>
      <c r="E25" s="3">
        <f t="shared" si="5"/>
        <v>3.3586263242033176E-2</v>
      </c>
      <c r="F25" s="3">
        <f t="shared" si="5"/>
        <v>8.8537851399560302E-2</v>
      </c>
      <c r="G25" s="3">
        <f t="shared" si="5"/>
        <v>3.3751450166763987E-2</v>
      </c>
      <c r="H25" s="3">
        <f t="shared" si="5"/>
        <v>1.822311263728545E-2</v>
      </c>
      <c r="I25" s="3">
        <f t="shared" si="5"/>
        <v>0.18086180132284913</v>
      </c>
      <c r="J25" s="3"/>
      <c r="K25" s="3"/>
      <c r="L25" s="3"/>
      <c r="M25" s="120" t="s">
        <v>53</v>
      </c>
      <c r="N25" s="117">
        <v>0.60984452959437596</v>
      </c>
      <c r="O25" s="117">
        <v>0.54894216789581174</v>
      </c>
      <c r="P25" s="117">
        <v>0.5448322080507233</v>
      </c>
      <c r="Q25" s="117">
        <v>0.68106844917676557</v>
      </c>
      <c r="R25" s="117">
        <v>0.56287019650382097</v>
      </c>
      <c r="S25" s="117">
        <v>0.60740836193763437</v>
      </c>
      <c r="T25" s="117">
        <v>0.82004931664618563</v>
      </c>
      <c r="U25" s="20">
        <v>0.57030155933845383</v>
      </c>
    </row>
    <row r="26" spans="2:65" x14ac:dyDescent="0.3">
      <c r="B26" s="1"/>
      <c r="C26" s="1"/>
      <c r="D26" s="1"/>
      <c r="E26" s="1"/>
      <c r="F26" s="1"/>
      <c r="G26" s="1"/>
      <c r="H26" s="1"/>
      <c r="I26" s="1"/>
      <c r="J26" s="1"/>
      <c r="K26" s="1"/>
      <c r="L26" s="1"/>
      <c r="N26" s="112">
        <f>N24-N23</f>
        <v>0.51760092411090441</v>
      </c>
      <c r="O26" s="112">
        <f t="shared" ref="O26:T26" si="6">O24-O23</f>
        <v>0.75905277525305415</v>
      </c>
      <c r="P26" s="112">
        <f t="shared" si="6"/>
        <v>0.602060530842354</v>
      </c>
      <c r="Q26" s="112">
        <f t="shared" si="6"/>
        <v>0.12332032105454571</v>
      </c>
      <c r="R26" s="112">
        <f t="shared" si="6"/>
        <v>0.73504295656055252</v>
      </c>
      <c r="S26" s="112">
        <f t="shared" si="6"/>
        <v>-5.4839335199987849E-2</v>
      </c>
      <c r="T26" s="112">
        <f t="shared" si="6"/>
        <v>2.4688470640682136E-2</v>
      </c>
      <c r="U26" s="2"/>
    </row>
    <row r="27" spans="2:65" x14ac:dyDescent="0.3">
      <c r="B27" s="1" t="s">
        <v>3</v>
      </c>
      <c r="C27" s="3">
        <f>MIN(C23:C25)</f>
        <v>7.1310916520716972E-2</v>
      </c>
      <c r="D27" s="3">
        <f>MIN(D23:D25)</f>
        <v>8.0994624789352612E-2</v>
      </c>
      <c r="E27" s="3">
        <f>MIN(E23:E25)</f>
        <v>3.1337515499688023E-2</v>
      </c>
      <c r="F27" s="3">
        <f>MAX(F23:F25)</f>
        <v>9.4370436252188841E-2</v>
      </c>
      <c r="G27" s="3">
        <f>MIN(G23:G25)</f>
        <v>2.7380548747015954E-2</v>
      </c>
      <c r="H27" s="3">
        <f t="shared" ref="H27" si="7">MIN(H23:H25)</f>
        <v>1.822311263728545E-2</v>
      </c>
      <c r="I27" s="3">
        <f>MAX(I23:I25)</f>
        <v>0.31665825096725042</v>
      </c>
      <c r="J27" s="3"/>
      <c r="K27" s="3"/>
      <c r="L27" s="3"/>
      <c r="N27" s="115" t="s">
        <v>56</v>
      </c>
      <c r="O27" s="115" t="s">
        <v>54</v>
      </c>
      <c r="P27" s="115" t="s">
        <v>92</v>
      </c>
      <c r="Q27" s="115" t="s">
        <v>94</v>
      </c>
      <c r="R27" s="115" t="s">
        <v>50</v>
      </c>
      <c r="S27" s="115" t="s">
        <v>97</v>
      </c>
      <c r="T27" s="115" t="s">
        <v>51</v>
      </c>
      <c r="U27" s="115" t="s">
        <v>100</v>
      </c>
    </row>
    <row r="28" spans="2:65" x14ac:dyDescent="0.3">
      <c r="B28" s="1" t="s">
        <v>4</v>
      </c>
      <c r="C28" s="3">
        <f>MAX(C23:C25)</f>
        <v>0.10521921717307195</v>
      </c>
      <c r="D28" s="3">
        <f>MAX(D23:D25)</f>
        <v>9.3996484392897178E-2</v>
      </c>
      <c r="E28" s="3">
        <f>MAX(E23:E25)</f>
        <v>3.3586263242033176E-2</v>
      </c>
      <c r="F28" s="3">
        <f>MIN(F23:F25)</f>
        <v>8.563249450589025E-2</v>
      </c>
      <c r="G28" s="3">
        <f t="shared" ref="G28:H28" si="8">MAX(G23:G25)</f>
        <v>3.6270192346184414E-2</v>
      </c>
      <c r="H28" s="3">
        <f t="shared" si="8"/>
        <v>4.0218271158494821E-2</v>
      </c>
      <c r="I28" s="3">
        <f>MIN(I23:I25)</f>
        <v>0</v>
      </c>
      <c r="J28" s="3"/>
      <c r="K28" s="3"/>
      <c r="L28" s="3"/>
      <c r="M28" s="121" t="s">
        <v>44</v>
      </c>
      <c r="N28" s="123">
        <f>RANK(N23,N$23:N$25,0)</f>
        <v>3</v>
      </c>
      <c r="O28" s="123">
        <f t="shared" ref="O28:U28" si="9">RANK(O23,O$23:O$25,0)</f>
        <v>3</v>
      </c>
      <c r="P28" s="123">
        <f t="shared" si="9"/>
        <v>3</v>
      </c>
      <c r="Q28" s="124">
        <f t="shared" si="9"/>
        <v>3</v>
      </c>
      <c r="R28" s="123">
        <f t="shared" si="9"/>
        <v>3</v>
      </c>
      <c r="S28" s="125">
        <f t="shared" si="9"/>
        <v>2</v>
      </c>
      <c r="T28" s="124">
        <f t="shared" si="9"/>
        <v>3</v>
      </c>
      <c r="U28" s="123">
        <f t="shared" si="9"/>
        <v>3</v>
      </c>
      <c r="AJ28" s="1" t="s">
        <v>13</v>
      </c>
      <c r="AK28" s="1" t="s">
        <v>14</v>
      </c>
      <c r="AL28" s="1" t="s">
        <v>15</v>
      </c>
      <c r="AM28" s="1" t="s">
        <v>16</v>
      </c>
      <c r="AN28" s="1" t="s">
        <v>17</v>
      </c>
      <c r="AO28" s="1" t="s">
        <v>19</v>
      </c>
      <c r="AP28" s="1" t="s">
        <v>20</v>
      </c>
      <c r="AQ28" s="1" t="s">
        <v>25</v>
      </c>
      <c r="AR28" s="1" t="s">
        <v>23</v>
      </c>
      <c r="AS28" s="1" t="s">
        <v>24</v>
      </c>
    </row>
    <row r="29" spans="2:65" x14ac:dyDescent="0.3">
      <c r="M29" s="122" t="s">
        <v>52</v>
      </c>
      <c r="N29" s="123">
        <f t="shared" ref="N29:U30" si="10">RANK(N24,N$23:N$25,0)</f>
        <v>1</v>
      </c>
      <c r="O29" s="123">
        <f t="shared" si="10"/>
        <v>1</v>
      </c>
      <c r="P29" s="123">
        <f t="shared" si="10"/>
        <v>1</v>
      </c>
      <c r="Q29" s="124">
        <f t="shared" si="10"/>
        <v>2</v>
      </c>
      <c r="R29" s="123">
        <f t="shared" si="10"/>
        <v>1</v>
      </c>
      <c r="S29" s="125">
        <f t="shared" si="10"/>
        <v>3</v>
      </c>
      <c r="T29" s="124">
        <f t="shared" si="10"/>
        <v>2</v>
      </c>
      <c r="U29" s="123">
        <f t="shared" si="10"/>
        <v>1</v>
      </c>
      <c r="AJ29" s="3">
        <f>AVERAGE(AJ6:AL6)</f>
        <v>0.10439372693560238</v>
      </c>
      <c r="AK29" s="3">
        <f>AVERAGE(AM6:AO6)</f>
        <v>0.32119106046767065</v>
      </c>
      <c r="AL29" s="3">
        <f>AVERAGE(AP6:AR6)</f>
        <v>0.18432881460542602</v>
      </c>
      <c r="AM29" s="3">
        <f>AVERAGE(AS6:AU6)</f>
        <v>0.22970168376709024</v>
      </c>
      <c r="AN29" s="3">
        <f>AVERAGE(AV6:AX6)</f>
        <v>0.2297161591865767</v>
      </c>
      <c r="AO29" s="3">
        <f>AVERAGE(AY6:BA6)</f>
        <v>0.31933192276795064</v>
      </c>
      <c r="AP29" s="3">
        <f>AVERAGE(BB6:BD6)</f>
        <v>0.33541192047143414</v>
      </c>
      <c r="AQ29" s="3">
        <f>AVERAGE(BE6:BG6)</f>
        <v>0.35542486617984598</v>
      </c>
      <c r="AR29" s="3">
        <f>AVERAGE(BH6:BJ6)</f>
        <v>0.33333333333333331</v>
      </c>
      <c r="AS29" s="3">
        <f>AVERAGE(BK6:BM6)</f>
        <v>0.33344880507356206</v>
      </c>
    </row>
    <row r="30" spans="2:65" x14ac:dyDescent="0.3">
      <c r="M30" s="122" t="s">
        <v>53</v>
      </c>
      <c r="N30" s="123">
        <f t="shared" si="10"/>
        <v>2</v>
      </c>
      <c r="O30" s="123">
        <f t="shared" si="10"/>
        <v>2</v>
      </c>
      <c r="P30" s="123">
        <f t="shared" si="10"/>
        <v>2</v>
      </c>
      <c r="Q30" s="124">
        <f t="shared" si="10"/>
        <v>1</v>
      </c>
      <c r="R30" s="123">
        <f t="shared" si="10"/>
        <v>2</v>
      </c>
      <c r="S30" s="125">
        <f t="shared" si="10"/>
        <v>1</v>
      </c>
      <c r="T30" s="124">
        <f t="shared" si="10"/>
        <v>1</v>
      </c>
      <c r="U30" s="123">
        <f t="shared" si="10"/>
        <v>2</v>
      </c>
      <c r="AJ30" s="3">
        <f>AVERAGE(AJ7:AL7)</f>
        <v>3.7825981088746276E-2</v>
      </c>
      <c r="AK30" s="3">
        <f t="shared" ref="AK30:AK31" si="11">AVERAGE(AM7:AO7)</f>
        <v>0.32649715540636137</v>
      </c>
      <c r="AL30" s="3">
        <f t="shared" ref="AL30:AL31" si="12">AVERAGE(AP7:AR7)</f>
        <v>0.29527108112242878</v>
      </c>
      <c r="AM30" s="3">
        <f t="shared" ref="AM30:AM31" si="13">AVERAGE(AS7:AU7)</f>
        <v>0.27309084431347141</v>
      </c>
      <c r="AN30" s="3">
        <f t="shared" ref="AN30:AN31" si="14">AVERAGE(AV7:AX7)</f>
        <v>0.27310269771721168</v>
      </c>
      <c r="AO30" s="3">
        <f t="shared" ref="AO30:AO31" si="15">AVERAGE(AY7:BA7)</f>
        <v>0.32870931616219562</v>
      </c>
      <c r="AP30" s="3">
        <f t="shared" ref="AP30:AP31" si="16">AVERAGE(BB7:BD7)</f>
        <v>0.31050533229736194</v>
      </c>
      <c r="AQ30" s="3">
        <f t="shared" ref="AQ30:AQ31" si="17">AVERAGE(BE7:BG7)</f>
        <v>0.32736764148494052</v>
      </c>
      <c r="AR30" s="3">
        <f t="shared" ref="AR30:AR31" si="18">AVERAGE(BH7:BJ7)</f>
        <v>0.33418648871214135</v>
      </c>
      <c r="AS30" s="3">
        <f t="shared" ref="AS30:AS31" si="19">AVERAGE(BK7:BM7)</f>
        <v>0.33333333333333331</v>
      </c>
    </row>
    <row r="31" spans="2:65" x14ac:dyDescent="0.3">
      <c r="B31" t="s">
        <v>5</v>
      </c>
      <c r="C31" s="1" t="s">
        <v>0</v>
      </c>
      <c r="D31" s="1" t="s">
        <v>1</v>
      </c>
      <c r="E31" s="1" t="s">
        <v>26</v>
      </c>
      <c r="F31" s="1" t="s">
        <v>27</v>
      </c>
      <c r="G31" s="1" t="s">
        <v>28</v>
      </c>
      <c r="H31" s="1" t="s">
        <v>29</v>
      </c>
      <c r="I31" s="1" t="s">
        <v>30</v>
      </c>
      <c r="J31" s="1"/>
      <c r="K31" s="1"/>
      <c r="L31" s="1"/>
      <c r="M31" s="25" t="s">
        <v>102</v>
      </c>
      <c r="N31" s="39">
        <v>0.14285714285714282</v>
      </c>
      <c r="O31" s="39">
        <v>0.36466894450087722</v>
      </c>
      <c r="P31" s="39">
        <v>0.15516976021177703</v>
      </c>
      <c r="Q31" s="39">
        <v>6.4715843663212078E-2</v>
      </c>
      <c r="R31" s="39">
        <v>0.15516976021177703</v>
      </c>
      <c r="S31" s="39">
        <v>6.4715843663212078E-2</v>
      </c>
      <c r="T31" s="39">
        <v>6.4715843663212078E-2</v>
      </c>
      <c r="U31" s="39">
        <v>0.15516976021177703</v>
      </c>
      <c r="AJ31" s="3">
        <f t="shared" ref="AJ31" si="20">AVERAGE(AJ8:AL8)</f>
        <v>0</v>
      </c>
      <c r="AK31" s="3">
        <f t="shared" si="11"/>
        <v>0.37414505458396952</v>
      </c>
      <c r="AL31" s="3">
        <f t="shared" si="12"/>
        <v>0.39344304005394215</v>
      </c>
      <c r="AM31" s="3">
        <f t="shared" si="13"/>
        <v>0.40290117684242599</v>
      </c>
      <c r="AN31" s="3">
        <f t="shared" si="14"/>
        <v>0.4029181803581689</v>
      </c>
      <c r="AO31" s="3">
        <f t="shared" si="15"/>
        <v>0.34135691905636967</v>
      </c>
      <c r="AP31" s="3">
        <f t="shared" si="16"/>
        <v>0.34189383372182264</v>
      </c>
      <c r="AQ31" s="3">
        <f t="shared" si="17"/>
        <v>0.30918375715761942</v>
      </c>
      <c r="AR31" s="3">
        <f t="shared" si="18"/>
        <v>0.33623432370550638</v>
      </c>
      <c r="AS31" s="3">
        <f t="shared" si="19"/>
        <v>0.33380051132099808</v>
      </c>
    </row>
    <row r="32" spans="2:65" x14ac:dyDescent="0.3">
      <c r="B32" s="21" t="s">
        <v>44</v>
      </c>
      <c r="C32" s="3">
        <f>C23-C$27</f>
        <v>3.3908300652354978E-2</v>
      </c>
      <c r="D32" s="3">
        <f t="shared" ref="D32:I34" si="21">D23-D$27</f>
        <v>0</v>
      </c>
      <c r="E32" s="3">
        <f t="shared" si="21"/>
        <v>0</v>
      </c>
      <c r="F32" s="3">
        <f t="shared" si="21"/>
        <v>-8.7379417462985914E-3</v>
      </c>
      <c r="G32" s="3">
        <f t="shared" si="21"/>
        <v>0</v>
      </c>
      <c r="H32" s="3">
        <f t="shared" si="21"/>
        <v>1.7199909843963589E-2</v>
      </c>
      <c r="I32" s="3">
        <f t="shared" si="21"/>
        <v>-0.31665825096725042</v>
      </c>
      <c r="J32" s="3"/>
      <c r="K32" s="3"/>
      <c r="L32" s="3"/>
      <c r="M32" s="25" t="s">
        <v>37</v>
      </c>
      <c r="N32" s="39">
        <v>0.14285714285714282</v>
      </c>
      <c r="O32" s="39">
        <v>0.15516976021177703</v>
      </c>
      <c r="P32" s="39">
        <v>0.36466894450087722</v>
      </c>
      <c r="Q32" s="39">
        <v>6.4715843663212078E-2</v>
      </c>
      <c r="R32" s="39">
        <v>0.15516976021177703</v>
      </c>
      <c r="S32" s="39">
        <v>6.4715843663212078E-2</v>
      </c>
      <c r="T32" s="39">
        <v>6.4715843663212078E-2</v>
      </c>
      <c r="U32" s="39">
        <v>0.15516976021177703</v>
      </c>
      <c r="X32" t="s">
        <v>105</v>
      </c>
    </row>
    <row r="33" spans="2:45" x14ac:dyDescent="0.3">
      <c r="B33" s="21" t="s">
        <v>45</v>
      </c>
      <c r="C33" s="3">
        <f>C24-C$27</f>
        <v>0</v>
      </c>
      <c r="D33" s="3">
        <f t="shared" si="21"/>
        <v>1.2183624610323324E-2</v>
      </c>
      <c r="E33" s="3">
        <f t="shared" si="21"/>
        <v>1.7427616246068617E-3</v>
      </c>
      <c r="F33" s="3">
        <f t="shared" si="21"/>
        <v>0</v>
      </c>
      <c r="G33" s="3">
        <f t="shared" si="21"/>
        <v>8.8896435991684605E-3</v>
      </c>
      <c r="H33" s="3">
        <f t="shared" si="21"/>
        <v>2.1995158521209372E-2</v>
      </c>
      <c r="I33" s="3">
        <f t="shared" si="21"/>
        <v>0</v>
      </c>
      <c r="J33" s="3"/>
      <c r="K33" s="3"/>
      <c r="L33" s="3"/>
      <c r="M33" s="25" t="s">
        <v>38</v>
      </c>
      <c r="N33" s="40">
        <v>0.14285714285714282</v>
      </c>
      <c r="O33" s="40">
        <v>5.6607258287930562E-2</v>
      </c>
      <c r="P33" s="40">
        <v>5.6607258287930562E-2</v>
      </c>
      <c r="Q33" s="40">
        <v>0.38372959425591008</v>
      </c>
      <c r="R33" s="40">
        <v>5.6607258287930562E-2</v>
      </c>
      <c r="S33" s="40">
        <v>0.17870351554562083</v>
      </c>
      <c r="T33" s="40">
        <v>0.17870351554562083</v>
      </c>
      <c r="U33" s="40">
        <v>5.6607258287930562E-2</v>
      </c>
      <c r="X33" t="s">
        <v>106</v>
      </c>
    </row>
    <row r="34" spans="2:45" x14ac:dyDescent="0.3">
      <c r="B34" s="21" t="s">
        <v>46</v>
      </c>
      <c r="C34" s="3">
        <f>C25-C$27</f>
        <v>1.769090372270074E-2</v>
      </c>
      <c r="D34" s="3">
        <f t="shared" si="21"/>
        <v>1.3001859603544566E-2</v>
      </c>
      <c r="E34" s="3">
        <f t="shared" si="21"/>
        <v>2.248747742345153E-3</v>
      </c>
      <c r="F34" s="3">
        <f t="shared" si="21"/>
        <v>-5.832584852628539E-3</v>
      </c>
      <c r="G34" s="3">
        <f t="shared" si="21"/>
        <v>6.3709014197480332E-3</v>
      </c>
      <c r="H34" s="3">
        <f t="shared" si="21"/>
        <v>0</v>
      </c>
      <c r="I34" s="3">
        <f t="shared" si="21"/>
        <v>-0.1357964496444013</v>
      </c>
      <c r="J34" s="3"/>
      <c r="K34" s="3"/>
      <c r="L34" s="3"/>
      <c r="M34" s="26" t="s">
        <v>42</v>
      </c>
      <c r="N34" s="39">
        <v>0.14285714285714282</v>
      </c>
      <c r="O34" s="39">
        <v>0.15516976021177703</v>
      </c>
      <c r="P34" s="39">
        <v>0.15516976021177703</v>
      </c>
      <c r="Q34" s="39">
        <v>6.4715843663212078E-2</v>
      </c>
      <c r="R34" s="39">
        <v>0.36466894450087722</v>
      </c>
      <c r="S34" s="39">
        <v>6.4715843663212078E-2</v>
      </c>
      <c r="T34" s="39">
        <v>6.4715843663212078E-2</v>
      </c>
      <c r="U34" s="39">
        <v>0.15516976021177703</v>
      </c>
      <c r="X34" t="s">
        <v>107</v>
      </c>
    </row>
    <row r="35" spans="2:45" x14ac:dyDescent="0.3">
      <c r="C35" s="1"/>
      <c r="D35" s="1"/>
      <c r="E35" s="1"/>
      <c r="F35" s="1"/>
      <c r="G35" s="1"/>
      <c r="H35" s="1"/>
      <c r="I35" s="1"/>
      <c r="J35" s="1"/>
      <c r="K35" s="1"/>
      <c r="L35" s="1"/>
      <c r="M35" s="25" t="s">
        <v>17</v>
      </c>
      <c r="N35" s="40">
        <v>0.14285714285714282</v>
      </c>
      <c r="O35" s="40">
        <v>5.6607258287930562E-2</v>
      </c>
      <c r="P35" s="40">
        <v>5.6607258287930562E-2</v>
      </c>
      <c r="Q35" s="40">
        <v>0.17870351554562083</v>
      </c>
      <c r="R35" s="40">
        <v>5.6607258287930562E-2</v>
      </c>
      <c r="S35" s="40">
        <v>0.38372959425591008</v>
      </c>
      <c r="T35" s="40">
        <v>0.17870351554562083</v>
      </c>
      <c r="U35" s="40">
        <v>5.6607258287930562E-2</v>
      </c>
    </row>
    <row r="36" spans="2:45" x14ac:dyDescent="0.3">
      <c r="C36" s="1"/>
      <c r="D36" s="1"/>
      <c r="E36" s="1"/>
      <c r="F36" s="1"/>
      <c r="G36" s="1"/>
      <c r="H36" s="1"/>
      <c r="I36" s="1"/>
      <c r="J36" s="1"/>
      <c r="K36" s="1"/>
      <c r="L36" s="1"/>
      <c r="M36" s="25" t="s">
        <v>43</v>
      </c>
      <c r="N36" s="40">
        <v>0.14285714285714282</v>
      </c>
      <c r="O36" s="40">
        <v>5.6607258287930562E-2</v>
      </c>
      <c r="P36" s="40">
        <v>5.6607258287930562E-2</v>
      </c>
      <c r="Q36" s="40">
        <v>0.17870351554562083</v>
      </c>
      <c r="R36" s="40">
        <v>5.6607258287930562E-2</v>
      </c>
      <c r="S36" s="40">
        <v>0.17870351554562083</v>
      </c>
      <c r="T36" s="40">
        <v>0.38372959425591002</v>
      </c>
      <c r="U36" s="40">
        <v>5.6607258287930562E-2</v>
      </c>
      <c r="AJ36" s="3">
        <f>AVERAGE(AJ13:AL13)</f>
        <v>5</v>
      </c>
      <c r="AK36" s="3">
        <f>AVERAGE(AM13:AO13)</f>
        <v>2.5</v>
      </c>
      <c r="AL36" s="3">
        <f>AVERAGE(AP13:AR13)</f>
        <v>2.5</v>
      </c>
      <c r="AM36" s="3">
        <f>AVERAGE(AS13:AU13)</f>
        <v>5</v>
      </c>
      <c r="AN36" s="3">
        <f>AVERAGE(AV13:AX13)</f>
        <v>5</v>
      </c>
      <c r="AO36" s="3">
        <f>AVERAGE(AY13:BA13)</f>
        <v>5</v>
      </c>
      <c r="AP36" s="3">
        <f>AVERAGE(BB13:BD13)</f>
        <v>5</v>
      </c>
      <c r="AQ36" s="3">
        <f>AVERAGE(BE13:BG13)</f>
        <v>2.5</v>
      </c>
      <c r="AR36" s="3">
        <f>AVERAGE(BH13:BJ13)</f>
        <v>2.5</v>
      </c>
      <c r="AS36" s="3">
        <f>AVERAGE(BK13:BM13)</f>
        <v>5</v>
      </c>
    </row>
    <row r="37" spans="2:45" x14ac:dyDescent="0.3">
      <c r="B37" t="s">
        <v>6</v>
      </c>
      <c r="C37" s="1" t="s">
        <v>0</v>
      </c>
      <c r="D37" s="1" t="s">
        <v>1</v>
      </c>
      <c r="E37" s="1" t="s">
        <v>26</v>
      </c>
      <c r="F37" s="1" t="s">
        <v>27</v>
      </c>
      <c r="G37" s="1" t="s">
        <v>28</v>
      </c>
      <c r="H37" s="1" t="s">
        <v>29</v>
      </c>
      <c r="I37" s="1" t="s">
        <v>30</v>
      </c>
      <c r="J37" s="1"/>
      <c r="K37" s="1"/>
      <c r="L37" s="1"/>
      <c r="M37" s="26" t="s">
        <v>24</v>
      </c>
      <c r="N37" s="39">
        <v>0.14285714285714282</v>
      </c>
      <c r="O37" s="39">
        <v>0.15516976021177703</v>
      </c>
      <c r="P37" s="39">
        <v>0.15516976021177703</v>
      </c>
      <c r="Q37" s="39">
        <v>6.4715843663212078E-2</v>
      </c>
      <c r="R37" s="39">
        <v>0.15516976021177703</v>
      </c>
      <c r="S37" s="39">
        <v>6.4715843663212078E-2</v>
      </c>
      <c r="T37" s="39">
        <v>6.4715843663212078E-2</v>
      </c>
      <c r="U37" s="39">
        <v>0.36466894450087722</v>
      </c>
      <c r="AJ37" s="3">
        <f t="shared" ref="AJ37:AJ39" si="22">AVERAGE(AJ14:AL14)</f>
        <v>3</v>
      </c>
      <c r="AK37" s="3">
        <f t="shared" ref="AK37:AK39" si="23">AVERAGE(AM14:AO14)</f>
        <v>1.5</v>
      </c>
      <c r="AL37" s="3">
        <f t="shared" ref="AL37:AL39" si="24">AVERAGE(AP14:AR14)</f>
        <v>1.5</v>
      </c>
      <c r="AM37" s="3">
        <f t="shared" ref="AM37:AM39" si="25">AVERAGE(AS14:AU14)</f>
        <v>3</v>
      </c>
      <c r="AN37" s="3">
        <f t="shared" ref="AN37:AN39" si="26">AVERAGE(AV14:AX14)</f>
        <v>3</v>
      </c>
      <c r="AO37" s="3">
        <f t="shared" ref="AO37:AO39" si="27">AVERAGE(AY14:BA14)</f>
        <v>3</v>
      </c>
      <c r="AP37" s="3">
        <f t="shared" ref="AP37:AP39" si="28">AVERAGE(BB14:BD14)</f>
        <v>8.3333333333333339</v>
      </c>
      <c r="AQ37" s="3">
        <f t="shared" ref="AQ37:AQ39" si="29">AVERAGE(BE14:BG14)</f>
        <v>1.5</v>
      </c>
      <c r="AR37" s="3">
        <f t="shared" ref="AR37:AR39" si="30">AVERAGE(BH14:BJ14)</f>
        <v>1.5</v>
      </c>
      <c r="AS37" s="3">
        <f t="shared" ref="AS37:AS39" si="31">AVERAGE(BK14:BM14)</f>
        <v>8.3333333333333339</v>
      </c>
    </row>
    <row r="38" spans="2:45" x14ac:dyDescent="0.3">
      <c r="B38" s="21" t="s">
        <v>44</v>
      </c>
      <c r="C38" s="3">
        <f>C23-C$28</f>
        <v>0</v>
      </c>
      <c r="D38" s="3">
        <f t="shared" ref="D38:I40" si="32">D23-D$28</f>
        <v>-1.3001859603544566E-2</v>
      </c>
      <c r="E38" s="3">
        <f t="shared" si="32"/>
        <v>-2.248747742345153E-3</v>
      </c>
      <c r="F38" s="3">
        <f t="shared" si="32"/>
        <v>0</v>
      </c>
      <c r="G38" s="3">
        <f t="shared" si="32"/>
        <v>-8.8896435991684605E-3</v>
      </c>
      <c r="H38" s="3">
        <f t="shared" si="32"/>
        <v>-4.7952486772457822E-3</v>
      </c>
      <c r="I38" s="3">
        <f t="shared" si="32"/>
        <v>0</v>
      </c>
      <c r="J38" s="3"/>
      <c r="K38" s="3"/>
      <c r="L38" s="3"/>
      <c r="AJ38" s="3">
        <f t="shared" si="22"/>
        <v>8.3333333333333339</v>
      </c>
      <c r="AK38" s="3">
        <f t="shared" si="23"/>
        <v>2.5</v>
      </c>
      <c r="AL38" s="3">
        <f t="shared" si="24"/>
        <v>2.5</v>
      </c>
      <c r="AM38" s="3">
        <f t="shared" si="25"/>
        <v>3</v>
      </c>
      <c r="AN38" s="3">
        <f t="shared" si="26"/>
        <v>3</v>
      </c>
      <c r="AO38" s="3">
        <f t="shared" si="27"/>
        <v>5</v>
      </c>
      <c r="AP38" s="3">
        <f t="shared" si="28"/>
        <v>3</v>
      </c>
      <c r="AQ38" s="3">
        <f t="shared" si="29"/>
        <v>1.5</v>
      </c>
      <c r="AR38" s="3">
        <f t="shared" si="30"/>
        <v>1.5</v>
      </c>
      <c r="AS38" s="3">
        <f t="shared" si="31"/>
        <v>3</v>
      </c>
    </row>
    <row r="39" spans="2:45" x14ac:dyDescent="0.3">
      <c r="B39" s="21" t="s">
        <v>45</v>
      </c>
      <c r="C39" s="3">
        <f>C24-C$28</f>
        <v>-3.3908300652354978E-2</v>
      </c>
      <c r="D39" s="3">
        <f t="shared" si="32"/>
        <v>-8.1823499322124238E-4</v>
      </c>
      <c r="E39" s="3">
        <f t="shared" si="32"/>
        <v>-5.0598611773829127E-4</v>
      </c>
      <c r="F39" s="3">
        <f t="shared" si="32"/>
        <v>8.7379417462985914E-3</v>
      </c>
      <c r="G39" s="3">
        <f t="shared" si="32"/>
        <v>0</v>
      </c>
      <c r="H39" s="3">
        <f t="shared" si="32"/>
        <v>0</v>
      </c>
      <c r="I39" s="3">
        <f t="shared" si="32"/>
        <v>0.31665825096725042</v>
      </c>
      <c r="J39" s="3"/>
      <c r="K39" s="3"/>
      <c r="L39" s="3"/>
      <c r="AJ39" s="3">
        <f t="shared" si="22"/>
        <v>8.3333333333333339</v>
      </c>
      <c r="AK39" s="3">
        <f t="shared" si="23"/>
        <v>1.5</v>
      </c>
      <c r="AL39" s="3">
        <f t="shared" si="24"/>
        <v>1.5</v>
      </c>
      <c r="AM39" s="3">
        <f t="shared" si="25"/>
        <v>3</v>
      </c>
      <c r="AN39" s="3">
        <f t="shared" si="26"/>
        <v>8.3333333333333339</v>
      </c>
      <c r="AO39" s="3">
        <f t="shared" si="27"/>
        <v>3</v>
      </c>
      <c r="AP39" s="3">
        <f t="shared" si="28"/>
        <v>5</v>
      </c>
      <c r="AQ39" s="3">
        <f t="shared" si="29"/>
        <v>1.5</v>
      </c>
      <c r="AR39" s="3">
        <f t="shared" si="30"/>
        <v>1.5</v>
      </c>
      <c r="AS39" s="3">
        <f t="shared" si="31"/>
        <v>3</v>
      </c>
    </row>
    <row r="40" spans="2:45" x14ac:dyDescent="0.3">
      <c r="B40" s="21" t="s">
        <v>46</v>
      </c>
      <c r="C40" s="3">
        <f>C25-C$28</f>
        <v>-1.6217396929654238E-2</v>
      </c>
      <c r="D40" s="3">
        <f t="shared" si="32"/>
        <v>0</v>
      </c>
      <c r="E40" s="3">
        <f t="shared" si="32"/>
        <v>0</v>
      </c>
      <c r="F40" s="3">
        <f t="shared" si="32"/>
        <v>2.9053568936700525E-3</v>
      </c>
      <c r="G40" s="3">
        <f t="shared" si="32"/>
        <v>-2.5187421794204273E-3</v>
      </c>
      <c r="H40" s="3">
        <f t="shared" si="32"/>
        <v>-2.1995158521209372E-2</v>
      </c>
      <c r="I40" s="3">
        <f t="shared" si="32"/>
        <v>0.18086180132284913</v>
      </c>
      <c r="J40" s="3"/>
      <c r="K40" s="3"/>
      <c r="L40" s="3"/>
    </row>
    <row r="43" spans="2:45" x14ac:dyDescent="0.3">
      <c r="B43" t="s">
        <v>7</v>
      </c>
    </row>
    <row r="44" spans="2:45" x14ac:dyDescent="0.3">
      <c r="B44" s="21" t="s">
        <v>44</v>
      </c>
      <c r="C44" s="3">
        <f>SQRT(C32^2+D32^2+E32^2+F32^2+G32^2+H32^2+I32^2)</f>
        <v>0.31905236135056392</v>
      </c>
      <c r="R44" s="14"/>
      <c r="S44" s="39"/>
      <c r="T44" s="39"/>
      <c r="U44" s="40"/>
      <c r="V44" s="39"/>
      <c r="W44" s="40"/>
      <c r="X44" s="40"/>
      <c r="Y44" s="39"/>
    </row>
    <row r="45" spans="2:45" x14ac:dyDescent="0.3">
      <c r="B45" s="21" t="s">
        <v>45</v>
      </c>
      <c r="C45" s="3">
        <f>SQRT(C33^2+D33^2+E33^2+F33^2+G33^2+H33^2+I33^2)</f>
        <v>2.6726217248590277E-2</v>
      </c>
      <c r="R45" s="15"/>
      <c r="S45" s="39"/>
      <c r="T45" s="39"/>
      <c r="U45" s="40"/>
      <c r="V45" s="39"/>
      <c r="W45" s="40"/>
      <c r="X45" s="40"/>
      <c r="Y45" s="39"/>
      <c r="AH45" s="11">
        <f>SUM(AJ45:AS45)</f>
        <v>1</v>
      </c>
      <c r="AJ45" s="3">
        <f>AJ36/SUM($AJ$36:$AS$36)</f>
        <v>0.125</v>
      </c>
      <c r="AK45" s="3">
        <f t="shared" ref="AK45:AS45" si="33">AK36/SUM($AJ$36:$AS$36)</f>
        <v>6.25E-2</v>
      </c>
      <c r="AL45" s="3">
        <f t="shared" si="33"/>
        <v>6.25E-2</v>
      </c>
      <c r="AM45" s="3">
        <f t="shared" si="33"/>
        <v>0.125</v>
      </c>
      <c r="AN45" s="3">
        <f t="shared" si="33"/>
        <v>0.125</v>
      </c>
      <c r="AO45" s="3">
        <f t="shared" si="33"/>
        <v>0.125</v>
      </c>
      <c r="AP45" s="3">
        <f t="shared" si="33"/>
        <v>0.125</v>
      </c>
      <c r="AQ45" s="3">
        <f t="shared" si="33"/>
        <v>6.25E-2</v>
      </c>
      <c r="AR45" s="3">
        <f t="shared" si="33"/>
        <v>6.25E-2</v>
      </c>
      <c r="AS45" s="3">
        <f t="shared" si="33"/>
        <v>0.125</v>
      </c>
    </row>
    <row r="46" spans="2:45" x14ac:dyDescent="0.3">
      <c r="B46" s="21" t="s">
        <v>46</v>
      </c>
      <c r="C46" s="3">
        <f>SQRT(C34^2+D34^2+E34^2+F34^2+G34^2+H34^2+I34^2)</f>
        <v>0.13784903503859766</v>
      </c>
      <c r="R46" s="15"/>
      <c r="S46" s="39"/>
      <c r="T46" s="39"/>
      <c r="U46" s="40"/>
      <c r="V46" s="39"/>
      <c r="W46" s="40"/>
      <c r="X46" s="40"/>
      <c r="Y46" s="39"/>
      <c r="AH46" s="11">
        <f>SUM(AJ46:AS46)</f>
        <v>0.99999999999999978</v>
      </c>
      <c r="AJ46" s="3">
        <f>AJ37/SUM($AJ$37:$AS$37)</f>
        <v>8.6538461538461522E-2</v>
      </c>
      <c r="AK46" s="3">
        <f t="shared" ref="AK46:AS46" si="34">AK37/SUM($AJ$37:$AS$37)</f>
        <v>4.3269230769230761E-2</v>
      </c>
      <c r="AL46" s="3">
        <f t="shared" si="34"/>
        <v>4.3269230769230761E-2</v>
      </c>
      <c r="AM46" s="3">
        <f t="shared" si="34"/>
        <v>8.6538461538461522E-2</v>
      </c>
      <c r="AN46" s="3">
        <f t="shared" si="34"/>
        <v>8.6538461538461522E-2</v>
      </c>
      <c r="AO46" s="3">
        <f t="shared" si="34"/>
        <v>8.6538461538461522E-2</v>
      </c>
      <c r="AP46" s="3">
        <f t="shared" si="34"/>
        <v>0.24038461538461536</v>
      </c>
      <c r="AQ46" s="3">
        <f t="shared" si="34"/>
        <v>4.3269230769230761E-2</v>
      </c>
      <c r="AR46" s="3">
        <f t="shared" si="34"/>
        <v>4.3269230769230761E-2</v>
      </c>
      <c r="AS46" s="3">
        <f t="shared" si="34"/>
        <v>0.24038461538461536</v>
      </c>
    </row>
    <row r="47" spans="2:45" x14ac:dyDescent="0.3">
      <c r="C47" s="3"/>
      <c r="R47" s="15"/>
      <c r="S47" s="39"/>
      <c r="T47" s="39"/>
      <c r="U47" s="40"/>
      <c r="V47" s="39"/>
      <c r="W47" s="40"/>
      <c r="X47" s="40"/>
      <c r="Y47" s="39"/>
      <c r="AH47" s="11">
        <f>SUM(AJ47:AS47)</f>
        <v>1</v>
      </c>
      <c r="AJ47" s="3">
        <f>AJ38/SUM($AJ$38:$AS$38)</f>
        <v>0.25</v>
      </c>
      <c r="AK47" s="3">
        <f t="shared" ref="AK47:AS47" si="35">AK38/SUM($AJ$38:$AS$38)</f>
        <v>7.4999999999999997E-2</v>
      </c>
      <c r="AL47" s="3">
        <f t="shared" si="35"/>
        <v>7.4999999999999997E-2</v>
      </c>
      <c r="AM47" s="3">
        <f t="shared" si="35"/>
        <v>0.09</v>
      </c>
      <c r="AN47" s="3">
        <f t="shared" si="35"/>
        <v>0.09</v>
      </c>
      <c r="AO47" s="3">
        <f t="shared" si="35"/>
        <v>0.15</v>
      </c>
      <c r="AP47" s="3">
        <f t="shared" si="35"/>
        <v>0.09</v>
      </c>
      <c r="AQ47" s="3">
        <f t="shared" si="35"/>
        <v>4.4999999999999998E-2</v>
      </c>
      <c r="AR47" s="3">
        <f t="shared" si="35"/>
        <v>4.4999999999999998E-2</v>
      </c>
      <c r="AS47" s="3">
        <f t="shared" si="35"/>
        <v>0.09</v>
      </c>
    </row>
    <row r="48" spans="2:45" x14ac:dyDescent="0.3">
      <c r="C48" s="3"/>
      <c r="R48" s="15"/>
      <c r="S48" s="39"/>
      <c r="T48" s="39"/>
      <c r="U48" s="40"/>
      <c r="V48" s="39"/>
      <c r="W48" s="40"/>
      <c r="X48" s="40"/>
      <c r="Y48" s="39"/>
      <c r="AH48" s="11">
        <f>SUM(AJ48:AS48)</f>
        <v>0.99999999999999989</v>
      </c>
      <c r="AJ48" s="3">
        <f>AJ39/SUM($AJ$39:$AS$39)</f>
        <v>0.22727272727272727</v>
      </c>
      <c r="AK48" s="3">
        <f t="shared" ref="AK48:AS48" si="36">AK39/SUM($AJ$39:$AS$39)</f>
        <v>4.0909090909090902E-2</v>
      </c>
      <c r="AL48" s="3">
        <f t="shared" si="36"/>
        <v>4.0909090909090902E-2</v>
      </c>
      <c r="AM48" s="3">
        <f t="shared" si="36"/>
        <v>8.1818181818181804E-2</v>
      </c>
      <c r="AN48" s="3">
        <f t="shared" si="36"/>
        <v>0.22727272727272727</v>
      </c>
      <c r="AO48" s="3">
        <f t="shared" si="36"/>
        <v>8.1818181818181804E-2</v>
      </c>
      <c r="AP48" s="3">
        <f t="shared" si="36"/>
        <v>0.13636363636363635</v>
      </c>
      <c r="AQ48" s="3">
        <f t="shared" si="36"/>
        <v>4.0909090909090902E-2</v>
      </c>
      <c r="AR48" s="3">
        <f t="shared" si="36"/>
        <v>4.0909090909090902E-2</v>
      </c>
      <c r="AS48" s="3">
        <f t="shared" si="36"/>
        <v>8.1818181818181804E-2</v>
      </c>
    </row>
    <row r="49" spans="2:25" x14ac:dyDescent="0.3">
      <c r="B49" t="s">
        <v>11</v>
      </c>
      <c r="C49" s="3"/>
      <c r="R49" s="15"/>
      <c r="S49" s="39"/>
      <c r="T49" s="39"/>
      <c r="U49" s="40"/>
      <c r="V49" s="39"/>
      <c r="W49" s="40"/>
      <c r="X49" s="40"/>
      <c r="Y49" s="39"/>
    </row>
    <row r="50" spans="2:25" ht="15" thickBot="1" x14ac:dyDescent="0.35">
      <c r="B50" s="21" t="s">
        <v>44</v>
      </c>
      <c r="C50" s="3">
        <f>SQRT(C38^2+D38^2+E38^2+F38^2+G38^2+H38^2+I38^2)</f>
        <v>1.6617021175765849E-2</v>
      </c>
      <c r="R50" s="16"/>
      <c r="S50" s="39"/>
      <c r="T50" s="39"/>
      <c r="U50" s="40"/>
      <c r="V50" s="39"/>
      <c r="W50" s="40"/>
      <c r="X50" s="40"/>
      <c r="Y50" s="39"/>
    </row>
    <row r="51" spans="2:25" x14ac:dyDescent="0.3">
      <c r="B51" s="21" t="s">
        <v>45</v>
      </c>
      <c r="C51" s="3">
        <f>SQRT(C39^2+D39^2+E39^2+F39^2+G39^2+H39^2+I39^2)</f>
        <v>0.31858985846254717</v>
      </c>
      <c r="S51" s="3"/>
      <c r="T51" s="3"/>
      <c r="U51" s="3"/>
      <c r="V51" s="3"/>
      <c r="W51" s="3"/>
      <c r="X51" s="3"/>
      <c r="Y51" s="3"/>
    </row>
    <row r="52" spans="2:25" x14ac:dyDescent="0.3">
      <c r="B52" s="21" t="s">
        <v>46</v>
      </c>
      <c r="C52" s="3">
        <f>SQRT(C40^2+D40^2+E40^2+F40^2+G40^2+H40^2+I40^2)</f>
        <v>0.18295509640384119</v>
      </c>
    </row>
    <row r="54" spans="2:25" x14ac:dyDescent="0.3">
      <c r="B54" t="s">
        <v>12</v>
      </c>
    </row>
    <row r="55" spans="2:25" x14ac:dyDescent="0.3">
      <c r="B55" s="21" t="s">
        <v>44</v>
      </c>
      <c r="C55" s="3">
        <f>C50/(C44+C50)</f>
        <v>4.9504131269590593E-2</v>
      </c>
    </row>
    <row r="56" spans="2:25" x14ac:dyDescent="0.3">
      <c r="B56" s="21" t="s">
        <v>45</v>
      </c>
      <c r="C56" s="3">
        <f>C51/(C45+C51)</f>
        <v>0.92260361121748879</v>
      </c>
    </row>
    <row r="57" spans="2:25" x14ac:dyDescent="0.3">
      <c r="B57" s="21" t="s">
        <v>46</v>
      </c>
      <c r="C57" s="3">
        <f>C52/(C46+C52)</f>
        <v>0.57030155933845383</v>
      </c>
    </row>
  </sheetData>
  <mergeCells count="21">
    <mergeCell ref="AU1:AW1"/>
    <mergeCell ref="B1:D1"/>
    <mergeCell ref="M1:T1"/>
    <mergeCell ref="AF1:AH1"/>
    <mergeCell ref="AK1:AM1"/>
    <mergeCell ref="AP1:AR1"/>
    <mergeCell ref="AJ5:AL5"/>
    <mergeCell ref="AM5:AO5"/>
    <mergeCell ref="AP5:AR5"/>
    <mergeCell ref="AS5:AU5"/>
    <mergeCell ref="AV5:AX5"/>
    <mergeCell ref="AZ1:BB1"/>
    <mergeCell ref="BE1:BG1"/>
    <mergeCell ref="BJ1:BL1"/>
    <mergeCell ref="BO1:BQ1"/>
    <mergeCell ref="BT1:BV1"/>
    <mergeCell ref="AY5:BA5"/>
    <mergeCell ref="BB5:BD5"/>
    <mergeCell ref="BE5:BG5"/>
    <mergeCell ref="BH5:BJ5"/>
    <mergeCell ref="BK5:BM5"/>
  </mergeCells>
  <conditionalFormatting sqref="C55:C57">
    <cfRule type="colorScale" priority="10">
      <colorScale>
        <cfvo type="min"/>
        <cfvo type="percentile" val="50"/>
        <cfvo type="max"/>
        <color rgb="FFF8696B"/>
        <color rgb="FFFFEB84"/>
        <color rgb="FF63BE7B"/>
      </colorScale>
    </cfRule>
  </conditionalFormatting>
  <conditionalFormatting sqref="AG55:AG57">
    <cfRule type="colorScale" priority="9">
      <colorScale>
        <cfvo type="min"/>
        <cfvo type="percentile" val="50"/>
        <cfvo type="max"/>
        <color rgb="FFF8696B"/>
        <color rgb="FFFFEB84"/>
        <color rgb="FF63BE7B"/>
      </colorScale>
    </cfRule>
  </conditionalFormatting>
  <conditionalFormatting sqref="AL55:AL57">
    <cfRule type="colorScale" priority="8">
      <colorScale>
        <cfvo type="min"/>
        <cfvo type="percentile" val="50"/>
        <cfvo type="max"/>
        <color rgb="FFF8696B"/>
        <color rgb="FFFFEB84"/>
        <color rgb="FF63BE7B"/>
      </colorScale>
    </cfRule>
  </conditionalFormatting>
  <conditionalFormatting sqref="AQ55:AQ57">
    <cfRule type="colorScale" priority="7">
      <colorScale>
        <cfvo type="min"/>
        <cfvo type="percentile" val="50"/>
        <cfvo type="max"/>
        <color rgb="FFF8696B"/>
        <color rgb="FFFFEB84"/>
        <color rgb="FF63BE7B"/>
      </colorScale>
    </cfRule>
  </conditionalFormatting>
  <conditionalFormatting sqref="AV55:AV57">
    <cfRule type="colorScale" priority="6">
      <colorScale>
        <cfvo type="min"/>
        <cfvo type="percentile" val="50"/>
        <cfvo type="max"/>
        <color rgb="FFF8696B"/>
        <color rgb="FFFFEB84"/>
        <color rgb="FF63BE7B"/>
      </colorScale>
    </cfRule>
  </conditionalFormatting>
  <conditionalFormatting sqref="BA55:BA57">
    <cfRule type="colorScale" priority="5">
      <colorScale>
        <cfvo type="min"/>
        <cfvo type="percentile" val="50"/>
        <cfvo type="max"/>
        <color rgb="FFF8696B"/>
        <color rgb="FFFFEB84"/>
        <color rgb="FF63BE7B"/>
      </colorScale>
    </cfRule>
  </conditionalFormatting>
  <conditionalFormatting sqref="BF55:BF57">
    <cfRule type="colorScale" priority="4">
      <colorScale>
        <cfvo type="min"/>
        <cfvo type="percentile" val="50"/>
        <cfvo type="max"/>
        <color rgb="FFF8696B"/>
        <color rgb="FFFFEB84"/>
        <color rgb="FF63BE7B"/>
      </colorScale>
    </cfRule>
  </conditionalFormatting>
  <conditionalFormatting sqref="BK55:BK57">
    <cfRule type="colorScale" priority="3">
      <colorScale>
        <cfvo type="min"/>
        <cfvo type="percentile" val="50"/>
        <cfvo type="max"/>
        <color rgb="FFF8696B"/>
        <color rgb="FFFFEB84"/>
        <color rgb="FF63BE7B"/>
      </colorScale>
    </cfRule>
  </conditionalFormatting>
  <conditionalFormatting sqref="BP55:BP57">
    <cfRule type="colorScale" priority="2">
      <colorScale>
        <cfvo type="min"/>
        <cfvo type="percentile" val="50"/>
        <cfvo type="max"/>
        <color rgb="FFF8696B"/>
        <color rgb="FFFFEB84"/>
        <color rgb="FF63BE7B"/>
      </colorScale>
    </cfRule>
  </conditionalFormatting>
  <conditionalFormatting sqref="BU55:BU5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61BF-4B80-45C1-980A-B9F90427BD47}">
  <dimension ref="B4:I7"/>
  <sheetViews>
    <sheetView topLeftCell="B1" workbookViewId="0">
      <selection activeCell="L18" sqref="L18"/>
    </sheetView>
  </sheetViews>
  <sheetFormatPr defaultRowHeight="14.4" x14ac:dyDescent="0.3"/>
  <cols>
    <col min="2" max="2" width="25" bestFit="1" customWidth="1"/>
    <col min="3" max="3" width="20" bestFit="1" customWidth="1"/>
    <col min="5" max="5" width="14.109375" bestFit="1" customWidth="1"/>
    <col min="6" max="6" width="24" bestFit="1" customWidth="1"/>
    <col min="7" max="7" width="13.6640625" bestFit="1" customWidth="1"/>
    <col min="8" max="8" width="20" bestFit="1" customWidth="1"/>
  </cols>
  <sheetData>
    <row r="4" spans="2:9" x14ac:dyDescent="0.3">
      <c r="B4" s="1" t="s">
        <v>10</v>
      </c>
      <c r="C4" s="25" t="s">
        <v>102</v>
      </c>
      <c r="D4" s="25" t="s">
        <v>37</v>
      </c>
      <c r="E4" s="25" t="s">
        <v>38</v>
      </c>
      <c r="F4" s="26" t="s">
        <v>103</v>
      </c>
      <c r="G4" s="25" t="s">
        <v>17</v>
      </c>
      <c r="H4" s="25" t="s">
        <v>104</v>
      </c>
      <c r="I4" s="26" t="s">
        <v>24</v>
      </c>
    </row>
    <row r="5" spans="2:9" x14ac:dyDescent="0.3">
      <c r="B5" s="1" t="s">
        <v>44</v>
      </c>
      <c r="C5" s="3">
        <v>0.67809099549724028</v>
      </c>
      <c r="D5" s="3">
        <v>0.52197428596145568</v>
      </c>
      <c r="E5" s="3">
        <v>0.553595359455337</v>
      </c>
      <c r="F5" s="3">
        <v>0.55186329081786478</v>
      </c>
      <c r="G5" s="3">
        <v>0.48369325021441395</v>
      </c>
      <c r="H5" s="3">
        <v>0.62576820627968321</v>
      </c>
      <c r="I5" s="3">
        <v>0</v>
      </c>
    </row>
    <row r="6" spans="2:9" x14ac:dyDescent="0.3">
      <c r="B6" s="1" t="s">
        <v>108</v>
      </c>
      <c r="C6" s="3">
        <v>0.45956709879161517</v>
      </c>
      <c r="D6" s="3">
        <v>0.60049232062036739</v>
      </c>
      <c r="E6" s="3">
        <v>0.58438225282053713</v>
      </c>
      <c r="F6" s="3">
        <v>0.60817543394660956</v>
      </c>
      <c r="G6" s="3">
        <v>0.64073395255600485</v>
      </c>
      <c r="H6" s="3">
        <v>0.71047905118326327</v>
      </c>
      <c r="I6" s="3">
        <v>0.86834444156099144</v>
      </c>
    </row>
    <row r="7" spans="2:9" x14ac:dyDescent="0.3">
      <c r="B7" s="1" t="s">
        <v>109</v>
      </c>
      <c r="C7" s="3">
        <v>0.57357709467326146</v>
      </c>
      <c r="D7" s="3">
        <v>0.60576548075224168</v>
      </c>
      <c r="E7" s="3">
        <v>0.59332079061660237</v>
      </c>
      <c r="F7" s="3">
        <v>0.57058702210226453</v>
      </c>
      <c r="G7" s="3">
        <v>0.596238913304873</v>
      </c>
      <c r="H7" s="3">
        <v>0.32192183808999042</v>
      </c>
      <c r="I7" s="3">
        <v>0.49596162231580992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4DF4-26C4-4D15-BC8B-5BC49B8367F9}">
  <dimension ref="B1:DW57"/>
  <sheetViews>
    <sheetView zoomScale="85" zoomScaleNormal="85" workbookViewId="0">
      <selection activeCell="A31" sqref="A31"/>
    </sheetView>
  </sheetViews>
  <sheetFormatPr defaultColWidth="8" defaultRowHeight="14.4" x14ac:dyDescent="0.3"/>
  <cols>
    <col min="2" max="2" width="27.44140625" bestFit="1" customWidth="1"/>
    <col min="3" max="3" width="21.44140625" bestFit="1" customWidth="1"/>
    <col min="4" max="4" width="17.88671875" bestFit="1" customWidth="1"/>
    <col min="5" max="5" width="15.109375" bestFit="1" customWidth="1"/>
    <col min="6" max="6" width="25.88671875" bestFit="1" customWidth="1"/>
    <col min="7" max="7" width="14.6640625" bestFit="1" customWidth="1"/>
    <col min="8" max="8" width="21.44140625" bestFit="1" customWidth="1"/>
    <col min="9" max="9" width="5.33203125" bestFit="1" customWidth="1"/>
    <col min="13" max="13" width="38.6640625" bestFit="1" customWidth="1"/>
    <col min="14" max="14" width="21.44140625" bestFit="1" customWidth="1"/>
    <col min="15" max="15" width="11.5546875" bestFit="1" customWidth="1"/>
    <col min="16" max="16" width="22.44140625" bestFit="1" customWidth="1"/>
    <col min="17" max="17" width="25.88671875" bestFit="1" customWidth="1"/>
    <col min="18" max="18" width="19.88671875" bestFit="1" customWidth="1"/>
    <col min="19" max="19" width="21.44140625" bestFit="1" customWidth="1"/>
    <col min="20" max="20" width="20.88671875" bestFit="1" customWidth="1"/>
    <col min="24" max="24" width="20.33203125" customWidth="1"/>
    <col min="25" max="25" width="7.33203125" customWidth="1"/>
    <col min="26" max="26" width="9.33203125" customWidth="1"/>
    <col min="27" max="27" width="7.5546875" customWidth="1"/>
    <col min="28" max="28" width="8" customWidth="1"/>
    <col min="29" max="31" width="7.33203125" customWidth="1"/>
    <col min="87" max="87" width="4.5546875" bestFit="1" customWidth="1"/>
    <col min="89" max="89" width="18.44140625" bestFit="1" customWidth="1"/>
    <col min="90" max="90" width="14" bestFit="1" customWidth="1"/>
    <col min="91" max="91" width="20" bestFit="1" customWidth="1"/>
    <col min="92" max="92" width="22.88671875" bestFit="1" customWidth="1"/>
    <col min="93" max="93" width="13.6640625" bestFit="1" customWidth="1"/>
    <col min="94" max="94" width="25.44140625" bestFit="1" customWidth="1"/>
    <col min="95" max="95" width="10.33203125" bestFit="1" customWidth="1"/>
    <col min="96" max="96" width="18.6640625" bestFit="1" customWidth="1"/>
    <col min="97" max="97" width="24.5546875" bestFit="1" customWidth="1"/>
    <col min="98" max="106" width="4.5546875" bestFit="1" customWidth="1"/>
    <col min="107" max="107" width="10.33203125" bestFit="1" customWidth="1"/>
    <col min="108" max="108" width="33.33203125" bestFit="1" customWidth="1"/>
    <col min="109" max="118" width="4.5546875" bestFit="1" customWidth="1"/>
  </cols>
  <sheetData>
    <row r="1" spans="2:127" ht="15" thickBot="1" x14ac:dyDescent="0.35">
      <c r="B1" s="130"/>
      <c r="C1" s="130"/>
      <c r="D1" s="130"/>
      <c r="M1" s="131" t="s">
        <v>40</v>
      </c>
      <c r="N1" s="132"/>
      <c r="O1" s="132"/>
      <c r="P1" s="132"/>
      <c r="Q1" s="132"/>
      <c r="R1" s="132"/>
      <c r="S1" s="132"/>
      <c r="T1" s="133"/>
      <c r="X1" s="1" t="s">
        <v>59</v>
      </c>
      <c r="CG1" s="130"/>
      <c r="CH1" s="130"/>
      <c r="CI1" s="130"/>
      <c r="CL1" s="130"/>
      <c r="CM1" s="130"/>
      <c r="CN1" s="130"/>
      <c r="CQ1" s="130"/>
      <c r="CR1" s="130"/>
      <c r="CS1" s="130"/>
      <c r="CV1" s="130"/>
      <c r="CW1" s="130"/>
      <c r="CX1" s="130"/>
      <c r="DA1" s="130"/>
      <c r="DB1" s="130"/>
      <c r="DC1" s="130"/>
      <c r="DF1" s="130"/>
      <c r="DG1" s="130"/>
      <c r="DH1" s="130"/>
      <c r="DK1" s="130"/>
      <c r="DL1" s="130"/>
      <c r="DM1" s="130"/>
      <c r="DP1" s="130"/>
      <c r="DQ1" s="130"/>
      <c r="DR1" s="130"/>
      <c r="DU1" s="130"/>
      <c r="DV1" s="130"/>
      <c r="DW1" s="130"/>
    </row>
    <row r="2" spans="2:127" x14ac:dyDescent="0.3">
      <c r="B2" s="1"/>
      <c r="C2" s="21" t="s">
        <v>41</v>
      </c>
      <c r="D2" s="21" t="s">
        <v>37</v>
      </c>
      <c r="E2" s="21" t="s">
        <v>38</v>
      </c>
      <c r="F2" s="21" t="s">
        <v>42</v>
      </c>
      <c r="G2" s="21" t="s">
        <v>17</v>
      </c>
      <c r="H2" s="21" t="s">
        <v>43</v>
      </c>
      <c r="I2" s="21" t="s">
        <v>24</v>
      </c>
      <c r="J2" s="1"/>
      <c r="K2" s="1"/>
      <c r="L2" s="1"/>
      <c r="M2" s="14" t="s">
        <v>39</v>
      </c>
      <c r="N2" s="39">
        <v>0.16666666666666666</v>
      </c>
      <c r="O2" s="39">
        <v>8.3333333333333329E-2</v>
      </c>
      <c r="P2" s="40">
        <v>8.3333333333333329E-2</v>
      </c>
      <c r="Q2" s="39">
        <v>0.16666666666666666</v>
      </c>
      <c r="R2" s="40">
        <v>0.16666666666666666</v>
      </c>
      <c r="S2" s="40">
        <v>0.16666666666666666</v>
      </c>
      <c r="T2" s="39">
        <v>0.16666666666666666</v>
      </c>
      <c r="U2" s="3"/>
      <c r="V2" s="3"/>
      <c r="W2" s="3"/>
      <c r="X2" s="42" t="s">
        <v>39</v>
      </c>
      <c r="Y2" s="38">
        <v>0.16666666666666666</v>
      </c>
      <c r="Z2" s="38">
        <v>8.3333333333333329E-2</v>
      </c>
      <c r="AA2" s="38">
        <v>8.3333333333333329E-2</v>
      </c>
      <c r="AB2" s="38">
        <v>0.16666666666666666</v>
      </c>
      <c r="AC2" s="38">
        <v>0.16666666666666666</v>
      </c>
      <c r="AD2" s="38">
        <v>0.16666666666666666</v>
      </c>
      <c r="AE2" s="38">
        <v>0.16666666666666666</v>
      </c>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3"/>
      <c r="BN2" s="3"/>
      <c r="BO2" s="3"/>
      <c r="BP2" s="3"/>
      <c r="BQ2" s="3"/>
      <c r="BR2" s="3"/>
      <c r="BS2" s="3"/>
      <c r="BT2" s="3"/>
      <c r="BU2" s="3"/>
      <c r="BV2" s="3"/>
      <c r="BW2" s="3"/>
      <c r="BX2" s="3"/>
    </row>
    <row r="3" spans="2:127" x14ac:dyDescent="0.3">
      <c r="B3" s="21" t="s">
        <v>44</v>
      </c>
      <c r="C3" s="20">
        <v>3183.4141458890263</v>
      </c>
      <c r="D3" s="20">
        <v>234412.22386008853</v>
      </c>
      <c r="E3" s="20">
        <v>902.85391987420633</v>
      </c>
      <c r="F3" s="20">
        <v>43.370138999999995</v>
      </c>
      <c r="G3" s="20">
        <v>14799.165421845959</v>
      </c>
      <c r="H3" s="20">
        <v>13267.188218752352</v>
      </c>
      <c r="I3" s="20">
        <v>0</v>
      </c>
      <c r="J3" s="3"/>
      <c r="K3" s="3"/>
      <c r="L3" s="3"/>
      <c r="M3" s="15" t="s">
        <v>31</v>
      </c>
      <c r="N3" s="39">
        <v>0.66666666666666663</v>
      </c>
      <c r="O3" s="39">
        <v>3.333333333333334E-2</v>
      </c>
      <c r="P3" s="40">
        <v>3.333333333333334E-2</v>
      </c>
      <c r="Q3" s="39">
        <v>6.666666666666668E-2</v>
      </c>
      <c r="R3" s="40">
        <v>6.666666666666668E-2</v>
      </c>
      <c r="S3" s="40">
        <v>6.666666666666668E-2</v>
      </c>
      <c r="T3" s="39">
        <v>6.666666666666668E-2</v>
      </c>
      <c r="U3" s="3"/>
      <c r="V3" s="3"/>
      <c r="W3" s="3"/>
      <c r="X3" s="42" t="s">
        <v>31</v>
      </c>
      <c r="Y3" s="38">
        <v>0.66666666666666663</v>
      </c>
      <c r="Z3" s="38">
        <v>3.333333333333334E-2</v>
      </c>
      <c r="AA3" s="38">
        <v>3.333333333333334E-2</v>
      </c>
      <c r="AB3" s="38">
        <v>6.666666666666668E-2</v>
      </c>
      <c r="AC3" s="38">
        <v>6.666666666666668E-2</v>
      </c>
      <c r="AD3" s="38">
        <v>6.666666666666668E-2</v>
      </c>
      <c r="AE3" s="38">
        <v>6.666666666666668E-2</v>
      </c>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3"/>
      <c r="BN3" s="3"/>
      <c r="BO3" s="3"/>
      <c r="BP3" s="3"/>
      <c r="BQ3" s="3"/>
      <c r="BR3" s="3"/>
      <c r="BS3" s="3"/>
      <c r="BT3" s="3"/>
      <c r="BU3" s="3"/>
      <c r="BV3" s="3"/>
      <c r="BW3" s="3"/>
      <c r="BX3" s="3"/>
    </row>
    <row r="4" spans="2:127" x14ac:dyDescent="0.3">
      <c r="B4" s="21" t="s">
        <v>45</v>
      </c>
      <c r="C4" s="20">
        <v>2157.5163407170794</v>
      </c>
      <c r="D4" s="20">
        <v>269673.70629809151</v>
      </c>
      <c r="E4" s="20">
        <v>953.06400000000019</v>
      </c>
      <c r="F4" s="20">
        <v>47.795628999999998</v>
      </c>
      <c r="G4" s="20">
        <v>19604.010912011163</v>
      </c>
      <c r="H4" s="20">
        <v>15063.180268567401</v>
      </c>
      <c r="I4" s="20">
        <v>0.56280780825182819</v>
      </c>
      <c r="J4" s="3"/>
      <c r="K4" s="3"/>
      <c r="L4" s="3"/>
      <c r="M4" s="15" t="s">
        <v>32</v>
      </c>
      <c r="N4" s="39">
        <v>6.666666666666668E-2</v>
      </c>
      <c r="O4" s="39">
        <v>0.33333333333333331</v>
      </c>
      <c r="P4" s="40">
        <v>0.33333333333333331</v>
      </c>
      <c r="Q4" s="39">
        <v>6.666666666666668E-2</v>
      </c>
      <c r="R4" s="40">
        <v>6.666666666666668E-2</v>
      </c>
      <c r="S4" s="40">
        <v>6.666666666666668E-2</v>
      </c>
      <c r="T4" s="39">
        <v>6.666666666666668E-2</v>
      </c>
      <c r="U4" s="3"/>
      <c r="V4" s="3"/>
      <c r="W4" s="3"/>
      <c r="X4" s="42" t="s">
        <v>32</v>
      </c>
      <c r="Y4" s="38">
        <v>6.666666666666668E-2</v>
      </c>
      <c r="Z4" s="38">
        <v>0.33333333333333331</v>
      </c>
      <c r="AA4" s="38">
        <v>0.33333333333333331</v>
      </c>
      <c r="AB4" s="38">
        <v>6.666666666666668E-2</v>
      </c>
      <c r="AC4" s="38">
        <v>6.666666666666668E-2</v>
      </c>
      <c r="AD4" s="38">
        <v>6.666666666666668E-2</v>
      </c>
      <c r="AE4" s="38">
        <v>6.666666666666668E-2</v>
      </c>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3"/>
      <c r="BN4" s="3"/>
      <c r="BO4" s="3"/>
      <c r="BP4" s="3"/>
      <c r="BQ4" s="3"/>
      <c r="BR4" s="3"/>
      <c r="BS4" s="3"/>
      <c r="BT4" s="3"/>
      <c r="BU4" s="3"/>
      <c r="BV4" s="3"/>
      <c r="BW4" s="3"/>
      <c r="BX4" s="3"/>
    </row>
    <row r="5" spans="2:127" x14ac:dyDescent="0.3">
      <c r="B5" s="21" t="s">
        <v>46</v>
      </c>
      <c r="C5" s="20">
        <v>2692.7557644410881</v>
      </c>
      <c r="D5" s="20">
        <v>272041.81757584569</v>
      </c>
      <c r="E5" s="20">
        <v>967.64178456644106</v>
      </c>
      <c r="F5" s="20">
        <v>44.841610000000017</v>
      </c>
      <c r="G5" s="20">
        <v>18242.6327120112</v>
      </c>
      <c r="H5" s="20">
        <v>6825.2071211136717</v>
      </c>
      <c r="I5" s="20">
        <v>0.3214520186607035</v>
      </c>
      <c r="J5" s="3"/>
      <c r="K5" s="3"/>
      <c r="L5" s="3"/>
      <c r="M5" s="15" t="s">
        <v>33</v>
      </c>
      <c r="N5" s="39">
        <v>6.666666666666668E-2</v>
      </c>
      <c r="O5" s="39">
        <v>3.333333333333334E-2</v>
      </c>
      <c r="P5" s="40">
        <v>3.333333333333334E-2</v>
      </c>
      <c r="Q5" s="39">
        <v>0.66666666666666663</v>
      </c>
      <c r="R5" s="40">
        <v>6.666666666666668E-2</v>
      </c>
      <c r="S5" s="40">
        <v>6.666666666666668E-2</v>
      </c>
      <c r="T5" s="39">
        <v>6.666666666666668E-2</v>
      </c>
      <c r="U5" s="3"/>
      <c r="V5" s="3"/>
      <c r="W5" s="3"/>
      <c r="X5" s="42" t="s">
        <v>33</v>
      </c>
      <c r="Y5" s="38">
        <v>6.666666666666668E-2</v>
      </c>
      <c r="Z5" s="38">
        <v>3.333333333333334E-2</v>
      </c>
      <c r="AA5" s="38">
        <v>3.333333333333334E-2</v>
      </c>
      <c r="AB5" s="38">
        <v>0.66666666666666663</v>
      </c>
      <c r="AC5" s="38">
        <v>6.666666666666668E-2</v>
      </c>
      <c r="AD5" s="38">
        <v>6.666666666666668E-2</v>
      </c>
      <c r="AE5" s="38">
        <v>6.666666666666668E-2</v>
      </c>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3"/>
      <c r="BN5" s="3"/>
      <c r="BO5" s="3"/>
      <c r="BP5" s="3"/>
      <c r="BQ5" s="3"/>
      <c r="BR5" s="3"/>
      <c r="BS5" s="3"/>
      <c r="BT5" s="3"/>
      <c r="BU5" s="3"/>
      <c r="BV5" s="3"/>
      <c r="BW5" s="3"/>
      <c r="BX5" s="3"/>
      <c r="CK5" s="136" t="s">
        <v>13</v>
      </c>
      <c r="CL5" s="137"/>
      <c r="CM5" s="138"/>
      <c r="CN5" s="139" t="s">
        <v>14</v>
      </c>
      <c r="CO5" s="140"/>
      <c r="CP5" s="141"/>
      <c r="CQ5" s="139" t="s">
        <v>15</v>
      </c>
      <c r="CR5" s="140"/>
      <c r="CS5" s="141"/>
      <c r="CT5" s="139" t="s">
        <v>16</v>
      </c>
      <c r="CU5" s="140"/>
      <c r="CV5" s="141"/>
      <c r="CW5" s="139" t="s">
        <v>17</v>
      </c>
      <c r="CX5" s="140"/>
      <c r="CY5" s="141" t="s">
        <v>18</v>
      </c>
      <c r="CZ5" s="139" t="s">
        <v>19</v>
      </c>
      <c r="DA5" s="140"/>
      <c r="DB5" s="141"/>
      <c r="DC5" s="37" t="s">
        <v>20</v>
      </c>
      <c r="DD5" s="37" t="s">
        <v>21</v>
      </c>
      <c r="DE5" s="37"/>
      <c r="DF5" s="139" t="s">
        <v>22</v>
      </c>
      <c r="DG5" s="140"/>
      <c r="DH5" s="141"/>
      <c r="DI5" s="139" t="s">
        <v>23</v>
      </c>
      <c r="DJ5" s="140"/>
      <c r="DK5" s="141"/>
      <c r="DL5" s="139" t="s">
        <v>24</v>
      </c>
      <c r="DM5" s="140"/>
      <c r="DN5" s="141"/>
    </row>
    <row r="6" spans="2:127" x14ac:dyDescent="0.3">
      <c r="M6" s="15" t="s">
        <v>34</v>
      </c>
      <c r="N6" s="39">
        <v>6.666666666666668E-2</v>
      </c>
      <c r="O6" s="39">
        <v>3.333333333333334E-2</v>
      </c>
      <c r="P6" s="40">
        <v>3.333333333333334E-2</v>
      </c>
      <c r="Q6" s="39">
        <v>6.666666666666668E-2</v>
      </c>
      <c r="R6" s="40">
        <v>0.66666666666666663</v>
      </c>
      <c r="S6" s="40">
        <v>6.666666666666668E-2</v>
      </c>
      <c r="T6" s="39">
        <v>6.666666666666668E-2</v>
      </c>
      <c r="X6" s="42" t="s">
        <v>34</v>
      </c>
      <c r="Y6" s="38">
        <v>6.666666666666668E-2</v>
      </c>
      <c r="Z6" s="38">
        <v>3.333333333333334E-2</v>
      </c>
      <c r="AA6" s="38">
        <v>3.333333333333334E-2</v>
      </c>
      <c r="AB6" s="38">
        <v>6.666666666666668E-2</v>
      </c>
      <c r="AC6" s="38">
        <v>0.66666666666666663</v>
      </c>
      <c r="AD6" s="38">
        <v>6.666666666666668E-2</v>
      </c>
      <c r="AE6" s="38">
        <v>6.666666666666668E-2</v>
      </c>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CK6" s="7">
        <v>-0.78401297875392606</v>
      </c>
      <c r="CL6" s="7">
        <v>9.7194159560733212E-2</v>
      </c>
      <c r="CM6" s="7">
        <v>1</v>
      </c>
      <c r="CN6" s="8">
        <v>0</v>
      </c>
      <c r="CO6" s="8">
        <v>0</v>
      </c>
      <c r="CP6" s="8">
        <v>0.96357318140301196</v>
      </c>
      <c r="CQ6" s="9">
        <v>0</v>
      </c>
      <c r="CR6" s="9">
        <v>0</v>
      </c>
      <c r="CS6" s="9">
        <v>0.55298644381627804</v>
      </c>
      <c r="CT6" s="8">
        <v>0</v>
      </c>
      <c r="CU6" s="8">
        <v>0</v>
      </c>
      <c r="CV6" s="8">
        <v>0.68910505130127075</v>
      </c>
      <c r="CW6" s="3">
        <v>0</v>
      </c>
      <c r="CX6" s="3">
        <v>0</v>
      </c>
      <c r="CY6" s="3">
        <v>0.68914847755973008</v>
      </c>
      <c r="CZ6" s="10">
        <v>0</v>
      </c>
      <c r="DA6" s="10">
        <v>0</v>
      </c>
      <c r="DB6" s="10">
        <v>0.95799576830385191</v>
      </c>
      <c r="DC6" s="3">
        <v>0</v>
      </c>
      <c r="DD6" s="3">
        <v>6.2357614143024433E-3</v>
      </c>
      <c r="DE6" s="3">
        <v>1</v>
      </c>
      <c r="DF6" s="3">
        <v>0</v>
      </c>
      <c r="DG6" s="3">
        <v>6.6274598539537918E-2</v>
      </c>
      <c r="DH6" s="3">
        <v>1</v>
      </c>
      <c r="DI6" s="3">
        <v>0</v>
      </c>
      <c r="DJ6" s="3">
        <v>0</v>
      </c>
      <c r="DK6" s="3">
        <v>1</v>
      </c>
      <c r="DL6" s="3">
        <v>0</v>
      </c>
      <c r="DM6" s="3">
        <v>3.4641522068614935E-4</v>
      </c>
      <c r="DN6" s="3">
        <v>1</v>
      </c>
    </row>
    <row r="7" spans="2:127" x14ac:dyDescent="0.3">
      <c r="B7" s="1" t="s">
        <v>48</v>
      </c>
      <c r="C7" s="39">
        <v>6.666666666666668E-2</v>
      </c>
      <c r="D7" s="39">
        <v>3.333333333333334E-2</v>
      </c>
      <c r="E7" s="40">
        <v>3.333333333333334E-2</v>
      </c>
      <c r="F7" s="39">
        <v>6.666666666666668E-2</v>
      </c>
      <c r="G7" s="40">
        <v>6.666666666666668E-2</v>
      </c>
      <c r="H7" s="40">
        <v>6.666666666666668E-2</v>
      </c>
      <c r="I7" s="39">
        <v>0.66666666666666663</v>
      </c>
      <c r="J7" s="3"/>
      <c r="K7" s="3"/>
      <c r="L7" s="3"/>
      <c r="M7" s="15" t="s">
        <v>35</v>
      </c>
      <c r="N7" s="39">
        <v>6.666666666666668E-2</v>
      </c>
      <c r="O7" s="39">
        <v>3.333333333333334E-2</v>
      </c>
      <c r="P7" s="40">
        <v>3.333333333333334E-2</v>
      </c>
      <c r="Q7" s="39">
        <v>6.666666666666668E-2</v>
      </c>
      <c r="R7" s="40">
        <v>6.666666666666668E-2</v>
      </c>
      <c r="S7" s="40">
        <v>0.66666666666666663</v>
      </c>
      <c r="T7" s="39">
        <v>6.666666666666668E-2</v>
      </c>
      <c r="X7" s="42" t="s">
        <v>35</v>
      </c>
      <c r="Y7" s="38">
        <v>6.666666666666668E-2</v>
      </c>
      <c r="Z7" s="38">
        <v>3.333333333333334E-2</v>
      </c>
      <c r="AA7" s="38">
        <v>3.333333333333334E-2</v>
      </c>
      <c r="AB7" s="38">
        <v>6.666666666666668E-2</v>
      </c>
      <c r="AC7" s="38">
        <v>6.666666666666668E-2</v>
      </c>
      <c r="AD7" s="38">
        <v>0.66666666666666663</v>
      </c>
      <c r="AE7" s="38">
        <v>6.666666666666668E-2</v>
      </c>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CK7" s="7">
        <v>-0.81155825289745276</v>
      </c>
      <c r="CL7" s="7">
        <v>3.5217292737798223E-2</v>
      </c>
      <c r="CM7" s="7">
        <v>0.88981890342589331</v>
      </c>
      <c r="CN7" s="8">
        <v>0</v>
      </c>
      <c r="CO7" s="8">
        <v>3.9795712040180458E-3</v>
      </c>
      <c r="CP7" s="8">
        <v>0.97551189501506608</v>
      </c>
      <c r="CQ7" s="9">
        <v>0</v>
      </c>
      <c r="CR7" s="9">
        <v>8.3206699887752061E-2</v>
      </c>
      <c r="CS7" s="9">
        <v>0.8026065434795342</v>
      </c>
      <c r="CT7" s="8">
        <v>0</v>
      </c>
      <c r="CU7" s="8">
        <v>3.2541870409785865E-2</v>
      </c>
      <c r="CV7" s="8">
        <v>0.7867306625306284</v>
      </c>
      <c r="CW7" s="3">
        <v>0</v>
      </c>
      <c r="CX7" s="3">
        <v>3.2539903897976272E-2</v>
      </c>
      <c r="CY7" s="3">
        <v>0.78676818925365888</v>
      </c>
      <c r="CZ7" s="10">
        <v>0</v>
      </c>
      <c r="DA7" s="10">
        <v>8.8138277957979256E-3</v>
      </c>
      <c r="DB7" s="10">
        <v>0.97731412069078893</v>
      </c>
      <c r="DC7" s="3">
        <v>0</v>
      </c>
      <c r="DD7" s="3">
        <v>0</v>
      </c>
      <c r="DE7" s="3">
        <v>0.93151599689208586</v>
      </c>
      <c r="DF7" s="3">
        <v>0</v>
      </c>
      <c r="DG7" s="3">
        <v>1.3637913245490817E-2</v>
      </c>
      <c r="DH7" s="3">
        <v>0.96846501120933071</v>
      </c>
      <c r="DI7" s="3">
        <v>0</v>
      </c>
      <c r="DJ7" s="3">
        <v>2.5594661364239982E-3</v>
      </c>
      <c r="DK7" s="3">
        <v>1</v>
      </c>
      <c r="DL7" s="3">
        <v>0</v>
      </c>
      <c r="DM7" s="3">
        <v>0</v>
      </c>
      <c r="DN7" s="3">
        <v>1</v>
      </c>
    </row>
    <row r="8" spans="2:127" ht="15" thickBot="1" x14ac:dyDescent="0.35">
      <c r="M8" s="16" t="s">
        <v>58</v>
      </c>
      <c r="N8" s="39">
        <v>6.666666666666668E-2</v>
      </c>
      <c r="O8" s="39">
        <v>3.333333333333334E-2</v>
      </c>
      <c r="P8" s="40">
        <v>3.333333333333334E-2</v>
      </c>
      <c r="Q8" s="39">
        <v>6.666666666666668E-2</v>
      </c>
      <c r="R8" s="40">
        <v>6.666666666666668E-2</v>
      </c>
      <c r="S8" s="40">
        <v>6.666666666666668E-2</v>
      </c>
      <c r="T8" s="39">
        <v>0.66666666666666663</v>
      </c>
      <c r="X8" s="42" t="s">
        <v>58</v>
      </c>
      <c r="Y8" s="38">
        <v>6.666666666666668E-2</v>
      </c>
      <c r="Z8" s="38">
        <v>3.333333333333334E-2</v>
      </c>
      <c r="AA8" s="38">
        <v>3.333333333333334E-2</v>
      </c>
      <c r="AB8" s="38">
        <v>6.666666666666668E-2</v>
      </c>
      <c r="AC8" s="38">
        <v>6.666666666666668E-2</v>
      </c>
      <c r="AD8" s="38">
        <v>6.666666666666668E-2</v>
      </c>
      <c r="AE8" s="38">
        <v>0.66666666666666663</v>
      </c>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CK8" s="7">
        <v>-0.82721038300314087</v>
      </c>
      <c r="CL8" s="7">
        <v>0</v>
      </c>
      <c r="CM8" s="7">
        <v>0.82721038300314087</v>
      </c>
      <c r="CN8" s="8">
        <v>0</v>
      </c>
      <c r="CO8" s="8">
        <v>0.12243516375190849</v>
      </c>
      <c r="CP8" s="8">
        <v>1</v>
      </c>
      <c r="CQ8" s="9">
        <v>0</v>
      </c>
      <c r="CR8" s="9">
        <v>0.18032912016182648</v>
      </c>
      <c r="CS8" s="9">
        <v>1</v>
      </c>
      <c r="CT8" s="8">
        <v>0</v>
      </c>
      <c r="CU8" s="8">
        <v>0.20870353052727808</v>
      </c>
      <c r="CV8" s="8">
        <v>1</v>
      </c>
      <c r="CW8" s="3">
        <v>0</v>
      </c>
      <c r="CX8" s="3">
        <v>0.20875454107450656</v>
      </c>
      <c r="CY8" s="3">
        <v>1</v>
      </c>
      <c r="CZ8" s="10">
        <v>0</v>
      </c>
      <c r="DA8" s="10">
        <v>2.4070757169109058E-2</v>
      </c>
      <c r="DB8" s="10">
        <v>1</v>
      </c>
      <c r="DC8" s="3">
        <v>0</v>
      </c>
      <c r="DD8" s="3">
        <v>2.5681501165467829E-2</v>
      </c>
      <c r="DE8" s="3">
        <v>1</v>
      </c>
      <c r="DF8" s="3">
        <v>0</v>
      </c>
      <c r="DG8" s="3">
        <v>0</v>
      </c>
      <c r="DH8" s="3">
        <v>0.92755127147285821</v>
      </c>
      <c r="DI8" s="3">
        <v>0</v>
      </c>
      <c r="DJ8" s="3">
        <v>8.7029711165191107E-3</v>
      </c>
      <c r="DK8" s="3">
        <v>1</v>
      </c>
      <c r="DL8" s="3">
        <v>0</v>
      </c>
      <c r="DM8" s="3">
        <v>1.4015339629943337E-3</v>
      </c>
      <c r="DN8" s="3">
        <v>1</v>
      </c>
    </row>
    <row r="10" spans="2:127" x14ac:dyDescent="0.3">
      <c r="C10" s="25" t="s">
        <v>41</v>
      </c>
      <c r="D10" s="25" t="s">
        <v>37</v>
      </c>
      <c r="E10" s="25" t="s">
        <v>38</v>
      </c>
      <c r="F10" s="26" t="s">
        <v>42</v>
      </c>
      <c r="G10" s="25" t="s">
        <v>17</v>
      </c>
      <c r="H10" s="25" t="s">
        <v>43</v>
      </c>
      <c r="I10" s="26" t="s">
        <v>24</v>
      </c>
      <c r="J10" s="1"/>
      <c r="K10" s="1"/>
      <c r="L10" s="1"/>
      <c r="N10" s="3">
        <f>2/3</f>
        <v>0.66666666666666663</v>
      </c>
      <c r="O10" s="3"/>
      <c r="P10" s="3"/>
      <c r="Q10" s="3"/>
      <c r="R10" s="3"/>
      <c r="S10" s="3"/>
      <c r="T10" s="3"/>
    </row>
    <row r="11" spans="2:127" x14ac:dyDescent="0.3">
      <c r="B11" s="22" t="s">
        <v>44</v>
      </c>
      <c r="C11" s="20">
        <f t="shared" ref="C11:I13" si="0">C3^2</f>
        <v>10134125.624246359</v>
      </c>
      <c r="D11" s="20">
        <f t="shared" si="0"/>
        <v>54949090695.032257</v>
      </c>
      <c r="E11" s="20">
        <f t="shared" si="0"/>
        <v>815145.20063221978</v>
      </c>
      <c r="F11" s="20">
        <f t="shared" si="0"/>
        <v>1880.9689568793206</v>
      </c>
      <c r="G11" s="20">
        <f t="shared" si="0"/>
        <v>219015297.18316108</v>
      </c>
      <c r="H11" s="20">
        <f t="shared" si="0"/>
        <v>176018283.23180118</v>
      </c>
      <c r="I11" s="20">
        <f t="shared" si="0"/>
        <v>0</v>
      </c>
      <c r="J11" s="2"/>
      <c r="K11" s="2"/>
      <c r="L11" s="2"/>
      <c r="N11" s="1"/>
    </row>
    <row r="12" spans="2:127" x14ac:dyDescent="0.3">
      <c r="B12" s="21" t="s">
        <v>45</v>
      </c>
      <c r="C12" s="20">
        <f t="shared" si="0"/>
        <v>4654876.7604612168</v>
      </c>
      <c r="D12" s="20">
        <f t="shared" si="0"/>
        <v>72723907868.549316</v>
      </c>
      <c r="E12" s="20">
        <f t="shared" si="0"/>
        <v>908330.98809600039</v>
      </c>
      <c r="F12" s="20">
        <f t="shared" si="0"/>
        <v>2284.4221515056406</v>
      </c>
      <c r="G12" s="20">
        <f t="shared" si="0"/>
        <v>384317243.83825272</v>
      </c>
      <c r="H12" s="20">
        <f t="shared" si="0"/>
        <v>226899399.80335829</v>
      </c>
      <c r="I12" s="20">
        <f t="shared" si="0"/>
        <v>0.31675262902922663</v>
      </c>
      <c r="J12" s="2"/>
      <c r="K12" s="2"/>
      <c r="L12" s="2"/>
      <c r="N12" s="3">
        <f>(2/3)*N10</f>
        <v>0.44444444444444442</v>
      </c>
    </row>
    <row r="13" spans="2:127" ht="15" thickBot="1" x14ac:dyDescent="0.35">
      <c r="B13" s="21" t="s">
        <v>46</v>
      </c>
      <c r="C13" s="20">
        <f t="shared" si="0"/>
        <v>7250933.6069307085</v>
      </c>
      <c r="D13" s="20">
        <f t="shared" si="0"/>
        <v>74006750509.969711</v>
      </c>
      <c r="E13" s="20">
        <f t="shared" si="0"/>
        <v>936330.62323892675</v>
      </c>
      <c r="F13" s="20">
        <f t="shared" si="0"/>
        <v>2010.7699873921015</v>
      </c>
      <c r="G13" s="20">
        <f t="shared" si="0"/>
        <v>332793648.2653411</v>
      </c>
      <c r="H13" s="20">
        <f t="shared" si="0"/>
        <v>46583452.246100776</v>
      </c>
      <c r="I13" s="20">
        <f t="shared" si="0"/>
        <v>0.10333140030104127</v>
      </c>
      <c r="J13" s="2"/>
      <c r="K13" s="2"/>
      <c r="L13" s="2"/>
      <c r="CK13" s="4">
        <v>3</v>
      </c>
      <c r="CL13" s="4">
        <v>5</v>
      </c>
      <c r="CM13" s="4">
        <v>7</v>
      </c>
      <c r="CN13" s="4">
        <v>1.5</v>
      </c>
      <c r="CO13" s="4">
        <v>2.5</v>
      </c>
      <c r="CP13" s="4">
        <v>3.5</v>
      </c>
      <c r="CQ13" s="4">
        <v>1.5</v>
      </c>
      <c r="CR13" s="4">
        <v>2.5</v>
      </c>
      <c r="CS13" s="4">
        <v>3.5</v>
      </c>
      <c r="CT13" s="4">
        <v>3</v>
      </c>
      <c r="CU13" s="4">
        <v>5</v>
      </c>
      <c r="CV13" s="4">
        <v>7</v>
      </c>
      <c r="CW13" s="4">
        <v>3</v>
      </c>
      <c r="CX13" s="4">
        <v>5</v>
      </c>
      <c r="CY13" s="4">
        <v>7</v>
      </c>
      <c r="CZ13" s="4">
        <v>3</v>
      </c>
      <c r="DA13" s="4">
        <v>5</v>
      </c>
      <c r="DB13" s="4">
        <v>7</v>
      </c>
      <c r="DC13" s="4">
        <v>3</v>
      </c>
      <c r="DD13" s="4">
        <v>5</v>
      </c>
      <c r="DE13" s="4">
        <v>7</v>
      </c>
      <c r="DF13" s="4">
        <v>1.5</v>
      </c>
      <c r="DG13" s="4">
        <v>2.5</v>
      </c>
      <c r="DH13" s="4">
        <v>3.5</v>
      </c>
      <c r="DI13" s="4">
        <v>1.5</v>
      </c>
      <c r="DJ13" s="4">
        <v>2.5</v>
      </c>
      <c r="DK13" s="4">
        <v>3.5</v>
      </c>
      <c r="DL13" s="4">
        <v>3</v>
      </c>
      <c r="DM13" s="4">
        <v>5</v>
      </c>
      <c r="DN13" s="4">
        <v>7</v>
      </c>
    </row>
    <row r="14" spans="2:127" ht="15" thickBot="1" x14ac:dyDescent="0.35">
      <c r="B14" s="19" t="s">
        <v>8</v>
      </c>
      <c r="C14" s="20">
        <f>SUM(C11:C13)</f>
        <v>22039935.991638284</v>
      </c>
      <c r="D14" s="20">
        <f>SUM(D11:D13)</f>
        <v>201679749073.55127</v>
      </c>
      <c r="E14" s="20">
        <f t="shared" ref="E14:I14" si="1">SUM(E11:E13)</f>
        <v>2659806.811967147</v>
      </c>
      <c r="F14" s="20">
        <f t="shared" si="1"/>
        <v>6176.1610957770627</v>
      </c>
      <c r="G14" s="20">
        <f t="shared" si="1"/>
        <v>936126189.28675485</v>
      </c>
      <c r="H14" s="20">
        <f t="shared" si="1"/>
        <v>449501135.28126025</v>
      </c>
      <c r="I14" s="20">
        <f t="shared" si="1"/>
        <v>0.42008402933026789</v>
      </c>
      <c r="J14" s="2"/>
      <c r="K14" s="2"/>
      <c r="L14" s="2"/>
      <c r="N14" s="43" t="s">
        <v>41</v>
      </c>
      <c r="O14" s="44" t="s">
        <v>37</v>
      </c>
      <c r="P14" s="44" t="s">
        <v>38</v>
      </c>
      <c r="Q14" s="44" t="s">
        <v>42</v>
      </c>
      <c r="R14" s="44" t="s">
        <v>17</v>
      </c>
      <c r="S14" s="44" t="s">
        <v>43</v>
      </c>
      <c r="T14" s="45" t="s">
        <v>24</v>
      </c>
      <c r="CK14" s="4">
        <v>1</v>
      </c>
      <c r="CL14" s="4">
        <v>3</v>
      </c>
      <c r="CM14" s="4">
        <v>5</v>
      </c>
      <c r="CN14" s="4">
        <v>0.5</v>
      </c>
      <c r="CO14" s="4">
        <v>1.5</v>
      </c>
      <c r="CP14" s="4">
        <v>2.5</v>
      </c>
      <c r="CQ14" s="4">
        <v>0.5</v>
      </c>
      <c r="CR14" s="4">
        <v>1.5</v>
      </c>
      <c r="CS14" s="4">
        <v>2.5</v>
      </c>
      <c r="CT14" s="4">
        <v>1</v>
      </c>
      <c r="CU14" s="4">
        <v>3</v>
      </c>
      <c r="CV14" s="4">
        <v>5</v>
      </c>
      <c r="CW14" s="4">
        <v>1</v>
      </c>
      <c r="CX14" s="4">
        <v>3</v>
      </c>
      <c r="CY14" s="4">
        <v>5</v>
      </c>
      <c r="CZ14" s="4">
        <v>1</v>
      </c>
      <c r="DA14" s="4">
        <v>3</v>
      </c>
      <c r="DB14" s="4">
        <v>5</v>
      </c>
      <c r="DC14" s="4">
        <v>7</v>
      </c>
      <c r="DD14" s="4">
        <v>9</v>
      </c>
      <c r="DE14" s="4">
        <v>9</v>
      </c>
      <c r="DF14" s="4">
        <v>0.5</v>
      </c>
      <c r="DG14" s="4">
        <v>1.5</v>
      </c>
      <c r="DH14" s="4">
        <v>2.5</v>
      </c>
      <c r="DI14" s="4">
        <v>0.5</v>
      </c>
      <c r="DJ14" s="4">
        <v>1.5</v>
      </c>
      <c r="DK14" s="4">
        <v>2.5</v>
      </c>
      <c r="DL14" s="4">
        <v>7</v>
      </c>
      <c r="DM14" s="4">
        <v>9</v>
      </c>
      <c r="DN14" s="4">
        <v>9</v>
      </c>
    </row>
    <row r="15" spans="2:127" x14ac:dyDescent="0.3">
      <c r="B15" s="19" t="s">
        <v>9</v>
      </c>
      <c r="C15" s="20">
        <f>C14^(1/2)</f>
        <v>4694.6710205975332</v>
      </c>
      <c r="D15" s="20">
        <f>D14^(1/2)</f>
        <v>449087.68528378871</v>
      </c>
      <c r="E15" s="20">
        <f>E14^(1/2)</f>
        <v>1630.8914163631946</v>
      </c>
      <c r="F15" s="20">
        <f t="shared" ref="F15:I15" si="2">F14^(1/2)</f>
        <v>78.588555755765498</v>
      </c>
      <c r="G15" s="20">
        <f t="shared" si="2"/>
        <v>30596.179324986882</v>
      </c>
      <c r="H15" s="20">
        <f t="shared" si="2"/>
        <v>21201.441820811626</v>
      </c>
      <c r="I15" s="20">
        <f t="shared" si="2"/>
        <v>0.64813889663425373</v>
      </c>
      <c r="J15" s="2"/>
      <c r="K15" s="2"/>
      <c r="L15" s="2"/>
      <c r="CK15" s="4">
        <v>7</v>
      </c>
      <c r="CL15" s="4">
        <v>9</v>
      </c>
      <c r="CM15" s="4">
        <v>9</v>
      </c>
      <c r="CN15" s="4">
        <v>1.5</v>
      </c>
      <c r="CO15" s="4">
        <v>2.5</v>
      </c>
      <c r="CP15" s="4">
        <v>3.5</v>
      </c>
      <c r="CQ15" s="4">
        <v>1.5</v>
      </c>
      <c r="CR15" s="4">
        <v>2.5</v>
      </c>
      <c r="CS15" s="4">
        <v>3.5</v>
      </c>
      <c r="CT15" s="4">
        <v>1</v>
      </c>
      <c r="CU15" s="4">
        <v>3</v>
      </c>
      <c r="CV15" s="4">
        <v>5</v>
      </c>
      <c r="CW15" s="4">
        <v>1</v>
      </c>
      <c r="CX15" s="4">
        <v>3</v>
      </c>
      <c r="CY15" s="4">
        <v>5</v>
      </c>
      <c r="CZ15" s="4">
        <v>3</v>
      </c>
      <c r="DA15" s="4">
        <v>5</v>
      </c>
      <c r="DB15" s="4">
        <v>7</v>
      </c>
      <c r="DC15" s="4">
        <v>1</v>
      </c>
      <c r="DD15" s="4">
        <v>3</v>
      </c>
      <c r="DE15" s="4">
        <v>5</v>
      </c>
      <c r="DF15" s="4">
        <v>0.5</v>
      </c>
      <c r="DG15" s="4">
        <v>1.5</v>
      </c>
      <c r="DH15" s="4">
        <v>2.5</v>
      </c>
      <c r="DI15" s="4">
        <v>0.5</v>
      </c>
      <c r="DJ15" s="4">
        <v>1.5</v>
      </c>
      <c r="DK15" s="4">
        <v>2.5</v>
      </c>
      <c r="DL15" s="4">
        <v>1</v>
      </c>
      <c r="DM15" s="4">
        <v>3</v>
      </c>
      <c r="DN15" s="4">
        <v>5</v>
      </c>
    </row>
    <row r="16" spans="2:127" x14ac:dyDescent="0.3">
      <c r="CK16" s="1">
        <v>7</v>
      </c>
      <c r="CL16" s="1">
        <v>9</v>
      </c>
      <c r="CM16" s="1">
        <v>9</v>
      </c>
      <c r="CN16" s="1">
        <v>0.5</v>
      </c>
      <c r="CO16" s="1">
        <v>1.5</v>
      </c>
      <c r="CP16" s="1">
        <v>2.5</v>
      </c>
      <c r="CQ16" s="1">
        <v>0.5</v>
      </c>
      <c r="CR16" s="1">
        <v>1.5</v>
      </c>
      <c r="CS16" s="1">
        <v>2.5</v>
      </c>
      <c r="CT16" s="1">
        <v>1</v>
      </c>
      <c r="CU16" s="1">
        <v>3</v>
      </c>
      <c r="CV16" s="1">
        <v>5</v>
      </c>
      <c r="CW16" s="1">
        <v>7</v>
      </c>
      <c r="CX16" s="1">
        <v>9</v>
      </c>
      <c r="CY16" s="1">
        <v>9</v>
      </c>
      <c r="CZ16" s="1">
        <v>1</v>
      </c>
      <c r="DA16" s="1">
        <v>3</v>
      </c>
      <c r="DB16" s="1">
        <v>5</v>
      </c>
      <c r="DC16" s="1">
        <v>3</v>
      </c>
      <c r="DD16" s="1">
        <v>5</v>
      </c>
      <c r="DE16" s="1">
        <v>7</v>
      </c>
      <c r="DF16" s="1">
        <v>0.5</v>
      </c>
      <c r="DG16" s="1">
        <v>1.5</v>
      </c>
      <c r="DH16" s="1">
        <v>2.5</v>
      </c>
      <c r="DI16" s="1">
        <v>0.5</v>
      </c>
      <c r="DJ16" s="1">
        <v>1.5</v>
      </c>
      <c r="DK16" s="1">
        <v>2.5</v>
      </c>
      <c r="DL16" s="1">
        <v>1</v>
      </c>
      <c r="DM16" s="1">
        <v>3</v>
      </c>
      <c r="DN16" s="1">
        <v>5</v>
      </c>
    </row>
    <row r="17" spans="2:118" x14ac:dyDescent="0.3">
      <c r="B17" s="1" t="s">
        <v>10</v>
      </c>
      <c r="C17" s="1" t="s">
        <v>0</v>
      </c>
      <c r="D17" s="1" t="s">
        <v>1</v>
      </c>
      <c r="E17" s="1" t="s">
        <v>26</v>
      </c>
      <c r="F17" s="1" t="s">
        <v>27</v>
      </c>
      <c r="G17" s="1" t="s">
        <v>28</v>
      </c>
      <c r="H17" s="1" t="s">
        <v>29</v>
      </c>
      <c r="I17" s="1" t="s">
        <v>30</v>
      </c>
      <c r="J17" s="1"/>
      <c r="K17" s="1"/>
      <c r="L17" s="1"/>
    </row>
    <row r="18" spans="2:118" x14ac:dyDescent="0.3">
      <c r="B18" s="21" t="s">
        <v>44</v>
      </c>
      <c r="C18" s="3">
        <f t="shared" ref="C18:I20" si="3">C3/C$15</f>
        <v>0.67809099549724028</v>
      </c>
      <c r="D18" s="3">
        <f t="shared" si="3"/>
        <v>0.52197428596145568</v>
      </c>
      <c r="E18" s="3">
        <f t="shared" si="3"/>
        <v>0.553595359455337</v>
      </c>
      <c r="F18" s="3">
        <f t="shared" si="3"/>
        <v>0.55186329081786478</v>
      </c>
      <c r="G18" s="3">
        <f t="shared" si="3"/>
        <v>0.48369325021441395</v>
      </c>
      <c r="H18" s="3">
        <f t="shared" si="3"/>
        <v>0.62576820627968321</v>
      </c>
      <c r="I18" s="3">
        <f t="shared" si="3"/>
        <v>0</v>
      </c>
      <c r="J18" s="3"/>
      <c r="K18" s="3"/>
      <c r="L18" s="3"/>
    </row>
    <row r="19" spans="2:118" x14ac:dyDescent="0.3">
      <c r="B19" s="21" t="s">
        <v>45</v>
      </c>
      <c r="C19" s="3">
        <f t="shared" si="3"/>
        <v>0.45956709879161517</v>
      </c>
      <c r="D19" s="3">
        <f t="shared" si="3"/>
        <v>0.60049232062036739</v>
      </c>
      <c r="E19" s="3">
        <f t="shared" si="3"/>
        <v>0.58438225282053713</v>
      </c>
      <c r="F19" s="3">
        <f t="shared" si="3"/>
        <v>0.60817543394660956</v>
      </c>
      <c r="G19" s="3">
        <f t="shared" si="3"/>
        <v>0.64073395255600485</v>
      </c>
      <c r="H19" s="3">
        <f t="shared" si="3"/>
        <v>0.71047905118326327</v>
      </c>
      <c r="I19" s="3">
        <f t="shared" si="3"/>
        <v>0.86834444156099144</v>
      </c>
      <c r="J19" s="3"/>
      <c r="K19" s="3"/>
      <c r="L19" s="3"/>
      <c r="CK19" s="5"/>
      <c r="CL19" s="6"/>
      <c r="CM19" s="6"/>
      <c r="CN19" s="6"/>
      <c r="CO19" s="6"/>
      <c r="CP19" s="6"/>
      <c r="CQ19" s="6"/>
      <c r="CR19" s="6"/>
      <c r="CS19" s="6"/>
      <c r="CT19" s="6"/>
      <c r="CU19" s="6"/>
      <c r="CV19" s="6"/>
      <c r="CX19" s="6"/>
      <c r="CY19" s="6"/>
      <c r="DA19" s="6"/>
      <c r="DB19" s="6"/>
      <c r="DE19" s="6"/>
      <c r="DG19" s="6"/>
      <c r="DH19" s="6"/>
      <c r="DJ19" s="6"/>
      <c r="DK19" s="6"/>
      <c r="DM19" s="6"/>
      <c r="DN19" s="6"/>
    </row>
    <row r="20" spans="2:118" x14ac:dyDescent="0.3">
      <c r="B20" s="21" t="s">
        <v>46</v>
      </c>
      <c r="C20" s="3">
        <f t="shared" si="3"/>
        <v>0.57357709467326146</v>
      </c>
      <c r="D20" s="3">
        <f t="shared" si="3"/>
        <v>0.60576548075224168</v>
      </c>
      <c r="E20" s="3">
        <f t="shared" si="3"/>
        <v>0.59332079061660237</v>
      </c>
      <c r="F20" s="3">
        <f t="shared" si="3"/>
        <v>0.57058702210226453</v>
      </c>
      <c r="G20" s="3">
        <f t="shared" si="3"/>
        <v>0.596238913304873</v>
      </c>
      <c r="H20" s="3">
        <f t="shared" si="3"/>
        <v>0.32192183808999042</v>
      </c>
      <c r="I20" s="3">
        <f t="shared" si="3"/>
        <v>0.49596162231580992</v>
      </c>
      <c r="J20" s="3"/>
      <c r="K20" s="3"/>
      <c r="L20" s="3"/>
    </row>
    <row r="21" spans="2:118" ht="15" thickBot="1" x14ac:dyDescent="0.35"/>
    <row r="22" spans="2:118" x14ac:dyDescent="0.3">
      <c r="B22" s="1" t="s">
        <v>2</v>
      </c>
      <c r="C22" s="1" t="s">
        <v>0</v>
      </c>
      <c r="D22" s="1" t="s">
        <v>1</v>
      </c>
      <c r="E22" s="1" t="s">
        <v>26</v>
      </c>
      <c r="F22" s="1" t="s">
        <v>27</v>
      </c>
      <c r="G22" s="1" t="s">
        <v>28</v>
      </c>
      <c r="H22" s="1" t="s">
        <v>29</v>
      </c>
      <c r="I22" s="1" t="s">
        <v>30</v>
      </c>
      <c r="J22" s="1"/>
      <c r="K22" s="1"/>
      <c r="L22" s="1"/>
      <c r="M22" s="17" t="s">
        <v>47</v>
      </c>
      <c r="N22" s="18" t="s">
        <v>56</v>
      </c>
      <c r="O22" s="35" t="s">
        <v>54</v>
      </c>
      <c r="P22" s="35" t="s">
        <v>49</v>
      </c>
      <c r="Q22" s="35" t="s">
        <v>50</v>
      </c>
      <c r="R22" s="35" t="s">
        <v>57</v>
      </c>
      <c r="S22" s="35" t="s">
        <v>51</v>
      </c>
      <c r="T22" s="36" t="s">
        <v>55</v>
      </c>
    </row>
    <row r="23" spans="2:118" x14ac:dyDescent="0.3">
      <c r="B23" s="21" t="s">
        <v>44</v>
      </c>
      <c r="C23" s="3">
        <f>C18*C$7</f>
        <v>4.5206066366482694E-2</v>
      </c>
      <c r="D23" s="3">
        <f t="shared" ref="D23:I23" si="4">D18*D$7</f>
        <v>1.7399142865381859E-2</v>
      </c>
      <c r="E23" s="3">
        <f t="shared" si="4"/>
        <v>1.8453178648511238E-2</v>
      </c>
      <c r="F23" s="3">
        <f t="shared" si="4"/>
        <v>3.6790886054524324E-2</v>
      </c>
      <c r="G23" s="3">
        <f t="shared" si="4"/>
        <v>3.2246216680960935E-2</v>
      </c>
      <c r="H23" s="3">
        <f t="shared" si="4"/>
        <v>4.1717880418645555E-2</v>
      </c>
      <c r="I23" s="3">
        <f t="shared" si="4"/>
        <v>0</v>
      </c>
      <c r="J23" s="3"/>
      <c r="K23" s="3"/>
      <c r="L23" s="3"/>
      <c r="M23" s="33" t="s">
        <v>44</v>
      </c>
      <c r="N23" s="20">
        <v>0.16291712321024895</v>
      </c>
      <c r="O23" s="20">
        <v>7.2126564147582478E-2</v>
      </c>
      <c r="P23" s="20">
        <v>0.34403616249402003</v>
      </c>
      <c r="Q23" s="20">
        <v>0.14347918468504781</v>
      </c>
      <c r="R23" s="20">
        <v>0.62420195799491407</v>
      </c>
      <c r="S23" s="20">
        <v>0.21404134903853775</v>
      </c>
      <c r="T23" s="30">
        <v>2.0770164735711059E-2</v>
      </c>
    </row>
    <row r="24" spans="2:118" x14ac:dyDescent="0.3">
      <c r="B24" s="21" t="s">
        <v>45</v>
      </c>
      <c r="C24" s="3">
        <f t="shared" ref="C24:I25" si="5">C19*C$7</f>
        <v>3.0637806586107683E-2</v>
      </c>
      <c r="D24" s="3">
        <f t="shared" si="5"/>
        <v>2.0016410687345585E-2</v>
      </c>
      <c r="E24" s="3">
        <f t="shared" si="5"/>
        <v>1.9479408427351241E-2</v>
      </c>
      <c r="F24" s="3">
        <f t="shared" si="5"/>
        <v>4.0545028929773977E-2</v>
      </c>
      <c r="G24" s="3">
        <f t="shared" si="5"/>
        <v>4.2715596837067001E-2</v>
      </c>
      <c r="H24" s="3">
        <f t="shared" si="5"/>
        <v>4.7365270078884227E-2</v>
      </c>
      <c r="I24" s="3">
        <f t="shared" si="5"/>
        <v>0.57889629437399426</v>
      </c>
      <c r="J24" s="3"/>
      <c r="K24" s="3"/>
      <c r="L24" s="3"/>
      <c r="M24" s="33" t="s">
        <v>52</v>
      </c>
      <c r="N24" s="20">
        <v>0.6805180473211534</v>
      </c>
      <c r="O24" s="20">
        <v>0.84812187081211876</v>
      </c>
      <c r="P24" s="20">
        <v>0.60184777625460395</v>
      </c>
      <c r="Q24" s="20">
        <v>0.71520576300891281</v>
      </c>
      <c r="R24" s="20">
        <v>0.35666767724615828</v>
      </c>
      <c r="S24" s="20">
        <v>0.18745712416619478</v>
      </c>
      <c r="T24" s="30">
        <v>0.95375189161516738</v>
      </c>
    </row>
    <row r="25" spans="2:118" ht="15" thickBot="1" x14ac:dyDescent="0.35">
      <c r="B25" s="21" t="s">
        <v>46</v>
      </c>
      <c r="C25" s="3">
        <f t="shared" si="5"/>
        <v>3.823847297821744E-2</v>
      </c>
      <c r="D25" s="3">
        <f t="shared" si="5"/>
        <v>2.0192182691741393E-2</v>
      </c>
      <c r="E25" s="3">
        <f t="shared" si="5"/>
        <v>1.9777359687220084E-2</v>
      </c>
      <c r="F25" s="3">
        <f t="shared" si="5"/>
        <v>3.8039134806817643E-2</v>
      </c>
      <c r="G25" s="3">
        <f t="shared" si="5"/>
        <v>3.9749260886991544E-2</v>
      </c>
      <c r="H25" s="3">
        <f t="shared" si="5"/>
        <v>2.1461455872666031E-2</v>
      </c>
      <c r="I25" s="3">
        <f t="shared" si="5"/>
        <v>0.33064108154387328</v>
      </c>
      <c r="J25" s="3"/>
      <c r="K25" s="3"/>
      <c r="L25" s="3"/>
      <c r="M25" s="34" t="s">
        <v>53</v>
      </c>
      <c r="N25" s="29">
        <v>0.60984452959437596</v>
      </c>
      <c r="O25" s="29">
        <v>0.50312897692398872</v>
      </c>
      <c r="P25" s="29">
        <v>0.50932283985537607</v>
      </c>
      <c r="Q25" s="29">
        <v>0.54593555572628205</v>
      </c>
      <c r="R25" s="29">
        <v>0.39502073963456064</v>
      </c>
      <c r="S25" s="29">
        <v>0.90533721258449906</v>
      </c>
      <c r="T25" s="31">
        <v>0.57171471988226175</v>
      </c>
    </row>
    <row r="26" spans="2:118" x14ac:dyDescent="0.3">
      <c r="B26" s="1"/>
      <c r="C26" s="1"/>
      <c r="D26" s="1"/>
      <c r="E26" s="1"/>
      <c r="F26" s="1"/>
      <c r="G26" s="1"/>
      <c r="H26" s="1"/>
      <c r="I26" s="1"/>
      <c r="J26" s="1"/>
      <c r="K26" s="1"/>
      <c r="L26" s="1"/>
      <c r="N26" s="7">
        <f>N24-N23</f>
        <v>0.51760092411090441</v>
      </c>
      <c r="O26" s="7">
        <f t="shared" ref="O26:T26" si="6">O24-O23</f>
        <v>0.77599530666453631</v>
      </c>
      <c r="P26" s="3">
        <f t="shared" si="6"/>
        <v>0.25781161376058392</v>
      </c>
      <c r="Q26" s="7">
        <f t="shared" si="6"/>
        <v>0.57172657832386498</v>
      </c>
      <c r="R26" s="32">
        <f t="shared" si="6"/>
        <v>-0.26753428074875579</v>
      </c>
      <c r="S26" s="32">
        <f t="shared" si="6"/>
        <v>-2.6584224872342965E-2</v>
      </c>
      <c r="T26" s="7">
        <f t="shared" si="6"/>
        <v>0.93298172687945635</v>
      </c>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row>
    <row r="27" spans="2:118" x14ac:dyDescent="0.3">
      <c r="B27" s="1" t="s">
        <v>3</v>
      </c>
      <c r="C27" s="3">
        <f>MIN(C23:C25)</f>
        <v>3.0637806586107683E-2</v>
      </c>
      <c r="D27" s="3">
        <f>MIN(D23:D25)</f>
        <v>1.7399142865381859E-2</v>
      </c>
      <c r="E27" s="3">
        <f>MIN(E23:E25)</f>
        <v>1.8453178648511238E-2</v>
      </c>
      <c r="F27" s="3">
        <f>MAX(F23:F25)</f>
        <v>4.0545028929773977E-2</v>
      </c>
      <c r="G27" s="3">
        <f t="shared" ref="G27:H27" si="7">MIN(G23:G25)</f>
        <v>3.2246216680960935E-2</v>
      </c>
      <c r="H27" s="3">
        <f t="shared" si="7"/>
        <v>2.1461455872666031E-2</v>
      </c>
      <c r="I27" s="3">
        <f>MAX(I23:I25)</f>
        <v>0.57889629437399426</v>
      </c>
      <c r="J27" s="3"/>
      <c r="K27" s="3"/>
      <c r="L27" s="3"/>
    </row>
    <row r="28" spans="2:118" x14ac:dyDescent="0.3">
      <c r="B28" s="1" t="s">
        <v>4</v>
      </c>
      <c r="C28" s="3">
        <f>MAX(C23:C25)</f>
        <v>4.5206066366482694E-2</v>
      </c>
      <c r="D28" s="3">
        <f>MAX(D23:D25)</f>
        <v>2.0192182691741393E-2</v>
      </c>
      <c r="E28" s="3">
        <f>MAX(E23:E25)</f>
        <v>1.9777359687220084E-2</v>
      </c>
      <c r="F28" s="3">
        <f>MIN(F23:F25)</f>
        <v>3.6790886054524324E-2</v>
      </c>
      <c r="G28" s="3">
        <f t="shared" ref="G28:H28" si="8">MAX(G23:G25)</f>
        <v>4.2715596837067001E-2</v>
      </c>
      <c r="H28" s="3">
        <f t="shared" si="8"/>
        <v>4.7365270078884227E-2</v>
      </c>
      <c r="I28" s="3">
        <f>MIN(I23:I25)</f>
        <v>0</v>
      </c>
      <c r="J28" s="3"/>
      <c r="K28" s="3"/>
      <c r="L28" s="3"/>
      <c r="CK28" s="1" t="s">
        <v>13</v>
      </c>
      <c r="CL28" s="1" t="s">
        <v>14</v>
      </c>
      <c r="CM28" s="1" t="s">
        <v>15</v>
      </c>
      <c r="CN28" s="1" t="s">
        <v>16</v>
      </c>
      <c r="CO28" s="1" t="s">
        <v>17</v>
      </c>
      <c r="CP28" s="1" t="s">
        <v>19</v>
      </c>
      <c r="CQ28" s="1" t="s">
        <v>20</v>
      </c>
      <c r="CR28" s="1" t="s">
        <v>25</v>
      </c>
      <c r="CS28" s="1" t="s">
        <v>23</v>
      </c>
      <c r="CT28" s="1" t="s">
        <v>24</v>
      </c>
    </row>
    <row r="29" spans="2:118" x14ac:dyDescent="0.3">
      <c r="CK29" s="3">
        <f>AVERAGE(CK6:CM6)</f>
        <v>0.10439372693560238</v>
      </c>
      <c r="CL29" s="3">
        <f>AVERAGE(CN6:CP6)</f>
        <v>0.32119106046767065</v>
      </c>
      <c r="CM29" s="3">
        <f>AVERAGE(CQ6:CS6)</f>
        <v>0.18432881460542602</v>
      </c>
      <c r="CN29" s="3">
        <f>AVERAGE(CT6:CV6)</f>
        <v>0.22970168376709024</v>
      </c>
      <c r="CO29" s="3">
        <f>AVERAGE(CW6:CY6)</f>
        <v>0.2297161591865767</v>
      </c>
      <c r="CP29" s="3">
        <f>AVERAGE(CZ6:DB6)</f>
        <v>0.31933192276795064</v>
      </c>
      <c r="CQ29" s="3">
        <f>AVERAGE(DC6:DE6)</f>
        <v>0.33541192047143414</v>
      </c>
      <c r="CR29" s="3">
        <f>AVERAGE(DF6:DH6)</f>
        <v>0.35542486617984598</v>
      </c>
      <c r="CS29" s="3">
        <f>AVERAGE(DI6:DK6)</f>
        <v>0.33333333333333331</v>
      </c>
      <c r="CT29" s="3">
        <f>AVERAGE(DL6:DN6)</f>
        <v>0.33344880507356206</v>
      </c>
    </row>
    <row r="30" spans="2:118" x14ac:dyDescent="0.3">
      <c r="CK30" s="3">
        <f>AVERAGE(CK7:CM7)</f>
        <v>3.7825981088746276E-2</v>
      </c>
      <c r="CL30" s="3">
        <f t="shared" ref="CL30:CL31" si="9">AVERAGE(CN7:CP7)</f>
        <v>0.32649715540636137</v>
      </c>
      <c r="CM30" s="3">
        <f t="shared" ref="CM30:CM31" si="10">AVERAGE(CQ7:CS7)</f>
        <v>0.29527108112242878</v>
      </c>
      <c r="CN30" s="3">
        <f t="shared" ref="CN30:CN31" si="11">AVERAGE(CT7:CV7)</f>
        <v>0.27309084431347141</v>
      </c>
      <c r="CO30" s="3">
        <f t="shared" ref="CO30:CO31" si="12">AVERAGE(CW7:CY7)</f>
        <v>0.27310269771721168</v>
      </c>
      <c r="CP30" s="3">
        <f t="shared" ref="CP30:CP31" si="13">AVERAGE(CZ7:DB7)</f>
        <v>0.32870931616219562</v>
      </c>
      <c r="CQ30" s="3">
        <f t="shared" ref="CQ30:CQ31" si="14">AVERAGE(DC7:DE7)</f>
        <v>0.31050533229736194</v>
      </c>
      <c r="CR30" s="3">
        <f t="shared" ref="CR30:CR31" si="15">AVERAGE(DF7:DH7)</f>
        <v>0.32736764148494052</v>
      </c>
      <c r="CS30" s="3">
        <f t="shared" ref="CS30:CS31" si="16">AVERAGE(DI7:DK7)</f>
        <v>0.33418648871214135</v>
      </c>
      <c r="CT30" s="3">
        <f t="shared" ref="CT30:CT31" si="17">AVERAGE(DL7:DN7)</f>
        <v>0.33333333333333331</v>
      </c>
    </row>
    <row r="31" spans="2:118" x14ac:dyDescent="0.3">
      <c r="B31" t="s">
        <v>5</v>
      </c>
      <c r="C31" s="1" t="s">
        <v>0</v>
      </c>
      <c r="D31" s="1" t="s">
        <v>1</v>
      </c>
      <c r="E31" s="1" t="s">
        <v>26</v>
      </c>
      <c r="F31" s="1" t="s">
        <v>27</v>
      </c>
      <c r="G31" s="1" t="s">
        <v>28</v>
      </c>
      <c r="H31" s="1" t="s">
        <v>29</v>
      </c>
      <c r="I31" s="1" t="s">
        <v>30</v>
      </c>
      <c r="J31" s="1"/>
      <c r="K31" s="1"/>
      <c r="L31" s="1"/>
      <c r="CK31" s="3">
        <f t="shared" ref="CK31" si="18">AVERAGE(CK8:CM8)</f>
        <v>0</v>
      </c>
      <c r="CL31" s="3">
        <f t="shared" si="9"/>
        <v>0.37414505458396952</v>
      </c>
      <c r="CM31" s="3">
        <f t="shared" si="10"/>
        <v>0.39344304005394215</v>
      </c>
      <c r="CN31" s="3">
        <f t="shared" si="11"/>
        <v>0.40290117684242599</v>
      </c>
      <c r="CO31" s="3">
        <f t="shared" si="12"/>
        <v>0.4029181803581689</v>
      </c>
      <c r="CP31" s="3">
        <f t="shared" si="13"/>
        <v>0.34135691905636967</v>
      </c>
      <c r="CQ31" s="3">
        <f t="shared" si="14"/>
        <v>0.34189383372182264</v>
      </c>
      <c r="CR31" s="3">
        <f t="shared" si="15"/>
        <v>0.30918375715761942</v>
      </c>
      <c r="CS31" s="3">
        <f t="shared" si="16"/>
        <v>0.33623432370550638</v>
      </c>
      <c r="CT31" s="3">
        <f t="shared" si="17"/>
        <v>0.33380051132099808</v>
      </c>
    </row>
    <row r="32" spans="2:118" x14ac:dyDescent="0.3">
      <c r="B32" s="21" t="s">
        <v>44</v>
      </c>
      <c r="C32" s="3">
        <f>C23-C$27</f>
        <v>1.4568259780375011E-2</v>
      </c>
      <c r="D32" s="3">
        <f t="shared" ref="D32:I34" si="19">D23-D$27</f>
        <v>0</v>
      </c>
      <c r="E32" s="3">
        <f t="shared" si="19"/>
        <v>0</v>
      </c>
      <c r="F32" s="3">
        <f t="shared" si="19"/>
        <v>-3.7541428752496525E-3</v>
      </c>
      <c r="G32" s="3">
        <f t="shared" si="19"/>
        <v>0</v>
      </c>
      <c r="H32" s="3">
        <f t="shared" si="19"/>
        <v>2.0256424545979524E-2</v>
      </c>
      <c r="I32" s="3">
        <f t="shared" si="19"/>
        <v>-0.57889629437399426</v>
      </c>
      <c r="J32" s="3"/>
      <c r="K32" s="3"/>
      <c r="L32" s="3"/>
    </row>
    <row r="33" spans="2:98" x14ac:dyDescent="0.3">
      <c r="B33" s="21" t="s">
        <v>45</v>
      </c>
      <c r="C33" s="3">
        <f>C24-C$27</f>
        <v>0</v>
      </c>
      <c r="D33" s="3">
        <f t="shared" si="19"/>
        <v>2.6172678219637258E-3</v>
      </c>
      <c r="E33" s="3">
        <f t="shared" si="19"/>
        <v>1.0262297788400029E-3</v>
      </c>
      <c r="F33" s="3">
        <f t="shared" si="19"/>
        <v>0</v>
      </c>
      <c r="G33" s="3">
        <f t="shared" si="19"/>
        <v>1.0469380156106066E-2</v>
      </c>
      <c r="H33" s="3">
        <f t="shared" si="19"/>
        <v>2.5903814206218196E-2</v>
      </c>
      <c r="I33" s="3">
        <f t="shared" si="19"/>
        <v>0</v>
      </c>
      <c r="J33" s="3"/>
      <c r="K33" s="3"/>
      <c r="L33" s="3"/>
    </row>
    <row r="34" spans="2:98" x14ac:dyDescent="0.3">
      <c r="B34" s="21" t="s">
        <v>46</v>
      </c>
      <c r="C34" s="3">
        <f>C25-C$27</f>
        <v>7.6006663921097568E-3</v>
      </c>
      <c r="D34" s="3">
        <f t="shared" si="19"/>
        <v>2.7930398263595335E-3</v>
      </c>
      <c r="E34" s="3">
        <f t="shared" si="19"/>
        <v>1.3241810387088458E-3</v>
      </c>
      <c r="F34" s="3">
        <f t="shared" si="19"/>
        <v>-2.5058941229563342E-3</v>
      </c>
      <c r="G34" s="3">
        <f t="shared" si="19"/>
        <v>7.5030442060306096E-3</v>
      </c>
      <c r="H34" s="3">
        <f t="shared" si="19"/>
        <v>0</v>
      </c>
      <c r="I34" s="3">
        <f t="shared" si="19"/>
        <v>-0.24825521283012097</v>
      </c>
      <c r="J34" s="3"/>
      <c r="K34" s="3"/>
      <c r="L34" s="3"/>
    </row>
    <row r="35" spans="2:98" x14ac:dyDescent="0.3">
      <c r="C35" s="1"/>
      <c r="D35" s="1"/>
      <c r="E35" s="1"/>
      <c r="F35" s="1"/>
      <c r="G35" s="1"/>
      <c r="H35" s="1"/>
      <c r="I35" s="1"/>
      <c r="J35" s="1"/>
      <c r="K35" s="1"/>
      <c r="L35" s="1"/>
    </row>
    <row r="36" spans="2:98" x14ac:dyDescent="0.3">
      <c r="C36" s="1"/>
      <c r="D36" s="1"/>
      <c r="E36" s="1"/>
      <c r="F36" s="1"/>
      <c r="G36" s="1"/>
      <c r="H36" s="1"/>
      <c r="I36" s="1"/>
      <c r="J36" s="1"/>
      <c r="K36" s="1"/>
      <c r="L36" s="1"/>
      <c r="CK36" s="3">
        <f>AVERAGE(CK13:CM13)</f>
        <v>5</v>
      </c>
      <c r="CL36" s="3">
        <f>AVERAGE(CN13:CP13)</f>
        <v>2.5</v>
      </c>
      <c r="CM36" s="3">
        <f>AVERAGE(CQ13:CS13)</f>
        <v>2.5</v>
      </c>
      <c r="CN36" s="3">
        <f>AVERAGE(CT13:CV13)</f>
        <v>5</v>
      </c>
      <c r="CO36" s="3">
        <f>AVERAGE(CW13:CY13)</f>
        <v>5</v>
      </c>
      <c r="CP36" s="3">
        <f>AVERAGE(CZ13:DB13)</f>
        <v>5</v>
      </c>
      <c r="CQ36" s="3">
        <f>AVERAGE(DC13:DE13)</f>
        <v>5</v>
      </c>
      <c r="CR36" s="3">
        <f>AVERAGE(DF13:DH13)</f>
        <v>2.5</v>
      </c>
      <c r="CS36" s="3">
        <f>AVERAGE(DI13:DK13)</f>
        <v>2.5</v>
      </c>
      <c r="CT36" s="3">
        <f>AVERAGE(DL13:DN13)</f>
        <v>5</v>
      </c>
    </row>
    <row r="37" spans="2:98" x14ac:dyDescent="0.3">
      <c r="B37" t="s">
        <v>6</v>
      </c>
      <c r="C37" s="1" t="s">
        <v>0</v>
      </c>
      <c r="D37" s="1" t="s">
        <v>1</v>
      </c>
      <c r="E37" s="1" t="s">
        <v>26</v>
      </c>
      <c r="F37" s="1" t="s">
        <v>27</v>
      </c>
      <c r="G37" s="1" t="s">
        <v>28</v>
      </c>
      <c r="H37" s="1" t="s">
        <v>29</v>
      </c>
      <c r="I37" s="1" t="s">
        <v>30</v>
      </c>
      <c r="J37" s="1"/>
      <c r="K37" s="1"/>
      <c r="L37" s="1"/>
      <c r="CK37" s="3">
        <f t="shared" ref="CK37:CK39" si="20">AVERAGE(CK14:CM14)</f>
        <v>3</v>
      </c>
      <c r="CL37" s="3">
        <f t="shared" ref="CL37:CL39" si="21">AVERAGE(CN14:CP14)</f>
        <v>1.5</v>
      </c>
      <c r="CM37" s="3">
        <f t="shared" ref="CM37:CM39" si="22">AVERAGE(CQ14:CS14)</f>
        <v>1.5</v>
      </c>
      <c r="CN37" s="3">
        <f t="shared" ref="CN37:CN39" si="23">AVERAGE(CT14:CV14)</f>
        <v>3</v>
      </c>
      <c r="CO37" s="3">
        <f t="shared" ref="CO37:CO39" si="24">AVERAGE(CW14:CY14)</f>
        <v>3</v>
      </c>
      <c r="CP37" s="3">
        <f t="shared" ref="CP37:CP39" si="25">AVERAGE(CZ14:DB14)</f>
        <v>3</v>
      </c>
      <c r="CQ37" s="3">
        <f t="shared" ref="CQ37:CQ39" si="26">AVERAGE(DC14:DE14)</f>
        <v>8.3333333333333339</v>
      </c>
      <c r="CR37" s="3">
        <f t="shared" ref="CR37:CR39" si="27">AVERAGE(DF14:DH14)</f>
        <v>1.5</v>
      </c>
      <c r="CS37" s="3">
        <f t="shared" ref="CS37:CS39" si="28">AVERAGE(DI14:DK14)</f>
        <v>1.5</v>
      </c>
      <c r="CT37" s="3">
        <f t="shared" ref="CT37:CT39" si="29">AVERAGE(DL14:DN14)</f>
        <v>8.3333333333333339</v>
      </c>
    </row>
    <row r="38" spans="2:98" x14ac:dyDescent="0.3">
      <c r="B38" s="21" t="s">
        <v>44</v>
      </c>
      <c r="C38" s="3">
        <f>C23-C$28</f>
        <v>0</v>
      </c>
      <c r="D38" s="3">
        <f t="shared" ref="D38:I40" si="30">D23-D$28</f>
        <v>-2.7930398263595335E-3</v>
      </c>
      <c r="E38" s="3">
        <f t="shared" si="30"/>
        <v>-1.3241810387088458E-3</v>
      </c>
      <c r="F38" s="3">
        <f t="shared" si="30"/>
        <v>0</v>
      </c>
      <c r="G38" s="3">
        <f t="shared" si="30"/>
        <v>-1.0469380156106066E-2</v>
      </c>
      <c r="H38" s="3">
        <f t="shared" si="30"/>
        <v>-5.6473896602386719E-3</v>
      </c>
      <c r="I38" s="3">
        <f t="shared" si="30"/>
        <v>0</v>
      </c>
      <c r="J38" s="3"/>
      <c r="K38" s="3"/>
      <c r="L38" s="3"/>
      <c r="CK38" s="3">
        <f t="shared" si="20"/>
        <v>8.3333333333333339</v>
      </c>
      <c r="CL38" s="3">
        <f t="shared" si="21"/>
        <v>2.5</v>
      </c>
      <c r="CM38" s="3">
        <f t="shared" si="22"/>
        <v>2.5</v>
      </c>
      <c r="CN38" s="3">
        <f t="shared" si="23"/>
        <v>3</v>
      </c>
      <c r="CO38" s="3">
        <f t="shared" si="24"/>
        <v>3</v>
      </c>
      <c r="CP38" s="3">
        <f t="shared" si="25"/>
        <v>5</v>
      </c>
      <c r="CQ38" s="3">
        <f t="shared" si="26"/>
        <v>3</v>
      </c>
      <c r="CR38" s="3">
        <f t="shared" si="27"/>
        <v>1.5</v>
      </c>
      <c r="CS38" s="3">
        <f t="shared" si="28"/>
        <v>1.5</v>
      </c>
      <c r="CT38" s="3">
        <f t="shared" si="29"/>
        <v>3</v>
      </c>
    </row>
    <row r="39" spans="2:98" x14ac:dyDescent="0.3">
      <c r="B39" s="21" t="s">
        <v>45</v>
      </c>
      <c r="C39" s="3">
        <f>C24-C$28</f>
        <v>-1.4568259780375011E-2</v>
      </c>
      <c r="D39" s="3">
        <f t="shared" si="30"/>
        <v>-1.7577200439580776E-4</v>
      </c>
      <c r="E39" s="3">
        <f t="shared" si="30"/>
        <v>-2.9795125986884288E-4</v>
      </c>
      <c r="F39" s="3">
        <f t="shared" si="30"/>
        <v>3.7541428752496525E-3</v>
      </c>
      <c r="G39" s="3">
        <f t="shared" si="30"/>
        <v>0</v>
      </c>
      <c r="H39" s="3">
        <f t="shared" si="30"/>
        <v>0</v>
      </c>
      <c r="I39" s="3">
        <f t="shared" si="30"/>
        <v>0.57889629437399426</v>
      </c>
      <c r="J39" s="3"/>
      <c r="K39" s="3"/>
      <c r="L39" s="3"/>
      <c r="CK39" s="3">
        <f t="shared" si="20"/>
        <v>8.3333333333333339</v>
      </c>
      <c r="CL39" s="3">
        <f t="shared" si="21"/>
        <v>1.5</v>
      </c>
      <c r="CM39" s="3">
        <f t="shared" si="22"/>
        <v>1.5</v>
      </c>
      <c r="CN39" s="3">
        <f t="shared" si="23"/>
        <v>3</v>
      </c>
      <c r="CO39" s="3">
        <f t="shared" si="24"/>
        <v>8.3333333333333339</v>
      </c>
      <c r="CP39" s="3">
        <f t="shared" si="25"/>
        <v>3</v>
      </c>
      <c r="CQ39" s="3">
        <f t="shared" si="26"/>
        <v>5</v>
      </c>
      <c r="CR39" s="3">
        <f t="shared" si="27"/>
        <v>1.5</v>
      </c>
      <c r="CS39" s="3">
        <f t="shared" si="28"/>
        <v>1.5</v>
      </c>
      <c r="CT39" s="3">
        <f t="shared" si="29"/>
        <v>3</v>
      </c>
    </row>
    <row r="40" spans="2:98" x14ac:dyDescent="0.3">
      <c r="B40" s="21" t="s">
        <v>46</v>
      </c>
      <c r="C40" s="3">
        <f>C25-C$28</f>
        <v>-6.9675933882652544E-3</v>
      </c>
      <c r="D40" s="3">
        <f t="shared" si="30"/>
        <v>0</v>
      </c>
      <c r="E40" s="3">
        <f t="shared" si="30"/>
        <v>0</v>
      </c>
      <c r="F40" s="3">
        <f t="shared" si="30"/>
        <v>1.2482487522933183E-3</v>
      </c>
      <c r="G40" s="3">
        <f t="shared" si="30"/>
        <v>-2.9663359500754563E-3</v>
      </c>
      <c r="H40" s="3">
        <f t="shared" si="30"/>
        <v>-2.5903814206218196E-2</v>
      </c>
      <c r="I40" s="3">
        <f t="shared" si="30"/>
        <v>0.33064108154387328</v>
      </c>
      <c r="J40" s="3"/>
      <c r="K40" s="3"/>
      <c r="L40" s="3"/>
    </row>
    <row r="43" spans="2:98" x14ac:dyDescent="0.3">
      <c r="B43" t="s">
        <v>7</v>
      </c>
    </row>
    <row r="44" spans="2:98" x14ac:dyDescent="0.3">
      <c r="B44" s="21" t="s">
        <v>44</v>
      </c>
      <c r="C44" s="3">
        <f>SQRT(C32^2+D32^2+E32^2+F32^2+G32^2+H32^2+I32^2)</f>
        <v>0.57944591650738675</v>
      </c>
    </row>
    <row r="45" spans="2:98" x14ac:dyDescent="0.3">
      <c r="B45" s="21" t="s">
        <v>45</v>
      </c>
      <c r="C45" s="3">
        <f>SQRT(C33^2+D33^2+E33^2+F33^2+G33^2+H33^2+I33^2)</f>
        <v>2.8080576021410314E-2</v>
      </c>
      <c r="CI45" s="11">
        <f>SUM(CK45:CT45)</f>
        <v>1</v>
      </c>
      <c r="CK45" s="3">
        <f>CK36/SUM($CK$36:$CT$36)</f>
        <v>0.125</v>
      </c>
      <c r="CL45" s="3">
        <f t="shared" ref="CL45:CT45" si="31">CL36/SUM($CK$36:$CT$36)</f>
        <v>6.25E-2</v>
      </c>
      <c r="CM45" s="3">
        <f t="shared" si="31"/>
        <v>6.25E-2</v>
      </c>
      <c r="CN45" s="3">
        <f t="shared" si="31"/>
        <v>0.125</v>
      </c>
      <c r="CO45" s="3">
        <f t="shared" si="31"/>
        <v>0.125</v>
      </c>
      <c r="CP45" s="3">
        <f t="shared" si="31"/>
        <v>0.125</v>
      </c>
      <c r="CQ45" s="3">
        <f t="shared" si="31"/>
        <v>0.125</v>
      </c>
      <c r="CR45" s="3">
        <f t="shared" si="31"/>
        <v>6.25E-2</v>
      </c>
      <c r="CS45" s="3">
        <f t="shared" si="31"/>
        <v>6.25E-2</v>
      </c>
      <c r="CT45" s="3">
        <f t="shared" si="31"/>
        <v>0.125</v>
      </c>
    </row>
    <row r="46" spans="2:98" x14ac:dyDescent="0.3">
      <c r="B46" s="21" t="s">
        <v>46</v>
      </c>
      <c r="C46" s="3">
        <f>SQRT(C34^2+D34^2+E34^2+F34^2+G34^2+H34^2+I34^2)</f>
        <v>0.24851670070951132</v>
      </c>
      <c r="CI46" s="11">
        <f>SUM(CK46:CT46)</f>
        <v>0.99999999999999978</v>
      </c>
      <c r="CK46" s="3">
        <f>CK37/SUM($CK$37:$CT$37)</f>
        <v>8.6538461538461522E-2</v>
      </c>
      <c r="CL46" s="3">
        <f t="shared" ref="CL46:CT46" si="32">CL37/SUM($CK$37:$CT$37)</f>
        <v>4.3269230769230761E-2</v>
      </c>
      <c r="CM46" s="3">
        <f t="shared" si="32"/>
        <v>4.3269230769230761E-2</v>
      </c>
      <c r="CN46" s="3">
        <f t="shared" si="32"/>
        <v>8.6538461538461522E-2</v>
      </c>
      <c r="CO46" s="3">
        <f t="shared" si="32"/>
        <v>8.6538461538461522E-2</v>
      </c>
      <c r="CP46" s="3">
        <f t="shared" si="32"/>
        <v>8.6538461538461522E-2</v>
      </c>
      <c r="CQ46" s="3">
        <f t="shared" si="32"/>
        <v>0.24038461538461536</v>
      </c>
      <c r="CR46" s="3">
        <f t="shared" si="32"/>
        <v>4.3269230769230761E-2</v>
      </c>
      <c r="CS46" s="3">
        <f t="shared" si="32"/>
        <v>4.3269230769230761E-2</v>
      </c>
      <c r="CT46" s="3">
        <f t="shared" si="32"/>
        <v>0.24038461538461536</v>
      </c>
    </row>
    <row r="47" spans="2:98" x14ac:dyDescent="0.3">
      <c r="C47" s="3"/>
      <c r="CI47" s="11">
        <f>SUM(CK47:CT47)</f>
        <v>1</v>
      </c>
      <c r="CK47" s="3">
        <f>CK38/SUM($CK$38:$CT$38)</f>
        <v>0.25</v>
      </c>
      <c r="CL47" s="3">
        <f t="shared" ref="CL47:CT47" si="33">CL38/SUM($CK$38:$CT$38)</f>
        <v>7.4999999999999997E-2</v>
      </c>
      <c r="CM47" s="3">
        <f t="shared" si="33"/>
        <v>7.4999999999999997E-2</v>
      </c>
      <c r="CN47" s="3">
        <f t="shared" si="33"/>
        <v>0.09</v>
      </c>
      <c r="CO47" s="3">
        <f t="shared" si="33"/>
        <v>0.09</v>
      </c>
      <c r="CP47" s="3">
        <f t="shared" si="33"/>
        <v>0.15</v>
      </c>
      <c r="CQ47" s="3">
        <f t="shared" si="33"/>
        <v>0.09</v>
      </c>
      <c r="CR47" s="3">
        <f t="shared" si="33"/>
        <v>4.4999999999999998E-2</v>
      </c>
      <c r="CS47" s="3">
        <f t="shared" si="33"/>
        <v>4.4999999999999998E-2</v>
      </c>
      <c r="CT47" s="3">
        <f t="shared" si="33"/>
        <v>0.09</v>
      </c>
    </row>
    <row r="48" spans="2:98" x14ac:dyDescent="0.3">
      <c r="C48" s="3"/>
      <c r="CI48" s="11">
        <f>SUM(CK48:CT48)</f>
        <v>0.99999999999999989</v>
      </c>
      <c r="CK48" s="3">
        <f>CK39/SUM($CK$39:$CT$39)</f>
        <v>0.22727272727272727</v>
      </c>
      <c r="CL48" s="3">
        <f t="shared" ref="CL48:CT48" si="34">CL39/SUM($CK$39:$CT$39)</f>
        <v>4.0909090909090902E-2</v>
      </c>
      <c r="CM48" s="3">
        <f t="shared" si="34"/>
        <v>4.0909090909090902E-2</v>
      </c>
      <c r="CN48" s="3">
        <f t="shared" si="34"/>
        <v>8.1818181818181804E-2</v>
      </c>
      <c r="CO48" s="3">
        <f t="shared" si="34"/>
        <v>0.22727272727272727</v>
      </c>
      <c r="CP48" s="3">
        <f t="shared" si="34"/>
        <v>8.1818181818181804E-2</v>
      </c>
      <c r="CQ48" s="3">
        <f t="shared" si="34"/>
        <v>0.13636363636363635</v>
      </c>
      <c r="CR48" s="3">
        <f t="shared" si="34"/>
        <v>4.0909090909090902E-2</v>
      </c>
      <c r="CS48" s="3">
        <f t="shared" si="34"/>
        <v>4.0909090909090902E-2</v>
      </c>
      <c r="CT48" s="3">
        <f t="shared" si="34"/>
        <v>8.1818181818181804E-2</v>
      </c>
    </row>
    <row r="49" spans="2:3" x14ac:dyDescent="0.3">
      <c r="B49" t="s">
        <v>11</v>
      </c>
      <c r="C49" s="3"/>
    </row>
    <row r="50" spans="2:3" x14ac:dyDescent="0.3">
      <c r="B50" s="21" t="s">
        <v>44</v>
      </c>
      <c r="C50" s="3">
        <f>SQRT(C38^2+D38^2+E38^2+F38^2+G38^2+H38^2+I38^2)</f>
        <v>1.229046206302044E-2</v>
      </c>
    </row>
    <row r="51" spans="2:3" x14ac:dyDescent="0.3">
      <c r="B51" s="21" t="s">
        <v>45</v>
      </c>
      <c r="C51" s="3">
        <f>SQRT(C39^2+D39^2+E39^2+F39^2+G39^2+H39^2+I39^2)</f>
        <v>0.5790918468537174</v>
      </c>
    </row>
    <row r="52" spans="2:3" x14ac:dyDescent="0.3">
      <c r="B52" s="21" t="s">
        <v>46</v>
      </c>
      <c r="C52" s="3">
        <f>SQRT(C40^2+D40^2+E40^2+F40^2+G40^2+H40^2+I40^2)</f>
        <v>0.33174302860267169</v>
      </c>
    </row>
    <row r="54" spans="2:3" x14ac:dyDescent="0.3">
      <c r="B54" t="s">
        <v>12</v>
      </c>
    </row>
    <row r="55" spans="2:3" x14ac:dyDescent="0.3">
      <c r="B55" s="21" t="s">
        <v>44</v>
      </c>
      <c r="C55" s="3">
        <f>C50/(C44+C50)</f>
        <v>2.0770164735711059E-2</v>
      </c>
    </row>
    <row r="56" spans="2:3" x14ac:dyDescent="0.3">
      <c r="B56" s="21" t="s">
        <v>45</v>
      </c>
      <c r="C56" s="3">
        <f>C51/(C45+C51)</f>
        <v>0.95375189161516738</v>
      </c>
    </row>
    <row r="57" spans="2:3" x14ac:dyDescent="0.3">
      <c r="B57" s="21" t="s">
        <v>46</v>
      </c>
      <c r="C57" s="3">
        <f>C52/(C46+C52)</f>
        <v>0.57171471988226175</v>
      </c>
    </row>
  </sheetData>
  <mergeCells count="20">
    <mergeCell ref="DP1:DR1"/>
    <mergeCell ref="DU1:DW1"/>
    <mergeCell ref="CK5:CM5"/>
    <mergeCell ref="CN5:CP5"/>
    <mergeCell ref="CQ5:CS5"/>
    <mergeCell ref="CT5:CV5"/>
    <mergeCell ref="CW5:CY5"/>
    <mergeCell ref="CV1:CX1"/>
    <mergeCell ref="CZ5:DB5"/>
    <mergeCell ref="DF5:DH5"/>
    <mergeCell ref="DI5:DK5"/>
    <mergeCell ref="DL5:DN5"/>
    <mergeCell ref="DA1:DC1"/>
    <mergeCell ref="DF1:DH1"/>
    <mergeCell ref="DK1:DM1"/>
    <mergeCell ref="B1:D1"/>
    <mergeCell ref="M1:T1"/>
    <mergeCell ref="CG1:CI1"/>
    <mergeCell ref="CL1:CN1"/>
    <mergeCell ref="CQ1:CS1"/>
  </mergeCells>
  <conditionalFormatting sqref="C55:C57">
    <cfRule type="colorScale" priority="10">
      <colorScale>
        <cfvo type="min"/>
        <cfvo type="percentile" val="50"/>
        <cfvo type="max"/>
        <color rgb="FFF8696B"/>
        <color rgb="FFFFEB84"/>
        <color rgb="FF63BE7B"/>
      </colorScale>
    </cfRule>
  </conditionalFormatting>
  <conditionalFormatting sqref="CH55:CH57">
    <cfRule type="colorScale" priority="9">
      <colorScale>
        <cfvo type="min"/>
        <cfvo type="percentile" val="50"/>
        <cfvo type="max"/>
        <color rgb="FFF8696B"/>
        <color rgb="FFFFEB84"/>
        <color rgb="FF63BE7B"/>
      </colorScale>
    </cfRule>
  </conditionalFormatting>
  <conditionalFormatting sqref="CM55:CM57">
    <cfRule type="colorScale" priority="8">
      <colorScale>
        <cfvo type="min"/>
        <cfvo type="percentile" val="50"/>
        <cfvo type="max"/>
        <color rgb="FFF8696B"/>
        <color rgb="FFFFEB84"/>
        <color rgb="FF63BE7B"/>
      </colorScale>
    </cfRule>
  </conditionalFormatting>
  <conditionalFormatting sqref="CR55:CR57">
    <cfRule type="colorScale" priority="7">
      <colorScale>
        <cfvo type="min"/>
        <cfvo type="percentile" val="50"/>
        <cfvo type="max"/>
        <color rgb="FFF8696B"/>
        <color rgb="FFFFEB84"/>
        <color rgb="FF63BE7B"/>
      </colorScale>
    </cfRule>
  </conditionalFormatting>
  <conditionalFormatting sqref="CW55:CW57">
    <cfRule type="colorScale" priority="6">
      <colorScale>
        <cfvo type="min"/>
        <cfvo type="percentile" val="50"/>
        <cfvo type="max"/>
        <color rgb="FFF8696B"/>
        <color rgb="FFFFEB84"/>
        <color rgb="FF63BE7B"/>
      </colorScale>
    </cfRule>
  </conditionalFormatting>
  <conditionalFormatting sqref="DB55:DB57">
    <cfRule type="colorScale" priority="5">
      <colorScale>
        <cfvo type="min"/>
        <cfvo type="percentile" val="50"/>
        <cfvo type="max"/>
        <color rgb="FFF8696B"/>
        <color rgb="FFFFEB84"/>
        <color rgb="FF63BE7B"/>
      </colorScale>
    </cfRule>
  </conditionalFormatting>
  <conditionalFormatting sqref="DG55:DG57">
    <cfRule type="colorScale" priority="4">
      <colorScale>
        <cfvo type="min"/>
        <cfvo type="percentile" val="50"/>
        <cfvo type="max"/>
        <color rgb="FFF8696B"/>
        <color rgb="FFFFEB84"/>
        <color rgb="FF63BE7B"/>
      </colorScale>
    </cfRule>
  </conditionalFormatting>
  <conditionalFormatting sqref="DL55:DL57">
    <cfRule type="colorScale" priority="3">
      <colorScale>
        <cfvo type="min"/>
        <cfvo type="percentile" val="50"/>
        <cfvo type="max"/>
        <color rgb="FFF8696B"/>
        <color rgb="FFFFEB84"/>
        <color rgb="FF63BE7B"/>
      </colorScale>
    </cfRule>
  </conditionalFormatting>
  <conditionalFormatting sqref="DQ55:DQ57">
    <cfRule type="colorScale" priority="2">
      <colorScale>
        <cfvo type="min"/>
        <cfvo type="percentile" val="50"/>
        <cfvo type="max"/>
        <color rgb="FFF8696B"/>
        <color rgb="FFFFEB84"/>
        <color rgb="FF63BE7B"/>
      </colorScale>
    </cfRule>
  </conditionalFormatting>
  <conditionalFormatting sqref="DV55:DV57">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F27:F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8C4D6-D960-4D7D-BBBD-5298466950CE}">
  <dimension ref="A1:DV57"/>
  <sheetViews>
    <sheetView zoomScale="65" zoomScaleNormal="100" workbookViewId="0">
      <selection activeCell="A11" sqref="A11:G15"/>
    </sheetView>
  </sheetViews>
  <sheetFormatPr defaultColWidth="8" defaultRowHeight="14.4" x14ac:dyDescent="0.3"/>
  <cols>
    <col min="1" max="1" width="27.44140625" bestFit="1" customWidth="1"/>
    <col min="2" max="2" width="27.5546875" bestFit="1" customWidth="1"/>
    <col min="3" max="3" width="17.88671875" bestFit="1" customWidth="1"/>
    <col min="4" max="4" width="15.109375" bestFit="1" customWidth="1"/>
    <col min="5" max="5" width="25.88671875" bestFit="1" customWidth="1"/>
    <col min="6" max="6" width="14.6640625" bestFit="1" customWidth="1"/>
    <col min="7" max="7" width="21.44140625" bestFit="1" customWidth="1"/>
    <col min="8" max="8" width="5.33203125" bestFit="1" customWidth="1"/>
    <col min="12" max="12" width="38.6640625" bestFit="1" customWidth="1"/>
    <col min="13" max="13" width="21.44140625" bestFit="1" customWidth="1"/>
    <col min="14" max="14" width="11.5546875" bestFit="1" customWidth="1"/>
    <col min="15" max="15" width="22.44140625" bestFit="1" customWidth="1"/>
    <col min="16" max="16" width="25.88671875" bestFit="1" customWidth="1"/>
    <col min="17" max="17" width="19.88671875" bestFit="1" customWidth="1"/>
    <col min="18" max="18" width="21.44140625" bestFit="1" customWidth="1"/>
    <col min="19" max="19" width="20.88671875" bestFit="1" customWidth="1"/>
    <col min="23" max="23" width="20.33203125" customWidth="1"/>
    <col min="24" max="24" width="7.33203125" customWidth="1"/>
    <col min="25" max="25" width="9.33203125" customWidth="1"/>
    <col min="26" max="26" width="7.5546875" customWidth="1"/>
    <col min="28" max="30" width="7.33203125" customWidth="1"/>
    <col min="86" max="86" width="4.5546875" bestFit="1" customWidth="1"/>
    <col min="88" max="88" width="18.44140625" bestFit="1" customWidth="1"/>
    <col min="89" max="89" width="14" bestFit="1" customWidth="1"/>
    <col min="90" max="90" width="20" bestFit="1" customWidth="1"/>
    <col min="91" max="91" width="22.88671875" bestFit="1" customWidth="1"/>
    <col min="92" max="92" width="13.6640625" bestFit="1" customWidth="1"/>
    <col min="93" max="93" width="25.44140625" bestFit="1" customWidth="1"/>
    <col min="94" max="94" width="10.33203125" bestFit="1" customWidth="1"/>
    <col min="95" max="95" width="18.6640625" bestFit="1" customWidth="1"/>
    <col min="96" max="96" width="24.5546875" bestFit="1" customWidth="1"/>
    <col min="97" max="105" width="4.5546875" bestFit="1" customWidth="1"/>
    <col min="106" max="106" width="10.33203125" bestFit="1" customWidth="1"/>
    <col min="107" max="107" width="33.33203125" bestFit="1" customWidth="1"/>
    <col min="108" max="117" width="4.5546875" bestFit="1" customWidth="1"/>
  </cols>
  <sheetData>
    <row r="1" spans="1:126" ht="15" thickBot="1" x14ac:dyDescent="0.35">
      <c r="A1" s="130"/>
      <c r="B1" s="130"/>
      <c r="C1" s="130"/>
      <c r="L1" s="131" t="s">
        <v>40</v>
      </c>
      <c r="M1" s="132"/>
      <c r="N1" s="132"/>
      <c r="O1" s="132"/>
      <c r="P1" s="132"/>
      <c r="Q1" s="132"/>
      <c r="R1" s="132"/>
      <c r="S1" s="133"/>
      <c r="W1" s="1" t="s">
        <v>59</v>
      </c>
      <c r="CF1" s="130"/>
      <c r="CG1" s="130"/>
      <c r="CH1" s="130"/>
      <c r="CK1" s="130"/>
      <c r="CL1" s="130"/>
      <c r="CM1" s="130"/>
      <c r="CP1" s="130"/>
      <c r="CQ1" s="130"/>
      <c r="CR1" s="130"/>
      <c r="CU1" s="130"/>
      <c r="CV1" s="130"/>
      <c r="CW1" s="130"/>
      <c r="CZ1" s="130"/>
      <c r="DA1" s="130"/>
      <c r="DB1" s="130"/>
      <c r="DE1" s="130"/>
      <c r="DF1" s="130"/>
      <c r="DG1" s="130"/>
      <c r="DJ1" s="130"/>
      <c r="DK1" s="130"/>
      <c r="DL1" s="130"/>
      <c r="DO1" s="130"/>
      <c r="DP1" s="130"/>
      <c r="DQ1" s="130"/>
      <c r="DT1" s="130"/>
      <c r="DU1" s="130"/>
      <c r="DV1" s="130"/>
    </row>
    <row r="2" spans="1:126" x14ac:dyDescent="0.3">
      <c r="A2" s="1"/>
      <c r="B2" s="21" t="s">
        <v>118</v>
      </c>
      <c r="C2" s="21" t="s">
        <v>37</v>
      </c>
      <c r="D2" s="21" t="s">
        <v>38</v>
      </c>
      <c r="E2" s="21" t="s">
        <v>42</v>
      </c>
      <c r="F2" s="21" t="s">
        <v>17</v>
      </c>
      <c r="G2" s="21" t="s">
        <v>43</v>
      </c>
      <c r="H2" s="21" t="s">
        <v>24</v>
      </c>
      <c r="I2" s="1"/>
      <c r="J2" s="1"/>
      <c r="K2" s="1"/>
      <c r="L2" s="14" t="s">
        <v>56</v>
      </c>
      <c r="M2" s="39">
        <v>0.14285714285714282</v>
      </c>
      <c r="N2" s="39">
        <v>0.14285714285714282</v>
      </c>
      <c r="O2" s="40">
        <v>0.14285714285714282</v>
      </c>
      <c r="P2" s="39">
        <v>0.14285714285714282</v>
      </c>
      <c r="Q2" s="40">
        <v>0.14285714285714282</v>
      </c>
      <c r="R2" s="40">
        <v>0.14285714285714282</v>
      </c>
      <c r="S2" s="39">
        <v>0.14285714285714282</v>
      </c>
      <c r="T2" s="3"/>
      <c r="U2" s="3"/>
      <c r="V2" s="3"/>
      <c r="W2" s="42" t="s">
        <v>39</v>
      </c>
      <c r="X2" s="38">
        <v>0.16666666666666666</v>
      </c>
      <c r="Y2" s="38">
        <v>8.3333333333333329E-2</v>
      </c>
      <c r="Z2" s="38">
        <v>8.3333333333333329E-2</v>
      </c>
      <c r="AA2" s="38">
        <v>0.16666666666666666</v>
      </c>
      <c r="AB2" s="38">
        <v>0.16666666666666666</v>
      </c>
      <c r="AC2" s="38">
        <v>0.16666666666666666</v>
      </c>
      <c r="AD2" s="38">
        <v>0.16666666666666666</v>
      </c>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3"/>
      <c r="BM2" s="3"/>
      <c r="BN2" s="3"/>
      <c r="BO2" s="3"/>
      <c r="BP2" s="3"/>
      <c r="BQ2" s="3"/>
      <c r="BR2" s="3"/>
      <c r="BS2" s="3"/>
      <c r="BT2" s="3"/>
      <c r="BU2" s="3"/>
      <c r="BV2" s="3"/>
      <c r="BW2" s="3"/>
    </row>
    <row r="3" spans="1:126" x14ac:dyDescent="0.3">
      <c r="A3" s="21" t="s">
        <v>44</v>
      </c>
      <c r="B3" s="20">
        <v>3183.4141458890263</v>
      </c>
      <c r="C3" s="20">
        <v>234412.22386008853</v>
      </c>
      <c r="D3" s="20">
        <v>902.85391987420633</v>
      </c>
      <c r="E3" s="20">
        <v>43.370138999999995</v>
      </c>
      <c r="F3" s="20">
        <v>14799.165421845959</v>
      </c>
      <c r="G3" s="20">
        <v>13267.188218752352</v>
      </c>
      <c r="H3" s="20">
        <v>0</v>
      </c>
      <c r="I3" s="3"/>
      <c r="J3" s="3"/>
      <c r="K3" s="3"/>
      <c r="L3" s="15" t="s">
        <v>54</v>
      </c>
      <c r="M3" s="39">
        <v>0.36466894450087722</v>
      </c>
      <c r="N3" s="39">
        <v>0.15516976021177703</v>
      </c>
      <c r="O3" s="40">
        <v>5.6607258287930562E-2</v>
      </c>
      <c r="P3" s="39">
        <v>0.15516976021177703</v>
      </c>
      <c r="Q3" s="40">
        <v>5.6607258287930562E-2</v>
      </c>
      <c r="R3" s="40">
        <v>5.6607258287930562E-2</v>
      </c>
      <c r="S3" s="39">
        <v>0.15516976021177703</v>
      </c>
      <c r="T3" s="3"/>
      <c r="U3" s="3"/>
      <c r="V3" s="3"/>
      <c r="W3" s="42" t="s">
        <v>31</v>
      </c>
      <c r="X3" s="38">
        <v>0.66666666666666663</v>
      </c>
      <c r="Y3" s="38">
        <v>3.333333333333334E-2</v>
      </c>
      <c r="Z3" s="38">
        <v>3.333333333333334E-2</v>
      </c>
      <c r="AA3" s="38">
        <v>6.666666666666668E-2</v>
      </c>
      <c r="AB3" s="38">
        <v>6.666666666666668E-2</v>
      </c>
      <c r="AC3" s="38">
        <v>6.666666666666668E-2</v>
      </c>
      <c r="AD3" s="38">
        <v>6.666666666666668E-2</v>
      </c>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3"/>
      <c r="BM3" s="3"/>
      <c r="BN3" s="3"/>
      <c r="BO3" s="3"/>
      <c r="BP3" s="3"/>
      <c r="BQ3" s="3"/>
      <c r="BR3" s="3"/>
      <c r="BS3" s="3"/>
      <c r="BT3" s="3"/>
      <c r="BU3" s="3"/>
      <c r="BV3" s="3"/>
      <c r="BW3" s="3"/>
    </row>
    <row r="4" spans="1:126" x14ac:dyDescent="0.3">
      <c r="A4" s="21" t="s">
        <v>45</v>
      </c>
      <c r="B4" s="20">
        <v>2157.5163407170794</v>
      </c>
      <c r="C4" s="20">
        <v>269673.70629809151</v>
      </c>
      <c r="D4" s="20">
        <v>953.06400000000019</v>
      </c>
      <c r="E4" s="20">
        <v>47.795628999999998</v>
      </c>
      <c r="F4" s="20">
        <v>19604.010912011163</v>
      </c>
      <c r="G4" s="20">
        <v>15063.180268567401</v>
      </c>
      <c r="H4" s="20">
        <v>0.56280780825182819</v>
      </c>
      <c r="I4" s="3"/>
      <c r="J4" s="3"/>
      <c r="K4" s="3"/>
      <c r="L4" s="15" t="s">
        <v>92</v>
      </c>
      <c r="M4" s="39">
        <v>0.15516976021177703</v>
      </c>
      <c r="N4" s="39">
        <v>0.36466894450087722</v>
      </c>
      <c r="O4" s="40">
        <v>5.6607258287930562E-2</v>
      </c>
      <c r="P4" s="39">
        <v>0.15516976021177703</v>
      </c>
      <c r="Q4" s="40">
        <v>5.6607258287930562E-2</v>
      </c>
      <c r="R4" s="40">
        <v>5.6607258287930562E-2</v>
      </c>
      <c r="S4" s="39">
        <v>0.15516976021177703</v>
      </c>
      <c r="T4" s="3"/>
      <c r="U4" s="3"/>
      <c r="V4" s="3"/>
      <c r="W4" s="42" t="s">
        <v>32</v>
      </c>
      <c r="X4" s="38">
        <v>6.666666666666668E-2</v>
      </c>
      <c r="Y4" s="38">
        <v>0.33333333333333331</v>
      </c>
      <c r="Z4" s="38">
        <v>0.33333333333333331</v>
      </c>
      <c r="AA4" s="38">
        <v>6.666666666666668E-2</v>
      </c>
      <c r="AB4" s="38">
        <v>6.666666666666668E-2</v>
      </c>
      <c r="AC4" s="38">
        <v>6.666666666666668E-2</v>
      </c>
      <c r="AD4" s="38">
        <v>6.666666666666668E-2</v>
      </c>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3"/>
      <c r="BM4" s="3"/>
      <c r="BN4" s="3"/>
      <c r="BO4" s="3"/>
      <c r="BP4" s="3"/>
      <c r="BQ4" s="3"/>
      <c r="BR4" s="3"/>
      <c r="BS4" s="3"/>
      <c r="BT4" s="3"/>
      <c r="BU4" s="3"/>
      <c r="BV4" s="3"/>
      <c r="BW4" s="3"/>
    </row>
    <row r="5" spans="1:126" x14ac:dyDescent="0.3">
      <c r="A5" s="21" t="s">
        <v>46</v>
      </c>
      <c r="B5" s="20">
        <v>2692.7557644410881</v>
      </c>
      <c r="C5" s="20">
        <v>272041.81757584569</v>
      </c>
      <c r="D5" s="20">
        <v>967.64178456644106</v>
      </c>
      <c r="E5" s="20">
        <v>44.841610000000017</v>
      </c>
      <c r="F5" s="20">
        <v>18242.6327120112</v>
      </c>
      <c r="G5" s="20">
        <v>6825.2071211136717</v>
      </c>
      <c r="H5" s="20">
        <v>0.3214520186607035</v>
      </c>
      <c r="I5" s="3"/>
      <c r="J5" s="3"/>
      <c r="K5" s="3"/>
      <c r="L5" s="15" t="s">
        <v>94</v>
      </c>
      <c r="M5" s="39">
        <v>6.4715843663212078E-2</v>
      </c>
      <c r="N5" s="39">
        <v>6.4715843663212078E-2</v>
      </c>
      <c r="O5" s="40">
        <v>0.38372959425591008</v>
      </c>
      <c r="P5" s="39">
        <v>6.4715843663212078E-2</v>
      </c>
      <c r="Q5" s="40">
        <v>0.17870351554562083</v>
      </c>
      <c r="R5" s="40">
        <v>0.17870351554562083</v>
      </c>
      <c r="S5" s="39">
        <v>6.4715843663212078E-2</v>
      </c>
      <c r="T5" s="3"/>
      <c r="U5" s="3"/>
      <c r="V5" s="3"/>
      <c r="W5" s="42" t="s">
        <v>33</v>
      </c>
      <c r="X5" s="38">
        <v>6.666666666666668E-2</v>
      </c>
      <c r="Y5" s="38">
        <v>3.333333333333334E-2</v>
      </c>
      <c r="Z5" s="38">
        <v>3.333333333333334E-2</v>
      </c>
      <c r="AA5" s="38">
        <v>0.66666666666666663</v>
      </c>
      <c r="AB5" s="38">
        <v>6.666666666666668E-2</v>
      </c>
      <c r="AC5" s="38">
        <v>6.666666666666668E-2</v>
      </c>
      <c r="AD5" s="38">
        <v>6.666666666666668E-2</v>
      </c>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3"/>
      <c r="BM5" s="3"/>
      <c r="BN5" s="3"/>
      <c r="BO5" s="3"/>
      <c r="BP5" s="3"/>
      <c r="BQ5" s="3"/>
      <c r="BR5" s="3"/>
      <c r="BS5" s="3"/>
      <c r="BT5" s="3"/>
      <c r="BU5" s="3"/>
      <c r="BV5" s="3"/>
      <c r="BW5" s="3"/>
      <c r="CJ5" s="136" t="s">
        <v>13</v>
      </c>
      <c r="CK5" s="137"/>
      <c r="CL5" s="138"/>
      <c r="CM5" s="139" t="s">
        <v>14</v>
      </c>
      <c r="CN5" s="140"/>
      <c r="CO5" s="141"/>
      <c r="CP5" s="139" t="s">
        <v>15</v>
      </c>
      <c r="CQ5" s="140"/>
      <c r="CR5" s="141"/>
      <c r="CS5" s="139" t="s">
        <v>16</v>
      </c>
      <c r="CT5" s="140"/>
      <c r="CU5" s="141"/>
      <c r="CV5" s="139" t="s">
        <v>17</v>
      </c>
      <c r="CW5" s="140"/>
      <c r="CX5" s="141" t="s">
        <v>18</v>
      </c>
      <c r="CY5" s="139" t="s">
        <v>19</v>
      </c>
      <c r="CZ5" s="140"/>
      <c r="DA5" s="141"/>
      <c r="DB5" s="37" t="s">
        <v>20</v>
      </c>
      <c r="DC5" s="37" t="s">
        <v>21</v>
      </c>
      <c r="DD5" s="37"/>
      <c r="DE5" s="139" t="s">
        <v>22</v>
      </c>
      <c r="DF5" s="140"/>
      <c r="DG5" s="141"/>
      <c r="DH5" s="139" t="s">
        <v>23</v>
      </c>
      <c r="DI5" s="140"/>
      <c r="DJ5" s="141"/>
      <c r="DK5" s="139" t="s">
        <v>24</v>
      </c>
      <c r="DL5" s="140"/>
      <c r="DM5" s="141"/>
    </row>
    <row r="6" spans="1:126" x14ac:dyDescent="0.3">
      <c r="L6" s="15" t="s">
        <v>50</v>
      </c>
      <c r="M6" s="39">
        <v>0.15516976021177703</v>
      </c>
      <c r="N6" s="39">
        <v>0.15516976021177703</v>
      </c>
      <c r="O6" s="40">
        <v>5.6607258287930562E-2</v>
      </c>
      <c r="P6" s="39">
        <v>0.36466894450087722</v>
      </c>
      <c r="Q6" s="40">
        <v>5.6607258287930562E-2</v>
      </c>
      <c r="R6" s="40">
        <v>5.6607258287930562E-2</v>
      </c>
      <c r="S6" s="39">
        <v>0.15516976021177703</v>
      </c>
      <c r="W6" s="42" t="s">
        <v>34</v>
      </c>
      <c r="X6" s="38">
        <v>6.666666666666668E-2</v>
      </c>
      <c r="Y6" s="38">
        <v>3.333333333333334E-2</v>
      </c>
      <c r="Z6" s="38">
        <v>3.333333333333334E-2</v>
      </c>
      <c r="AA6" s="38">
        <v>6.666666666666668E-2</v>
      </c>
      <c r="AB6" s="38">
        <v>0.66666666666666663</v>
      </c>
      <c r="AC6" s="38">
        <v>6.666666666666668E-2</v>
      </c>
      <c r="AD6" s="38">
        <v>6.666666666666668E-2</v>
      </c>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CJ6" s="7">
        <v>-0.78401297875392606</v>
      </c>
      <c r="CK6" s="7">
        <v>9.7194159560733212E-2</v>
      </c>
      <c r="CL6" s="7">
        <v>1</v>
      </c>
      <c r="CM6" s="8">
        <v>0</v>
      </c>
      <c r="CN6" s="8">
        <v>0</v>
      </c>
      <c r="CO6" s="8">
        <v>0.96357318140301196</v>
      </c>
      <c r="CP6" s="9">
        <v>0</v>
      </c>
      <c r="CQ6" s="9">
        <v>0</v>
      </c>
      <c r="CR6" s="9">
        <v>0.55298644381627804</v>
      </c>
      <c r="CS6" s="8">
        <v>0</v>
      </c>
      <c r="CT6" s="8">
        <v>0</v>
      </c>
      <c r="CU6" s="8">
        <v>0.68910505130127075</v>
      </c>
      <c r="CV6" s="3">
        <v>0</v>
      </c>
      <c r="CW6" s="3">
        <v>0</v>
      </c>
      <c r="CX6" s="3">
        <v>0.68914847755973008</v>
      </c>
      <c r="CY6" s="10">
        <v>0</v>
      </c>
      <c r="CZ6" s="10">
        <v>0</v>
      </c>
      <c r="DA6" s="10">
        <v>0.95799576830385191</v>
      </c>
      <c r="DB6" s="3">
        <v>0</v>
      </c>
      <c r="DC6" s="3">
        <v>6.2357614143024433E-3</v>
      </c>
      <c r="DD6" s="3">
        <v>1</v>
      </c>
      <c r="DE6" s="3">
        <v>0</v>
      </c>
      <c r="DF6" s="3">
        <v>6.6274598539537918E-2</v>
      </c>
      <c r="DG6" s="3">
        <v>1</v>
      </c>
      <c r="DH6" s="3">
        <v>0</v>
      </c>
      <c r="DI6" s="3">
        <v>0</v>
      </c>
      <c r="DJ6" s="3">
        <v>1</v>
      </c>
      <c r="DK6" s="3">
        <v>0</v>
      </c>
      <c r="DL6" s="3">
        <v>3.4641522068614935E-4</v>
      </c>
      <c r="DM6" s="3">
        <v>1</v>
      </c>
    </row>
    <row r="7" spans="1:126" x14ac:dyDescent="0.3">
      <c r="A7" s="1" t="s">
        <v>48</v>
      </c>
      <c r="B7" s="39">
        <v>0.14285714285714282</v>
      </c>
      <c r="C7" s="39">
        <v>0.14285714285714282</v>
      </c>
      <c r="D7" s="40">
        <v>0.14285714285714282</v>
      </c>
      <c r="E7" s="39">
        <v>0.14285714285714282</v>
      </c>
      <c r="F7" s="40">
        <v>0.14285714285714282</v>
      </c>
      <c r="G7" s="40">
        <v>0.14285714285714282</v>
      </c>
      <c r="H7" s="39">
        <v>0.14285714285714282</v>
      </c>
      <c r="I7" s="3"/>
      <c r="J7" s="3"/>
      <c r="K7" s="3"/>
      <c r="L7" s="15" t="s">
        <v>97</v>
      </c>
      <c r="M7" s="39">
        <v>6.4715843663212078E-2</v>
      </c>
      <c r="N7" s="39">
        <v>6.4715843663212078E-2</v>
      </c>
      <c r="O7" s="40">
        <v>0.17870351554562083</v>
      </c>
      <c r="P7" s="39">
        <v>6.4715843663212078E-2</v>
      </c>
      <c r="Q7" s="40">
        <v>0.38372959425591008</v>
      </c>
      <c r="R7" s="40">
        <v>0.17870351554562083</v>
      </c>
      <c r="S7" s="39">
        <v>6.4715843663212078E-2</v>
      </c>
      <c r="W7" s="42" t="s">
        <v>35</v>
      </c>
      <c r="X7" s="38">
        <v>6.666666666666668E-2</v>
      </c>
      <c r="Y7" s="38">
        <v>3.333333333333334E-2</v>
      </c>
      <c r="Z7" s="38">
        <v>3.333333333333334E-2</v>
      </c>
      <c r="AA7" s="38">
        <v>6.666666666666668E-2</v>
      </c>
      <c r="AB7" s="38">
        <v>6.666666666666668E-2</v>
      </c>
      <c r="AC7" s="38">
        <v>0.66666666666666663</v>
      </c>
      <c r="AD7" s="38">
        <v>6.666666666666668E-2</v>
      </c>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CJ7" s="7">
        <v>-0.81155825289745276</v>
      </c>
      <c r="CK7" s="7">
        <v>3.5217292737798223E-2</v>
      </c>
      <c r="CL7" s="7">
        <v>0.88981890342589331</v>
      </c>
      <c r="CM7" s="8">
        <v>0</v>
      </c>
      <c r="CN7" s="8">
        <v>3.9795712040180458E-3</v>
      </c>
      <c r="CO7" s="8">
        <v>0.97551189501506608</v>
      </c>
      <c r="CP7" s="9">
        <v>0</v>
      </c>
      <c r="CQ7" s="9">
        <v>8.3206699887752061E-2</v>
      </c>
      <c r="CR7" s="9">
        <v>0.8026065434795342</v>
      </c>
      <c r="CS7" s="8">
        <v>0</v>
      </c>
      <c r="CT7" s="8">
        <v>3.2541870409785865E-2</v>
      </c>
      <c r="CU7" s="8">
        <v>0.7867306625306284</v>
      </c>
      <c r="CV7" s="3">
        <v>0</v>
      </c>
      <c r="CW7" s="3">
        <v>3.2539903897976272E-2</v>
      </c>
      <c r="CX7" s="3">
        <v>0.78676818925365888</v>
      </c>
      <c r="CY7" s="10">
        <v>0</v>
      </c>
      <c r="CZ7" s="10">
        <v>8.8138277957979256E-3</v>
      </c>
      <c r="DA7" s="10">
        <v>0.97731412069078893</v>
      </c>
      <c r="DB7" s="3">
        <v>0</v>
      </c>
      <c r="DC7" s="3">
        <v>0</v>
      </c>
      <c r="DD7" s="3">
        <v>0.93151599689208586</v>
      </c>
      <c r="DE7" s="3">
        <v>0</v>
      </c>
      <c r="DF7" s="3">
        <v>1.3637913245490817E-2</v>
      </c>
      <c r="DG7" s="3">
        <v>0.96846501120933071</v>
      </c>
      <c r="DH7" s="3">
        <v>0</v>
      </c>
      <c r="DI7" s="3">
        <v>2.5594661364239982E-3</v>
      </c>
      <c r="DJ7" s="3">
        <v>1</v>
      </c>
      <c r="DK7" s="3">
        <v>0</v>
      </c>
      <c r="DL7" s="3">
        <v>0</v>
      </c>
      <c r="DM7" s="3">
        <v>1</v>
      </c>
    </row>
    <row r="8" spans="1:126" ht="15" thickBot="1" x14ac:dyDescent="0.35">
      <c r="B8" s="3">
        <v>0.15516976021177703</v>
      </c>
      <c r="C8" s="3">
        <v>0.15516976021177703</v>
      </c>
      <c r="D8" s="3">
        <v>5.6607258287930562E-2</v>
      </c>
      <c r="E8" s="3">
        <v>0.15516976021177703</v>
      </c>
      <c r="F8" s="3">
        <v>5.6607258287930562E-2</v>
      </c>
      <c r="G8" s="3">
        <v>5.6607258287930562E-2</v>
      </c>
      <c r="H8" s="3">
        <v>0.36466894450087722</v>
      </c>
      <c r="L8" s="16" t="s">
        <v>51</v>
      </c>
      <c r="M8" s="39">
        <v>6.4715843663212078E-2</v>
      </c>
      <c r="N8" s="39">
        <v>6.4715843663212078E-2</v>
      </c>
      <c r="O8" s="40">
        <v>0.17870351554562083</v>
      </c>
      <c r="P8" s="39">
        <v>6.4715843663212078E-2</v>
      </c>
      <c r="Q8" s="40">
        <v>0.17870351554562083</v>
      </c>
      <c r="R8" s="40">
        <v>0.38372959425591002</v>
      </c>
      <c r="S8" s="39">
        <v>6.4715843663212078E-2</v>
      </c>
      <c r="W8" s="42" t="s">
        <v>58</v>
      </c>
      <c r="X8" s="38">
        <v>6.666666666666668E-2</v>
      </c>
      <c r="Y8" s="38">
        <v>3.333333333333334E-2</v>
      </c>
      <c r="Z8" s="38">
        <v>3.333333333333334E-2</v>
      </c>
      <c r="AA8" s="38">
        <v>6.666666666666668E-2</v>
      </c>
      <c r="AB8" s="38">
        <v>6.666666666666668E-2</v>
      </c>
      <c r="AC8" s="38">
        <v>6.666666666666668E-2</v>
      </c>
      <c r="AD8" s="38">
        <v>0.66666666666666663</v>
      </c>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CJ8" s="7">
        <v>-0.82721038300314087</v>
      </c>
      <c r="CK8" s="7">
        <v>0</v>
      </c>
      <c r="CL8" s="7">
        <v>0.82721038300314087</v>
      </c>
      <c r="CM8" s="8">
        <v>0</v>
      </c>
      <c r="CN8" s="8">
        <v>0.12243516375190849</v>
      </c>
      <c r="CO8" s="8">
        <v>1</v>
      </c>
      <c r="CP8" s="9">
        <v>0</v>
      </c>
      <c r="CQ8" s="9">
        <v>0.18032912016182648</v>
      </c>
      <c r="CR8" s="9">
        <v>1</v>
      </c>
      <c r="CS8" s="8">
        <v>0</v>
      </c>
      <c r="CT8" s="8">
        <v>0.20870353052727808</v>
      </c>
      <c r="CU8" s="8">
        <v>1</v>
      </c>
      <c r="CV8" s="3">
        <v>0</v>
      </c>
      <c r="CW8" s="3">
        <v>0.20875454107450656</v>
      </c>
      <c r="CX8" s="3">
        <v>1</v>
      </c>
      <c r="CY8" s="10">
        <v>0</v>
      </c>
      <c r="CZ8" s="10">
        <v>2.4070757169109058E-2</v>
      </c>
      <c r="DA8" s="10">
        <v>1</v>
      </c>
      <c r="DB8" s="3">
        <v>0</v>
      </c>
      <c r="DC8" s="3">
        <v>2.5681501165467829E-2</v>
      </c>
      <c r="DD8" s="3">
        <v>1</v>
      </c>
      <c r="DE8" s="3">
        <v>0</v>
      </c>
      <c r="DF8" s="3">
        <v>0</v>
      </c>
      <c r="DG8" s="3">
        <v>0.92755127147285821</v>
      </c>
      <c r="DH8" s="3">
        <v>0</v>
      </c>
      <c r="DI8" s="3">
        <v>8.7029711165191107E-3</v>
      </c>
      <c r="DJ8" s="3">
        <v>1</v>
      </c>
      <c r="DK8" s="3">
        <v>0</v>
      </c>
      <c r="DL8" s="3">
        <v>1.4015339629943337E-3</v>
      </c>
      <c r="DM8" s="3">
        <v>1</v>
      </c>
    </row>
    <row r="9" spans="1:126" x14ac:dyDescent="0.3">
      <c r="B9" s="39">
        <v>6.4715843663212078E-2</v>
      </c>
      <c r="C9" s="39">
        <v>6.4715843663212078E-2</v>
      </c>
      <c r="D9" s="40">
        <v>0.17870351554562083</v>
      </c>
      <c r="E9" s="39">
        <v>6.4715843663212078E-2</v>
      </c>
      <c r="F9" s="40">
        <v>0.38372959425591008</v>
      </c>
      <c r="G9" s="40">
        <v>0.17870351554562083</v>
      </c>
      <c r="H9" s="39">
        <v>6.4715843663212078E-2</v>
      </c>
      <c r="L9" t="s">
        <v>100</v>
      </c>
      <c r="M9" s="3">
        <v>0.15516976021177703</v>
      </c>
      <c r="N9" s="3">
        <v>0.15516976021177703</v>
      </c>
      <c r="O9" s="3">
        <v>5.6607258287930562E-2</v>
      </c>
      <c r="P9" s="3">
        <v>0.15516976021177703</v>
      </c>
      <c r="Q9" s="3">
        <v>5.6607258287930562E-2</v>
      </c>
      <c r="R9" s="3">
        <v>5.6607258287930562E-2</v>
      </c>
      <c r="S9" s="3">
        <v>0.36466894450087722</v>
      </c>
    </row>
    <row r="10" spans="1:126" x14ac:dyDescent="0.3">
      <c r="B10" s="25" t="s">
        <v>41</v>
      </c>
      <c r="C10" s="25" t="s">
        <v>37</v>
      </c>
      <c r="D10" s="25" t="s">
        <v>38</v>
      </c>
      <c r="E10" s="26" t="s">
        <v>42</v>
      </c>
      <c r="F10" s="25" t="s">
        <v>17</v>
      </c>
      <c r="G10" s="25" t="s">
        <v>43</v>
      </c>
      <c r="H10" s="26" t="s">
        <v>24</v>
      </c>
      <c r="I10" s="1"/>
      <c r="J10" s="1"/>
      <c r="K10" s="1"/>
      <c r="M10" s="3">
        <f>2/3</f>
        <v>0.66666666666666663</v>
      </c>
      <c r="N10" s="3"/>
      <c r="O10" s="3"/>
      <c r="P10" s="3"/>
      <c r="Q10" s="3"/>
      <c r="R10" s="3"/>
      <c r="S10" s="3"/>
    </row>
    <row r="11" spans="1:126" x14ac:dyDescent="0.3">
      <c r="A11" s="22" t="s">
        <v>44</v>
      </c>
      <c r="B11" s="20">
        <f t="shared" ref="B11:H11" si="0">B3^2</f>
        <v>10134125.624246359</v>
      </c>
      <c r="C11" s="20">
        <f t="shared" si="0"/>
        <v>54949090695.032257</v>
      </c>
      <c r="D11" s="20">
        <f t="shared" si="0"/>
        <v>815145.20063221978</v>
      </c>
      <c r="E11" s="20">
        <f t="shared" si="0"/>
        <v>1880.9689568793206</v>
      </c>
      <c r="F11" s="20">
        <f t="shared" si="0"/>
        <v>219015297.18316108</v>
      </c>
      <c r="G11" s="20">
        <f t="shared" si="0"/>
        <v>176018283.23180118</v>
      </c>
      <c r="H11" s="20">
        <f t="shared" si="0"/>
        <v>0</v>
      </c>
      <c r="I11" s="2"/>
      <c r="J11" s="2"/>
      <c r="K11" s="2"/>
      <c r="M11" s="1"/>
    </row>
    <row r="12" spans="1:126" x14ac:dyDescent="0.3">
      <c r="A12" s="21" t="s">
        <v>45</v>
      </c>
      <c r="B12" s="20">
        <f t="shared" ref="B12:H13" si="1">B4^2</f>
        <v>4654876.7604612168</v>
      </c>
      <c r="C12" s="20">
        <f t="shared" si="1"/>
        <v>72723907868.549316</v>
      </c>
      <c r="D12" s="20">
        <f t="shared" si="1"/>
        <v>908330.98809600039</v>
      </c>
      <c r="E12" s="20">
        <f t="shared" si="1"/>
        <v>2284.4221515056406</v>
      </c>
      <c r="F12" s="20">
        <f t="shared" si="1"/>
        <v>384317243.83825272</v>
      </c>
      <c r="G12" s="20">
        <f t="shared" si="1"/>
        <v>226899399.80335829</v>
      </c>
      <c r="H12" s="20">
        <f t="shared" si="1"/>
        <v>0.31675262902922663</v>
      </c>
      <c r="I12" s="2"/>
      <c r="J12" s="2"/>
      <c r="K12" s="2"/>
      <c r="M12" s="3">
        <f>(2/3)*M10</f>
        <v>0.44444444444444442</v>
      </c>
    </row>
    <row r="13" spans="1:126" ht="15" thickBot="1" x14ac:dyDescent="0.35">
      <c r="A13" s="21" t="s">
        <v>46</v>
      </c>
      <c r="B13" s="20">
        <f t="shared" si="1"/>
        <v>7250933.6069307085</v>
      </c>
      <c r="C13" s="20">
        <f t="shared" si="1"/>
        <v>74006750509.969711</v>
      </c>
      <c r="D13" s="20">
        <f t="shared" si="1"/>
        <v>936330.62323892675</v>
      </c>
      <c r="E13" s="20">
        <f t="shared" si="1"/>
        <v>2010.7699873921015</v>
      </c>
      <c r="F13" s="20">
        <f t="shared" si="1"/>
        <v>332793648.2653411</v>
      </c>
      <c r="G13" s="20">
        <f t="shared" si="1"/>
        <v>46583452.246100776</v>
      </c>
      <c r="H13" s="20">
        <f t="shared" si="1"/>
        <v>0.10333140030104127</v>
      </c>
      <c r="I13" s="2"/>
      <c r="J13" s="2"/>
      <c r="K13" s="2"/>
      <c r="CJ13" s="4">
        <v>3</v>
      </c>
      <c r="CK13" s="4">
        <v>5</v>
      </c>
      <c r="CL13" s="4">
        <v>7</v>
      </c>
      <c r="CM13" s="4">
        <v>1.5</v>
      </c>
      <c r="CN13" s="4">
        <v>2.5</v>
      </c>
      <c r="CO13" s="4">
        <v>3.5</v>
      </c>
      <c r="CP13" s="4">
        <v>1.5</v>
      </c>
      <c r="CQ13" s="4">
        <v>2.5</v>
      </c>
      <c r="CR13" s="4">
        <v>3.5</v>
      </c>
      <c r="CS13" s="4">
        <v>3</v>
      </c>
      <c r="CT13" s="4">
        <v>5</v>
      </c>
      <c r="CU13" s="4">
        <v>7</v>
      </c>
      <c r="CV13" s="4">
        <v>3</v>
      </c>
      <c r="CW13" s="4">
        <v>5</v>
      </c>
      <c r="CX13" s="4">
        <v>7</v>
      </c>
      <c r="CY13" s="4">
        <v>3</v>
      </c>
      <c r="CZ13" s="4">
        <v>5</v>
      </c>
      <c r="DA13" s="4">
        <v>7</v>
      </c>
      <c r="DB13" s="4">
        <v>3</v>
      </c>
      <c r="DC13" s="4">
        <v>5</v>
      </c>
      <c r="DD13" s="4">
        <v>7</v>
      </c>
      <c r="DE13" s="4">
        <v>1.5</v>
      </c>
      <c r="DF13" s="4">
        <v>2.5</v>
      </c>
      <c r="DG13" s="4">
        <v>3.5</v>
      </c>
      <c r="DH13" s="4">
        <v>1.5</v>
      </c>
      <c r="DI13" s="4">
        <v>2.5</v>
      </c>
      <c r="DJ13" s="4">
        <v>3.5</v>
      </c>
      <c r="DK13" s="4">
        <v>3</v>
      </c>
      <c r="DL13" s="4">
        <v>5</v>
      </c>
      <c r="DM13" s="4">
        <v>7</v>
      </c>
    </row>
    <row r="14" spans="1:126" ht="15" thickBot="1" x14ac:dyDescent="0.35">
      <c r="A14" s="19" t="s">
        <v>8</v>
      </c>
      <c r="B14" s="20">
        <f>SUM(B11:B13)</f>
        <v>22039935.991638284</v>
      </c>
      <c r="C14" s="20">
        <f>SUM(C11:C13)</f>
        <v>201679749073.55127</v>
      </c>
      <c r="D14" s="20">
        <f t="shared" ref="D14:H14" si="2">SUM(D11:D13)</f>
        <v>2659806.811967147</v>
      </c>
      <c r="E14" s="20">
        <f t="shared" si="2"/>
        <v>6176.1610957770627</v>
      </c>
      <c r="F14" s="20">
        <f t="shared" si="2"/>
        <v>936126189.28675485</v>
      </c>
      <c r="G14" s="20">
        <f t="shared" si="2"/>
        <v>449501135.28126025</v>
      </c>
      <c r="H14" s="20">
        <f t="shared" si="2"/>
        <v>0.42008402933026789</v>
      </c>
      <c r="I14" s="2"/>
      <c r="J14" s="2"/>
      <c r="K14" s="2"/>
      <c r="M14" s="43" t="s">
        <v>41</v>
      </c>
      <c r="N14" s="44" t="s">
        <v>37</v>
      </c>
      <c r="O14" s="44" t="s">
        <v>38</v>
      </c>
      <c r="P14" s="44" t="s">
        <v>42</v>
      </c>
      <c r="Q14" s="44" t="s">
        <v>17</v>
      </c>
      <c r="R14" s="44" t="s">
        <v>43</v>
      </c>
      <c r="S14" s="45" t="s">
        <v>24</v>
      </c>
      <c r="CJ14" s="4">
        <v>1</v>
      </c>
      <c r="CK14" s="4">
        <v>3</v>
      </c>
      <c r="CL14" s="4">
        <v>5</v>
      </c>
      <c r="CM14" s="4">
        <v>0.5</v>
      </c>
      <c r="CN14" s="4">
        <v>1.5</v>
      </c>
      <c r="CO14" s="4">
        <v>2.5</v>
      </c>
      <c r="CP14" s="4">
        <v>0.5</v>
      </c>
      <c r="CQ14" s="4">
        <v>1.5</v>
      </c>
      <c r="CR14" s="4">
        <v>2.5</v>
      </c>
      <c r="CS14" s="4">
        <v>1</v>
      </c>
      <c r="CT14" s="4">
        <v>3</v>
      </c>
      <c r="CU14" s="4">
        <v>5</v>
      </c>
      <c r="CV14" s="4">
        <v>1</v>
      </c>
      <c r="CW14" s="4">
        <v>3</v>
      </c>
      <c r="CX14" s="4">
        <v>5</v>
      </c>
      <c r="CY14" s="4">
        <v>1</v>
      </c>
      <c r="CZ14" s="4">
        <v>3</v>
      </c>
      <c r="DA14" s="4">
        <v>5</v>
      </c>
      <c r="DB14" s="4">
        <v>7</v>
      </c>
      <c r="DC14" s="4">
        <v>9</v>
      </c>
      <c r="DD14" s="4">
        <v>9</v>
      </c>
      <c r="DE14" s="4">
        <v>0.5</v>
      </c>
      <c r="DF14" s="4">
        <v>1.5</v>
      </c>
      <c r="DG14" s="4">
        <v>2.5</v>
      </c>
      <c r="DH14" s="4">
        <v>0.5</v>
      </c>
      <c r="DI14" s="4">
        <v>1.5</v>
      </c>
      <c r="DJ14" s="4">
        <v>2.5</v>
      </c>
      <c r="DK14" s="4">
        <v>7</v>
      </c>
      <c r="DL14" s="4">
        <v>9</v>
      </c>
      <c r="DM14" s="4">
        <v>9</v>
      </c>
    </row>
    <row r="15" spans="1:126" x14ac:dyDescent="0.3">
      <c r="A15" s="19" t="s">
        <v>9</v>
      </c>
      <c r="B15" s="20">
        <f>B14^(1/2)</f>
        <v>4694.6710205975332</v>
      </c>
      <c r="C15" s="20">
        <f>C14^(1/2)</f>
        <v>449087.68528378871</v>
      </c>
      <c r="D15" s="20">
        <f>D14^(1/2)</f>
        <v>1630.8914163631946</v>
      </c>
      <c r="E15" s="20">
        <f t="shared" ref="E15:H15" si="3">E14^(1/2)</f>
        <v>78.588555755765498</v>
      </c>
      <c r="F15" s="20">
        <f t="shared" si="3"/>
        <v>30596.179324986882</v>
      </c>
      <c r="G15" s="20">
        <f t="shared" si="3"/>
        <v>21201.441820811626</v>
      </c>
      <c r="H15" s="20">
        <f t="shared" si="3"/>
        <v>0.64813889663425373</v>
      </c>
      <c r="I15" s="2"/>
      <c r="J15" s="2"/>
      <c r="K15" s="2"/>
      <c r="CJ15" s="4">
        <v>7</v>
      </c>
      <c r="CK15" s="4">
        <v>9</v>
      </c>
      <c r="CL15" s="4">
        <v>9</v>
      </c>
      <c r="CM15" s="4">
        <v>1.5</v>
      </c>
      <c r="CN15" s="4">
        <v>2.5</v>
      </c>
      <c r="CO15" s="4">
        <v>3.5</v>
      </c>
      <c r="CP15" s="4">
        <v>1.5</v>
      </c>
      <c r="CQ15" s="4">
        <v>2.5</v>
      </c>
      <c r="CR15" s="4">
        <v>3.5</v>
      </c>
      <c r="CS15" s="4">
        <v>1</v>
      </c>
      <c r="CT15" s="4">
        <v>3</v>
      </c>
      <c r="CU15" s="4">
        <v>5</v>
      </c>
      <c r="CV15" s="4">
        <v>1</v>
      </c>
      <c r="CW15" s="4">
        <v>3</v>
      </c>
      <c r="CX15" s="4">
        <v>5</v>
      </c>
      <c r="CY15" s="4">
        <v>3</v>
      </c>
      <c r="CZ15" s="4">
        <v>5</v>
      </c>
      <c r="DA15" s="4">
        <v>7</v>
      </c>
      <c r="DB15" s="4">
        <v>1</v>
      </c>
      <c r="DC15" s="4">
        <v>3</v>
      </c>
      <c r="DD15" s="4">
        <v>5</v>
      </c>
      <c r="DE15" s="4">
        <v>0.5</v>
      </c>
      <c r="DF15" s="4">
        <v>1.5</v>
      </c>
      <c r="DG15" s="4">
        <v>2.5</v>
      </c>
      <c r="DH15" s="4">
        <v>0.5</v>
      </c>
      <c r="DI15" s="4">
        <v>1.5</v>
      </c>
      <c r="DJ15" s="4">
        <v>2.5</v>
      </c>
      <c r="DK15" s="4">
        <v>1</v>
      </c>
      <c r="DL15" s="4">
        <v>3</v>
      </c>
      <c r="DM15" s="4">
        <v>5</v>
      </c>
    </row>
    <row r="16" spans="1:126" x14ac:dyDescent="0.3">
      <c r="CJ16" s="1">
        <v>7</v>
      </c>
      <c r="CK16" s="1">
        <v>9</v>
      </c>
      <c r="CL16" s="1">
        <v>9</v>
      </c>
      <c r="CM16" s="1">
        <v>0.5</v>
      </c>
      <c r="CN16" s="1">
        <v>1.5</v>
      </c>
      <c r="CO16" s="1">
        <v>2.5</v>
      </c>
      <c r="CP16" s="1">
        <v>0.5</v>
      </c>
      <c r="CQ16" s="1">
        <v>1.5</v>
      </c>
      <c r="CR16" s="1">
        <v>2.5</v>
      </c>
      <c r="CS16" s="1">
        <v>1</v>
      </c>
      <c r="CT16" s="1">
        <v>3</v>
      </c>
      <c r="CU16" s="1">
        <v>5</v>
      </c>
      <c r="CV16" s="1">
        <v>7</v>
      </c>
      <c r="CW16" s="1">
        <v>9</v>
      </c>
      <c r="CX16" s="1">
        <v>9</v>
      </c>
      <c r="CY16" s="1">
        <v>1</v>
      </c>
      <c r="CZ16" s="1">
        <v>3</v>
      </c>
      <c r="DA16" s="1">
        <v>5</v>
      </c>
      <c r="DB16" s="1">
        <v>3</v>
      </c>
      <c r="DC16" s="1">
        <v>5</v>
      </c>
      <c r="DD16" s="1">
        <v>7</v>
      </c>
      <c r="DE16" s="1">
        <v>0.5</v>
      </c>
      <c r="DF16" s="1">
        <v>1.5</v>
      </c>
      <c r="DG16" s="1">
        <v>2.5</v>
      </c>
      <c r="DH16" s="1">
        <v>0.5</v>
      </c>
      <c r="DI16" s="1">
        <v>1.5</v>
      </c>
      <c r="DJ16" s="1">
        <v>2.5</v>
      </c>
      <c r="DK16" s="1">
        <v>1</v>
      </c>
      <c r="DL16" s="1">
        <v>3</v>
      </c>
      <c r="DM16" s="1">
        <v>5</v>
      </c>
    </row>
    <row r="17" spans="1:117" x14ac:dyDescent="0.3">
      <c r="A17" s="1" t="s">
        <v>10</v>
      </c>
      <c r="B17" s="1" t="s">
        <v>0</v>
      </c>
      <c r="C17" s="1" t="s">
        <v>1</v>
      </c>
      <c r="D17" s="1" t="s">
        <v>26</v>
      </c>
      <c r="E17" s="1" t="s">
        <v>27</v>
      </c>
      <c r="F17" s="1" t="s">
        <v>28</v>
      </c>
      <c r="G17" s="1" t="s">
        <v>29</v>
      </c>
      <c r="H17" s="1" t="s">
        <v>30</v>
      </c>
      <c r="I17" s="1"/>
      <c r="J17" s="1"/>
      <c r="K17" s="1"/>
    </row>
    <row r="18" spans="1:117" x14ac:dyDescent="0.3">
      <c r="A18" s="21" t="s">
        <v>44</v>
      </c>
      <c r="B18" s="3">
        <f t="shared" ref="B18:H20" si="4">B3/B$15</f>
        <v>0.67809099549724028</v>
      </c>
      <c r="C18" s="3">
        <f t="shared" si="4"/>
        <v>0.52197428596145568</v>
      </c>
      <c r="D18" s="3">
        <f t="shared" si="4"/>
        <v>0.553595359455337</v>
      </c>
      <c r="E18" s="3">
        <f t="shared" si="4"/>
        <v>0.55186329081786478</v>
      </c>
      <c r="F18" s="3">
        <f t="shared" si="4"/>
        <v>0.48369325021441395</v>
      </c>
      <c r="G18" s="3">
        <f t="shared" si="4"/>
        <v>0.62576820627968321</v>
      </c>
      <c r="H18" s="3">
        <f t="shared" si="4"/>
        <v>0</v>
      </c>
      <c r="I18" s="3"/>
      <c r="J18" s="3"/>
      <c r="K18" s="3"/>
    </row>
    <row r="19" spans="1:117" x14ac:dyDescent="0.3">
      <c r="A19" s="21" t="s">
        <v>45</v>
      </c>
      <c r="B19" s="3">
        <f t="shared" si="4"/>
        <v>0.45956709879161517</v>
      </c>
      <c r="C19" s="3">
        <f t="shared" si="4"/>
        <v>0.60049232062036739</v>
      </c>
      <c r="D19" s="3">
        <f t="shared" si="4"/>
        <v>0.58438225282053713</v>
      </c>
      <c r="E19" s="3">
        <f t="shared" si="4"/>
        <v>0.60817543394660956</v>
      </c>
      <c r="F19" s="3">
        <f t="shared" si="4"/>
        <v>0.64073395255600485</v>
      </c>
      <c r="G19" s="3">
        <f t="shared" si="4"/>
        <v>0.71047905118326327</v>
      </c>
      <c r="H19" s="3">
        <f t="shared" si="4"/>
        <v>0.86834444156099144</v>
      </c>
      <c r="I19" s="3"/>
      <c r="J19" s="3"/>
      <c r="K19" s="3"/>
      <c r="CJ19" s="5"/>
      <c r="CK19" s="6"/>
      <c r="CL19" s="6"/>
      <c r="CM19" s="6"/>
      <c r="CN19" s="6"/>
      <c r="CO19" s="6"/>
      <c r="CP19" s="6"/>
      <c r="CQ19" s="6"/>
      <c r="CR19" s="6"/>
      <c r="CS19" s="6"/>
      <c r="CT19" s="6"/>
      <c r="CU19" s="6"/>
      <c r="CW19" s="6"/>
      <c r="CX19" s="6"/>
      <c r="CZ19" s="6"/>
      <c r="DA19" s="6"/>
      <c r="DD19" s="6"/>
      <c r="DF19" s="6"/>
      <c r="DG19" s="6"/>
      <c r="DI19" s="6"/>
      <c r="DJ19" s="6"/>
      <c r="DL19" s="6"/>
      <c r="DM19" s="6"/>
    </row>
    <row r="20" spans="1:117" x14ac:dyDescent="0.3">
      <c r="A20" s="21" t="s">
        <v>46</v>
      </c>
      <c r="B20" s="3">
        <f t="shared" si="4"/>
        <v>0.57357709467326146</v>
      </c>
      <c r="C20" s="3">
        <f t="shared" si="4"/>
        <v>0.60576548075224168</v>
      </c>
      <c r="D20" s="3">
        <f t="shared" si="4"/>
        <v>0.59332079061660237</v>
      </c>
      <c r="E20" s="3">
        <f t="shared" si="4"/>
        <v>0.57058702210226453</v>
      </c>
      <c r="F20" s="3">
        <f t="shared" si="4"/>
        <v>0.596238913304873</v>
      </c>
      <c r="G20" s="3">
        <f t="shared" si="4"/>
        <v>0.32192183808999042</v>
      </c>
      <c r="H20" s="3">
        <f t="shared" si="4"/>
        <v>0.49596162231580992</v>
      </c>
      <c r="I20" s="3"/>
      <c r="J20" s="3"/>
      <c r="K20" s="3"/>
    </row>
    <row r="21" spans="1:117" ht="15" thickBot="1" x14ac:dyDescent="0.35"/>
    <row r="22" spans="1:117" x14ac:dyDescent="0.3">
      <c r="A22" s="1" t="s">
        <v>2</v>
      </c>
      <c r="B22" s="1" t="s">
        <v>0</v>
      </c>
      <c r="C22" s="1" t="s">
        <v>1</v>
      </c>
      <c r="D22" s="1" t="s">
        <v>26</v>
      </c>
      <c r="E22" s="1" t="s">
        <v>27</v>
      </c>
      <c r="F22" s="1" t="s">
        <v>28</v>
      </c>
      <c r="G22" s="1" t="s">
        <v>29</v>
      </c>
      <c r="H22" s="1" t="s">
        <v>30</v>
      </c>
      <c r="I22" s="1"/>
      <c r="J22" s="1"/>
      <c r="K22" s="1"/>
      <c r="L22" s="17" t="s">
        <v>47</v>
      </c>
      <c r="M22" s="18" t="s">
        <v>56</v>
      </c>
      <c r="N22" s="35" t="s">
        <v>54</v>
      </c>
      <c r="O22" s="35" t="s">
        <v>49</v>
      </c>
      <c r="P22" s="35" t="s">
        <v>50</v>
      </c>
      <c r="Q22" s="35" t="s">
        <v>57</v>
      </c>
      <c r="R22" s="35" t="s">
        <v>51</v>
      </c>
      <c r="S22" s="36" t="s">
        <v>55</v>
      </c>
    </row>
    <row r="23" spans="1:117" x14ac:dyDescent="0.3">
      <c r="A23" s="21" t="s">
        <v>44</v>
      </c>
      <c r="B23" s="3">
        <f>B18*B$7</f>
        <v>9.6870142213891439E-2</v>
      </c>
      <c r="C23" s="3">
        <f t="shared" ref="C23:H23" si="5">C18*C$7</f>
        <v>7.4567755137350797E-2</v>
      </c>
      <c r="D23" s="3">
        <f t="shared" si="5"/>
        <v>7.9085051350762409E-2</v>
      </c>
      <c r="E23" s="3">
        <f t="shared" si="5"/>
        <v>7.8837612973980661E-2</v>
      </c>
      <c r="F23" s="3">
        <f t="shared" si="5"/>
        <v>6.9099035744916257E-2</v>
      </c>
      <c r="G23" s="3">
        <f t="shared" si="5"/>
        <v>8.9395458039954717E-2</v>
      </c>
      <c r="H23" s="3">
        <f t="shared" si="5"/>
        <v>0</v>
      </c>
      <c r="I23" s="3"/>
      <c r="J23" s="3"/>
      <c r="K23" s="3"/>
      <c r="L23" s="33" t="s">
        <v>44</v>
      </c>
      <c r="M23" s="20">
        <v>0.16291712321024895</v>
      </c>
      <c r="N23" s="20">
        <v>7.2126564147582478E-2</v>
      </c>
      <c r="O23" s="20">
        <v>0.34403616249402003</v>
      </c>
      <c r="P23" s="20">
        <v>0.14347918468504781</v>
      </c>
      <c r="Q23" s="20">
        <v>0.62420195799491407</v>
      </c>
      <c r="R23" s="20">
        <v>0.21404134903853775</v>
      </c>
      <c r="S23" s="30">
        <v>2.0770164735711059E-2</v>
      </c>
    </row>
    <row r="24" spans="1:117" x14ac:dyDescent="0.3">
      <c r="A24" s="21" t="s">
        <v>45</v>
      </c>
      <c r="B24" s="3">
        <f t="shared" ref="B24:H25" si="6">B19*B$7</f>
        <v>6.5652442684516435E-2</v>
      </c>
      <c r="C24" s="3">
        <f t="shared" si="6"/>
        <v>8.5784617231481036E-2</v>
      </c>
      <c r="D24" s="3">
        <f t="shared" si="6"/>
        <v>8.3483178974362429E-2</v>
      </c>
      <c r="E24" s="3">
        <f t="shared" si="6"/>
        <v>8.6882204849515629E-2</v>
      </c>
      <c r="F24" s="3">
        <f t="shared" si="6"/>
        <v>9.1533421793714959E-2</v>
      </c>
      <c r="G24" s="3">
        <f t="shared" si="6"/>
        <v>0.10149700731189473</v>
      </c>
      <c r="H24" s="3">
        <f t="shared" si="6"/>
        <v>0.12404920593728445</v>
      </c>
      <c r="I24" s="3"/>
      <c r="J24" s="3"/>
      <c r="K24" s="3"/>
      <c r="L24" s="33" t="s">
        <v>52</v>
      </c>
      <c r="M24" s="20">
        <v>0.6805180473211534</v>
      </c>
      <c r="N24" s="20">
        <v>0.84812187081211876</v>
      </c>
      <c r="O24" s="20">
        <v>0.60184777625460395</v>
      </c>
      <c r="P24" s="20">
        <v>0.71520576300891281</v>
      </c>
      <c r="Q24" s="20">
        <v>0.35666767724615828</v>
      </c>
      <c r="R24" s="20">
        <v>0.18745712416619478</v>
      </c>
      <c r="S24" s="30">
        <v>0.95375189161516738</v>
      </c>
    </row>
    <row r="25" spans="1:117" ht="15" thickBot="1" x14ac:dyDescent="0.35">
      <c r="A25" s="21" t="s">
        <v>46</v>
      </c>
      <c r="B25" s="3">
        <f t="shared" si="6"/>
        <v>8.1939584953323041E-2</v>
      </c>
      <c r="C25" s="3">
        <f t="shared" si="6"/>
        <v>8.6537925821748796E-2</v>
      </c>
      <c r="D25" s="3">
        <f t="shared" si="6"/>
        <v>8.4760112945228894E-2</v>
      </c>
      <c r="E25" s="3">
        <f t="shared" si="6"/>
        <v>8.1512431728894913E-2</v>
      </c>
      <c r="F25" s="3">
        <f t="shared" si="6"/>
        <v>8.5176987614981839E-2</v>
      </c>
      <c r="G25" s="3">
        <f t="shared" si="6"/>
        <v>4.5988834012855764E-2</v>
      </c>
      <c r="H25" s="3">
        <f t="shared" si="6"/>
        <v>7.0851660330829971E-2</v>
      </c>
      <c r="I25" s="3"/>
      <c r="J25" s="3"/>
      <c r="K25" s="3"/>
      <c r="L25" s="34" t="s">
        <v>53</v>
      </c>
      <c r="M25" s="29">
        <v>0.60984452959437596</v>
      </c>
      <c r="N25" s="29">
        <v>0.50312897692398872</v>
      </c>
      <c r="O25" s="29">
        <v>0.50932283985537607</v>
      </c>
      <c r="P25" s="29">
        <v>0.54593555572628205</v>
      </c>
      <c r="Q25" s="29">
        <v>0.39502073963456064</v>
      </c>
      <c r="R25" s="29">
        <v>0.90533721258449906</v>
      </c>
      <c r="S25" s="31">
        <v>0.57171471988226175</v>
      </c>
    </row>
    <row r="26" spans="1:117" x14ac:dyDescent="0.3">
      <c r="A26" s="1"/>
      <c r="B26" s="1"/>
      <c r="C26" s="1"/>
      <c r="D26" s="1"/>
      <c r="E26" s="1"/>
      <c r="F26" s="1"/>
      <c r="G26" s="1"/>
      <c r="H26" s="1"/>
      <c r="I26" s="1"/>
      <c r="J26" s="1"/>
      <c r="K26" s="1"/>
      <c r="M26" s="7">
        <f>M24-M23</f>
        <v>0.51760092411090441</v>
      </c>
      <c r="N26" s="7">
        <f t="shared" ref="N26:S26" si="7">N24-N23</f>
        <v>0.77599530666453631</v>
      </c>
      <c r="O26" s="3">
        <f t="shared" si="7"/>
        <v>0.25781161376058392</v>
      </c>
      <c r="P26" s="7">
        <f t="shared" si="7"/>
        <v>0.57172657832386498</v>
      </c>
      <c r="Q26" s="32">
        <f t="shared" si="7"/>
        <v>-0.26753428074875579</v>
      </c>
      <c r="R26" s="32">
        <f t="shared" si="7"/>
        <v>-2.6584224872342965E-2</v>
      </c>
      <c r="S26" s="7">
        <f t="shared" si="7"/>
        <v>0.93298172687945635</v>
      </c>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row>
    <row r="27" spans="1:117" x14ac:dyDescent="0.3">
      <c r="A27" s="1" t="s">
        <v>3</v>
      </c>
      <c r="B27" s="3">
        <f>MIN(B23:B25)</f>
        <v>6.5652442684516435E-2</v>
      </c>
      <c r="C27" s="3">
        <f>MIN(C23:C25)</f>
        <v>7.4567755137350797E-2</v>
      </c>
      <c r="D27" s="3">
        <f>MIN(D23:D25)</f>
        <v>7.9085051350762409E-2</v>
      </c>
      <c r="E27" s="3">
        <f>MAX(E23:E25)</f>
        <v>8.6882204849515629E-2</v>
      </c>
      <c r="F27" s="3">
        <f t="shared" ref="F27:G27" si="8">MIN(F23:F25)</f>
        <v>6.9099035744916257E-2</v>
      </c>
      <c r="G27" s="3">
        <f t="shared" si="8"/>
        <v>4.5988834012855764E-2</v>
      </c>
      <c r="H27" s="3">
        <f>MAX(H23:H25)</f>
        <v>0.12404920593728445</v>
      </c>
      <c r="I27" s="3"/>
      <c r="J27" s="3"/>
      <c r="K27" s="3"/>
    </row>
    <row r="28" spans="1:117" x14ac:dyDescent="0.3">
      <c r="A28" s="1" t="s">
        <v>4</v>
      </c>
      <c r="B28" s="3">
        <f>MAX(B23:B25)</f>
        <v>9.6870142213891439E-2</v>
      </c>
      <c r="C28" s="3">
        <f>MAX(C23:C25)</f>
        <v>8.6537925821748796E-2</v>
      </c>
      <c r="D28" s="3">
        <f>MAX(D23:D25)</f>
        <v>8.4760112945228894E-2</v>
      </c>
      <c r="E28" s="3">
        <f>MIN(E23:E25)</f>
        <v>7.8837612973980661E-2</v>
      </c>
      <c r="F28" s="3">
        <f t="shared" ref="F28:G28" si="9">MAX(F23:F25)</f>
        <v>9.1533421793714959E-2</v>
      </c>
      <c r="G28" s="3">
        <f t="shared" si="9"/>
        <v>0.10149700731189473</v>
      </c>
      <c r="H28" s="3">
        <f>MIN(H23:H25)</f>
        <v>0</v>
      </c>
      <c r="I28" s="3"/>
      <c r="J28" s="3"/>
      <c r="K28" s="3"/>
      <c r="CJ28" s="1" t="s">
        <v>13</v>
      </c>
      <c r="CK28" s="1" t="s">
        <v>14</v>
      </c>
      <c r="CL28" s="1" t="s">
        <v>15</v>
      </c>
      <c r="CM28" s="1" t="s">
        <v>16</v>
      </c>
      <c r="CN28" s="1" t="s">
        <v>17</v>
      </c>
      <c r="CO28" s="1" t="s">
        <v>19</v>
      </c>
      <c r="CP28" s="1" t="s">
        <v>20</v>
      </c>
      <c r="CQ28" s="1" t="s">
        <v>25</v>
      </c>
      <c r="CR28" s="1" t="s">
        <v>23</v>
      </c>
      <c r="CS28" s="1" t="s">
        <v>24</v>
      </c>
    </row>
    <row r="29" spans="1:117" x14ac:dyDescent="0.3">
      <c r="CJ29" s="3">
        <f>AVERAGE(CJ6:CL6)</f>
        <v>0.10439372693560238</v>
      </c>
      <c r="CK29" s="3">
        <f>AVERAGE(CM6:CO6)</f>
        <v>0.32119106046767065</v>
      </c>
      <c r="CL29" s="3">
        <f>AVERAGE(CP6:CR6)</f>
        <v>0.18432881460542602</v>
      </c>
      <c r="CM29" s="3">
        <f>AVERAGE(CS6:CU6)</f>
        <v>0.22970168376709024</v>
      </c>
      <c r="CN29" s="3">
        <f>AVERAGE(CV6:CX6)</f>
        <v>0.2297161591865767</v>
      </c>
      <c r="CO29" s="3">
        <f>AVERAGE(CY6:DA6)</f>
        <v>0.31933192276795064</v>
      </c>
      <c r="CP29" s="3">
        <f>AVERAGE(DB6:DD6)</f>
        <v>0.33541192047143414</v>
      </c>
      <c r="CQ29" s="3">
        <f>AVERAGE(DE6:DG6)</f>
        <v>0.35542486617984598</v>
      </c>
      <c r="CR29" s="3">
        <f>AVERAGE(DH6:DJ6)</f>
        <v>0.33333333333333331</v>
      </c>
      <c r="CS29" s="3">
        <f>AVERAGE(DK6:DM6)</f>
        <v>0.33344880507356206</v>
      </c>
    </row>
    <row r="30" spans="1:117" x14ac:dyDescent="0.3">
      <c r="CJ30" s="3">
        <f>AVERAGE(CJ7:CL7)</f>
        <v>3.7825981088746276E-2</v>
      </c>
      <c r="CK30" s="3">
        <f>AVERAGE(CM7:CO7)</f>
        <v>0.32649715540636137</v>
      </c>
      <c r="CL30" s="3">
        <f>AVERAGE(CP7:CR7)</f>
        <v>0.29527108112242878</v>
      </c>
      <c r="CM30" s="3">
        <f>AVERAGE(CS7:CU7)</f>
        <v>0.27309084431347141</v>
      </c>
      <c r="CN30" s="3">
        <f>AVERAGE(CV7:CX7)</f>
        <v>0.27310269771721168</v>
      </c>
      <c r="CO30" s="3">
        <f>AVERAGE(CY7:DA7)</f>
        <v>0.32870931616219562</v>
      </c>
      <c r="CP30" s="3">
        <f>AVERAGE(DB7:DD7)</f>
        <v>0.31050533229736194</v>
      </c>
      <c r="CQ30" s="3">
        <f>AVERAGE(DE7:DG7)</f>
        <v>0.32736764148494052</v>
      </c>
      <c r="CR30" s="3">
        <f>AVERAGE(DH7:DJ7)</f>
        <v>0.33418648871214135</v>
      </c>
      <c r="CS30" s="3">
        <f>AVERAGE(DK7:DM7)</f>
        <v>0.33333333333333331</v>
      </c>
    </row>
    <row r="31" spans="1:117" x14ac:dyDescent="0.3">
      <c r="A31" t="s">
        <v>5</v>
      </c>
      <c r="B31" s="1" t="s">
        <v>0</v>
      </c>
      <c r="C31" s="1" t="s">
        <v>1</v>
      </c>
      <c r="D31" s="1" t="s">
        <v>26</v>
      </c>
      <c r="E31" s="1" t="s">
        <v>27</v>
      </c>
      <c r="F31" s="1" t="s">
        <v>28</v>
      </c>
      <c r="G31" s="1" t="s">
        <v>29</v>
      </c>
      <c r="H31" s="1" t="s">
        <v>30</v>
      </c>
      <c r="I31" s="1"/>
      <c r="J31" s="1"/>
      <c r="K31" s="1"/>
      <c r="CJ31" s="3">
        <f t="shared" ref="CJ31" si="10">AVERAGE(CJ8:CL8)</f>
        <v>0</v>
      </c>
      <c r="CK31" s="3">
        <f t="shared" ref="CK31" si="11">AVERAGE(CM8:CO8)</f>
        <v>0.37414505458396952</v>
      </c>
      <c r="CL31" s="3">
        <f t="shared" ref="CL31" si="12">AVERAGE(CP8:CR8)</f>
        <v>0.39344304005394215</v>
      </c>
      <c r="CM31" s="3">
        <f t="shared" ref="CM31" si="13">AVERAGE(CS8:CU8)</f>
        <v>0.40290117684242599</v>
      </c>
      <c r="CN31" s="3">
        <f t="shared" ref="CN31" si="14">AVERAGE(CV8:CX8)</f>
        <v>0.4029181803581689</v>
      </c>
      <c r="CO31" s="3">
        <f t="shared" ref="CO31" si="15">AVERAGE(CY8:DA8)</f>
        <v>0.34135691905636967</v>
      </c>
      <c r="CP31" s="3">
        <f t="shared" ref="CP31" si="16">AVERAGE(DB8:DD8)</f>
        <v>0.34189383372182264</v>
      </c>
      <c r="CQ31" s="3">
        <f t="shared" ref="CQ31" si="17">AVERAGE(DE8:DG8)</f>
        <v>0.30918375715761942</v>
      </c>
      <c r="CR31" s="3">
        <f t="shared" ref="CR31" si="18">AVERAGE(DH8:DJ8)</f>
        <v>0.33623432370550638</v>
      </c>
      <c r="CS31" s="3">
        <f t="shared" ref="CS31" si="19">AVERAGE(DK8:DM8)</f>
        <v>0.33380051132099808</v>
      </c>
    </row>
    <row r="32" spans="1:117" x14ac:dyDescent="0.3">
      <c r="A32" s="21" t="s">
        <v>44</v>
      </c>
      <c r="B32" s="3">
        <f>B23-B$27</f>
        <v>3.1217699529375004E-2</v>
      </c>
      <c r="C32" s="3">
        <f t="shared" ref="C32:H34" si="20">C23-C$27</f>
        <v>0</v>
      </c>
      <c r="D32" s="3">
        <f t="shared" si="20"/>
        <v>0</v>
      </c>
      <c r="E32" s="3">
        <f t="shared" si="20"/>
        <v>-8.0445918755349677E-3</v>
      </c>
      <c r="F32" s="3">
        <f t="shared" si="20"/>
        <v>0</v>
      </c>
      <c r="G32" s="3">
        <f t="shared" si="20"/>
        <v>4.3406624027098953E-2</v>
      </c>
      <c r="H32" s="3">
        <f t="shared" si="20"/>
        <v>-0.12404920593728445</v>
      </c>
      <c r="I32" s="3"/>
      <c r="J32" s="3"/>
      <c r="K32" s="3"/>
    </row>
    <row r="33" spans="1:97" x14ac:dyDescent="0.3">
      <c r="A33" s="21" t="s">
        <v>45</v>
      </c>
      <c r="B33" s="3">
        <f>B24-B$27</f>
        <v>0</v>
      </c>
      <c r="C33" s="3">
        <f t="shared" si="20"/>
        <v>1.1216862094130239E-2</v>
      </c>
      <c r="D33" s="3">
        <f t="shared" si="20"/>
        <v>4.3981276236000205E-3</v>
      </c>
      <c r="E33" s="3">
        <f t="shared" si="20"/>
        <v>0</v>
      </c>
      <c r="F33" s="3">
        <f t="shared" si="20"/>
        <v>2.2434386048798702E-2</v>
      </c>
      <c r="G33" s="3">
        <f t="shared" si="20"/>
        <v>5.5508173299038968E-2</v>
      </c>
      <c r="H33" s="3">
        <f t="shared" si="20"/>
        <v>0</v>
      </c>
      <c r="I33" s="3"/>
      <c r="J33" s="3"/>
      <c r="K33" s="3"/>
    </row>
    <row r="34" spans="1:97" x14ac:dyDescent="0.3">
      <c r="A34" s="21" t="s">
        <v>46</v>
      </c>
      <c r="B34" s="3">
        <f>B25-B$27</f>
        <v>1.6287142268806606E-2</v>
      </c>
      <c r="C34" s="3">
        <f t="shared" si="20"/>
        <v>1.1970170684397999E-2</v>
      </c>
      <c r="D34" s="3">
        <f t="shared" si="20"/>
        <v>5.6750615944664851E-3</v>
      </c>
      <c r="E34" s="3">
        <f t="shared" si="20"/>
        <v>-5.3697731206207161E-3</v>
      </c>
      <c r="F34" s="3">
        <f t="shared" si="20"/>
        <v>1.6077951870065582E-2</v>
      </c>
      <c r="G34" s="3">
        <f t="shared" si="20"/>
        <v>0</v>
      </c>
      <c r="H34" s="3">
        <f t="shared" si="20"/>
        <v>-5.3197545606454483E-2</v>
      </c>
      <c r="I34" s="3"/>
      <c r="J34" s="3"/>
      <c r="K34" s="3"/>
    </row>
    <row r="35" spans="1:97" x14ac:dyDescent="0.3">
      <c r="B35" s="1"/>
      <c r="C35" s="1"/>
      <c r="D35" s="1"/>
      <c r="E35" s="1"/>
      <c r="F35" s="1"/>
      <c r="G35" s="1"/>
      <c r="H35" s="1"/>
      <c r="I35" s="1"/>
      <c r="J35" s="1"/>
      <c r="K35" s="1"/>
    </row>
    <row r="36" spans="1:97" x14ac:dyDescent="0.3">
      <c r="B36" s="1"/>
      <c r="C36" s="1"/>
      <c r="D36" s="1"/>
      <c r="E36" s="1"/>
      <c r="F36" s="1"/>
      <c r="G36" s="1"/>
      <c r="H36" s="1"/>
      <c r="I36" s="1"/>
      <c r="J36" s="1"/>
      <c r="K36" s="1"/>
      <c r="CJ36" s="3">
        <f>AVERAGE(CJ13:CL13)</f>
        <v>5</v>
      </c>
      <c r="CK36" s="3">
        <f>AVERAGE(CM13:CO13)</f>
        <v>2.5</v>
      </c>
      <c r="CL36" s="3">
        <f>AVERAGE(CP13:CR13)</f>
        <v>2.5</v>
      </c>
      <c r="CM36" s="3">
        <f>AVERAGE(CS13:CU13)</f>
        <v>5</v>
      </c>
      <c r="CN36" s="3">
        <f>AVERAGE(CV13:CX13)</f>
        <v>5</v>
      </c>
      <c r="CO36" s="3">
        <f>AVERAGE(CY13:DA13)</f>
        <v>5</v>
      </c>
      <c r="CP36" s="3">
        <f>AVERAGE(DB13:DD13)</f>
        <v>5</v>
      </c>
      <c r="CQ36" s="3">
        <f>AVERAGE(DE13:DG13)</f>
        <v>2.5</v>
      </c>
      <c r="CR36" s="3">
        <f>AVERAGE(DH13:DJ13)</f>
        <v>2.5</v>
      </c>
      <c r="CS36" s="3">
        <f>AVERAGE(DK13:DM13)</f>
        <v>5</v>
      </c>
    </row>
    <row r="37" spans="1:97" x14ac:dyDescent="0.3">
      <c r="A37" t="s">
        <v>6</v>
      </c>
      <c r="B37" s="1" t="s">
        <v>0</v>
      </c>
      <c r="C37" s="1" t="s">
        <v>1</v>
      </c>
      <c r="D37" s="1" t="s">
        <v>26</v>
      </c>
      <c r="E37" s="1" t="s">
        <v>27</v>
      </c>
      <c r="F37" s="1" t="s">
        <v>28</v>
      </c>
      <c r="G37" s="1" t="s">
        <v>29</v>
      </c>
      <c r="H37" s="1" t="s">
        <v>30</v>
      </c>
      <c r="I37" s="1"/>
      <c r="J37" s="1"/>
      <c r="K37" s="1"/>
      <c r="CJ37" s="3">
        <f t="shared" ref="CJ37:CJ39" si="21">AVERAGE(CJ14:CL14)</f>
        <v>3</v>
      </c>
      <c r="CK37" s="3">
        <f t="shared" ref="CK37:CK39" si="22">AVERAGE(CM14:CO14)</f>
        <v>1.5</v>
      </c>
      <c r="CL37" s="3">
        <f t="shared" ref="CL37:CL39" si="23">AVERAGE(CP14:CR14)</f>
        <v>1.5</v>
      </c>
      <c r="CM37" s="3">
        <f t="shared" ref="CM37:CM39" si="24">AVERAGE(CS14:CU14)</f>
        <v>3</v>
      </c>
      <c r="CN37" s="3">
        <f t="shared" ref="CN37:CN39" si="25">AVERAGE(CV14:CX14)</f>
        <v>3</v>
      </c>
      <c r="CO37" s="3">
        <f t="shared" ref="CO37:CO39" si="26">AVERAGE(CY14:DA14)</f>
        <v>3</v>
      </c>
      <c r="CP37" s="3">
        <f t="shared" ref="CP37:CP39" si="27">AVERAGE(DB14:DD14)</f>
        <v>8.3333333333333339</v>
      </c>
      <c r="CQ37" s="3">
        <f t="shared" ref="CQ37:CQ39" si="28">AVERAGE(DE14:DG14)</f>
        <v>1.5</v>
      </c>
      <c r="CR37" s="3">
        <f t="shared" ref="CR37:CR39" si="29">AVERAGE(DH14:DJ14)</f>
        <v>1.5</v>
      </c>
      <c r="CS37" s="3">
        <f t="shared" ref="CS37:CS39" si="30">AVERAGE(DK14:DM14)</f>
        <v>8.3333333333333339</v>
      </c>
    </row>
    <row r="38" spans="1:97" x14ac:dyDescent="0.3">
      <c r="A38" s="21" t="s">
        <v>44</v>
      </c>
      <c r="B38" s="3">
        <f>B23-B$28</f>
        <v>0</v>
      </c>
      <c r="C38" s="3">
        <f t="shared" ref="C38:H40" si="31">C23-C$28</f>
        <v>-1.1970170684397999E-2</v>
      </c>
      <c r="D38" s="3">
        <f t="shared" si="31"/>
        <v>-5.6750615944664851E-3</v>
      </c>
      <c r="E38" s="3">
        <f t="shared" si="31"/>
        <v>0</v>
      </c>
      <c r="F38" s="3">
        <f t="shared" si="31"/>
        <v>-2.2434386048798702E-2</v>
      </c>
      <c r="G38" s="3">
        <f t="shared" si="31"/>
        <v>-1.2101549271940015E-2</v>
      </c>
      <c r="H38" s="3">
        <f t="shared" si="31"/>
        <v>0</v>
      </c>
      <c r="I38" s="3"/>
      <c r="J38" s="3"/>
      <c r="K38" s="3"/>
      <c r="CJ38" s="3">
        <f t="shared" si="21"/>
        <v>8.3333333333333339</v>
      </c>
      <c r="CK38" s="3">
        <f t="shared" si="22"/>
        <v>2.5</v>
      </c>
      <c r="CL38" s="3">
        <f t="shared" si="23"/>
        <v>2.5</v>
      </c>
      <c r="CM38" s="3">
        <f t="shared" si="24"/>
        <v>3</v>
      </c>
      <c r="CN38" s="3">
        <f t="shared" si="25"/>
        <v>3</v>
      </c>
      <c r="CO38" s="3">
        <f t="shared" si="26"/>
        <v>5</v>
      </c>
      <c r="CP38" s="3">
        <f t="shared" si="27"/>
        <v>3</v>
      </c>
      <c r="CQ38" s="3">
        <f t="shared" si="28"/>
        <v>1.5</v>
      </c>
      <c r="CR38" s="3">
        <f t="shared" si="29"/>
        <v>1.5</v>
      </c>
      <c r="CS38" s="3">
        <f t="shared" si="30"/>
        <v>3</v>
      </c>
    </row>
    <row r="39" spans="1:97" x14ac:dyDescent="0.3">
      <c r="A39" s="21" t="s">
        <v>45</v>
      </c>
      <c r="B39" s="3">
        <f>B24-B$28</f>
        <v>-3.1217699529375004E-2</v>
      </c>
      <c r="C39" s="3">
        <f t="shared" si="31"/>
        <v>-7.5330859026775943E-4</v>
      </c>
      <c r="D39" s="3">
        <f t="shared" si="31"/>
        <v>-1.2769339708664645E-3</v>
      </c>
      <c r="E39" s="3">
        <f t="shared" si="31"/>
        <v>8.0445918755349677E-3</v>
      </c>
      <c r="F39" s="3">
        <f t="shared" si="31"/>
        <v>0</v>
      </c>
      <c r="G39" s="3">
        <f t="shared" si="31"/>
        <v>0</v>
      </c>
      <c r="H39" s="3">
        <f t="shared" si="31"/>
        <v>0.12404920593728445</v>
      </c>
      <c r="I39" s="3"/>
      <c r="J39" s="3"/>
      <c r="K39" s="3"/>
      <c r="CJ39" s="3">
        <f t="shared" si="21"/>
        <v>8.3333333333333339</v>
      </c>
      <c r="CK39" s="3">
        <f t="shared" si="22"/>
        <v>1.5</v>
      </c>
      <c r="CL39" s="3">
        <f t="shared" si="23"/>
        <v>1.5</v>
      </c>
      <c r="CM39" s="3">
        <f t="shared" si="24"/>
        <v>3</v>
      </c>
      <c r="CN39" s="3">
        <f t="shared" si="25"/>
        <v>8.3333333333333339</v>
      </c>
      <c r="CO39" s="3">
        <f t="shared" si="26"/>
        <v>3</v>
      </c>
      <c r="CP39" s="3">
        <f t="shared" si="27"/>
        <v>5</v>
      </c>
      <c r="CQ39" s="3">
        <f t="shared" si="28"/>
        <v>1.5</v>
      </c>
      <c r="CR39" s="3">
        <f t="shared" si="29"/>
        <v>1.5</v>
      </c>
      <c r="CS39" s="3">
        <f t="shared" si="30"/>
        <v>3</v>
      </c>
    </row>
    <row r="40" spans="1:97" x14ac:dyDescent="0.3">
      <c r="A40" s="21" t="s">
        <v>46</v>
      </c>
      <c r="B40" s="3">
        <f>B25-B$28</f>
        <v>-1.4930557260568397E-2</v>
      </c>
      <c r="C40" s="3">
        <f t="shared" si="31"/>
        <v>0</v>
      </c>
      <c r="D40" s="3">
        <f t="shared" si="31"/>
        <v>0</v>
      </c>
      <c r="E40" s="3">
        <f t="shared" si="31"/>
        <v>2.6748187549142516E-3</v>
      </c>
      <c r="F40" s="3">
        <f t="shared" si="31"/>
        <v>-6.3564341787331197E-3</v>
      </c>
      <c r="G40" s="3">
        <f t="shared" si="31"/>
        <v>-5.5508173299038968E-2</v>
      </c>
      <c r="H40" s="3">
        <f t="shared" si="31"/>
        <v>7.0851660330829971E-2</v>
      </c>
      <c r="I40" s="3"/>
      <c r="J40" s="3"/>
      <c r="K40" s="3"/>
    </row>
    <row r="43" spans="1:97" x14ac:dyDescent="0.3">
      <c r="A43" t="s">
        <v>7</v>
      </c>
    </row>
    <row r="44" spans="1:97" x14ac:dyDescent="0.3">
      <c r="A44" s="21" t="s">
        <v>44</v>
      </c>
      <c r="B44" s="3">
        <f>SQRT(B32^2+C32^2+D32^2+E32^2+F32^2+G32^2+H32^2)</f>
        <v>0.13532036330667677</v>
      </c>
    </row>
    <row r="45" spans="1:97" x14ac:dyDescent="0.3">
      <c r="A45" s="21" t="s">
        <v>45</v>
      </c>
      <c r="B45" s="3">
        <f>SQRT(B33^2+C33^2+D33^2+E33^2+F33^2+G33^2+H33^2)</f>
        <v>6.1070618976844224E-2</v>
      </c>
      <c r="CH45" s="11">
        <f>SUM(CJ45:CS45)</f>
        <v>1</v>
      </c>
      <c r="CJ45" s="3">
        <f>CJ36/SUM($CJ$36:$CS$36)</f>
        <v>0.125</v>
      </c>
      <c r="CK45" s="3">
        <f t="shared" ref="CK45:CS45" si="32">CK36/SUM($CJ$36:$CS$36)</f>
        <v>6.25E-2</v>
      </c>
      <c r="CL45" s="3">
        <f t="shared" si="32"/>
        <v>6.25E-2</v>
      </c>
      <c r="CM45" s="3">
        <f t="shared" si="32"/>
        <v>0.125</v>
      </c>
      <c r="CN45" s="3">
        <f t="shared" si="32"/>
        <v>0.125</v>
      </c>
      <c r="CO45" s="3">
        <f t="shared" si="32"/>
        <v>0.125</v>
      </c>
      <c r="CP45" s="3">
        <f t="shared" si="32"/>
        <v>0.125</v>
      </c>
      <c r="CQ45" s="3">
        <f t="shared" si="32"/>
        <v>6.25E-2</v>
      </c>
      <c r="CR45" s="3">
        <f t="shared" si="32"/>
        <v>6.25E-2</v>
      </c>
      <c r="CS45" s="3">
        <f t="shared" si="32"/>
        <v>0.125</v>
      </c>
    </row>
    <row r="46" spans="1:97" x14ac:dyDescent="0.3">
      <c r="A46" s="21" t="s">
        <v>46</v>
      </c>
      <c r="B46" s="3">
        <f>SQRT(B34^2+C34^2+D34^2+E34^2+F34^2+G34^2+H34^2)</f>
        <v>5.964961166556617E-2</v>
      </c>
      <c r="CH46" s="11">
        <f>SUM(CJ46:CS46)</f>
        <v>0.99999999999999978</v>
      </c>
      <c r="CJ46" s="3">
        <f>CJ37/SUM($CJ$37:$CS$37)</f>
        <v>8.6538461538461522E-2</v>
      </c>
      <c r="CK46" s="3">
        <f t="shared" ref="CK46:CS46" si="33">CK37/SUM($CJ$37:$CS$37)</f>
        <v>4.3269230769230761E-2</v>
      </c>
      <c r="CL46" s="3">
        <f t="shared" si="33"/>
        <v>4.3269230769230761E-2</v>
      </c>
      <c r="CM46" s="3">
        <f t="shared" si="33"/>
        <v>8.6538461538461522E-2</v>
      </c>
      <c r="CN46" s="3">
        <f t="shared" si="33"/>
        <v>8.6538461538461522E-2</v>
      </c>
      <c r="CO46" s="3">
        <f t="shared" si="33"/>
        <v>8.6538461538461522E-2</v>
      </c>
      <c r="CP46" s="3">
        <f t="shared" si="33"/>
        <v>0.24038461538461536</v>
      </c>
      <c r="CQ46" s="3">
        <f t="shared" si="33"/>
        <v>4.3269230769230761E-2</v>
      </c>
      <c r="CR46" s="3">
        <f t="shared" si="33"/>
        <v>4.3269230769230761E-2</v>
      </c>
      <c r="CS46" s="3">
        <f t="shared" si="33"/>
        <v>0.24038461538461536</v>
      </c>
    </row>
    <row r="47" spans="1:97" x14ac:dyDescent="0.3">
      <c r="B47" s="3"/>
      <c r="CH47" s="11">
        <f>SUM(CJ47:CS47)</f>
        <v>1</v>
      </c>
      <c r="CJ47" s="3">
        <f>CJ38/SUM($CJ$38:$CS$38)</f>
        <v>0.25</v>
      </c>
      <c r="CK47" s="3">
        <f t="shared" ref="CK47:CS47" si="34">CK38/SUM($CJ$38:$CS$38)</f>
        <v>7.4999999999999997E-2</v>
      </c>
      <c r="CL47" s="3">
        <f t="shared" si="34"/>
        <v>7.4999999999999997E-2</v>
      </c>
      <c r="CM47" s="3">
        <f t="shared" si="34"/>
        <v>0.09</v>
      </c>
      <c r="CN47" s="3">
        <f t="shared" si="34"/>
        <v>0.09</v>
      </c>
      <c r="CO47" s="3">
        <f t="shared" si="34"/>
        <v>0.15</v>
      </c>
      <c r="CP47" s="3">
        <f t="shared" si="34"/>
        <v>0.09</v>
      </c>
      <c r="CQ47" s="3">
        <f t="shared" si="34"/>
        <v>4.4999999999999998E-2</v>
      </c>
      <c r="CR47" s="3">
        <f t="shared" si="34"/>
        <v>4.4999999999999998E-2</v>
      </c>
      <c r="CS47" s="3">
        <f t="shared" si="34"/>
        <v>0.09</v>
      </c>
    </row>
    <row r="48" spans="1:97" x14ac:dyDescent="0.3">
      <c r="B48" s="3"/>
      <c r="CH48" s="11">
        <f>SUM(CJ48:CS48)</f>
        <v>0.99999999999999989</v>
      </c>
      <c r="CJ48" s="3">
        <f>CJ39/SUM($CJ$39:$CS$39)</f>
        <v>0.22727272727272727</v>
      </c>
      <c r="CK48" s="3">
        <f t="shared" ref="CK48:CS48" si="35">CK39/SUM($CJ$39:$CS$39)</f>
        <v>4.0909090909090902E-2</v>
      </c>
      <c r="CL48" s="3">
        <f t="shared" si="35"/>
        <v>4.0909090909090902E-2</v>
      </c>
      <c r="CM48" s="3">
        <f t="shared" si="35"/>
        <v>8.1818181818181804E-2</v>
      </c>
      <c r="CN48" s="3">
        <f t="shared" si="35"/>
        <v>0.22727272727272727</v>
      </c>
      <c r="CO48" s="3">
        <f t="shared" si="35"/>
        <v>8.1818181818181804E-2</v>
      </c>
      <c r="CP48" s="3">
        <f t="shared" si="35"/>
        <v>0.13636363636363635</v>
      </c>
      <c r="CQ48" s="3">
        <f t="shared" si="35"/>
        <v>4.0909090909090902E-2</v>
      </c>
      <c r="CR48" s="3">
        <f t="shared" si="35"/>
        <v>4.0909090909090902E-2</v>
      </c>
      <c r="CS48" s="3">
        <f t="shared" si="35"/>
        <v>8.1818181818181804E-2</v>
      </c>
    </row>
    <row r="49" spans="1:2" x14ac:dyDescent="0.3">
      <c r="A49" t="s">
        <v>11</v>
      </c>
      <c r="B49" s="3"/>
    </row>
    <row r="50" spans="1:2" x14ac:dyDescent="0.3">
      <c r="A50" s="21" t="s">
        <v>44</v>
      </c>
      <c r="B50" s="3">
        <f>SQRT(B38^2+C38^2+D38^2+E38^2+F38^2+G38^2+H38^2)</f>
        <v>2.8726999190349409E-2</v>
      </c>
    </row>
    <row r="51" spans="1:2" x14ac:dyDescent="0.3">
      <c r="A51" s="21" t="s">
        <v>45</v>
      </c>
      <c r="B51" s="3">
        <f>SQRT(B39^2+C39^2+D39^2+E39^2+F39^2+G39^2+H39^2)</f>
        <v>0.12817824991089244</v>
      </c>
    </row>
    <row r="52" spans="1:2" x14ac:dyDescent="0.3">
      <c r="A52" s="21" t="s">
        <v>46</v>
      </c>
      <c r="B52" s="3">
        <f>SQRT(B40^2+C40^2+D40^2+E40^2+F40^2+G40^2+H40^2)</f>
        <v>9.1496423567168833E-2</v>
      </c>
    </row>
    <row r="54" spans="1:2" x14ac:dyDescent="0.3">
      <c r="A54" t="s">
        <v>12</v>
      </c>
    </row>
    <row r="55" spans="1:2" x14ac:dyDescent="0.3">
      <c r="A55" s="21" t="s">
        <v>44</v>
      </c>
      <c r="B55" s="3">
        <f>B50/(B44+B50)</f>
        <v>0.17511405702039354</v>
      </c>
    </row>
    <row r="56" spans="1:2" x14ac:dyDescent="0.3">
      <c r="A56" s="21" t="s">
        <v>45</v>
      </c>
      <c r="B56" s="3">
        <f>B51/(B45+B51)</f>
        <v>0.67729995251347253</v>
      </c>
    </row>
    <row r="57" spans="1:2" x14ac:dyDescent="0.3">
      <c r="A57" s="21" t="s">
        <v>46</v>
      </c>
      <c r="B57" s="3">
        <f>B52/(B46+B52)</f>
        <v>0.60535113227602977</v>
      </c>
    </row>
  </sheetData>
  <mergeCells count="20">
    <mergeCell ref="A1:C1"/>
    <mergeCell ref="L1:S1"/>
    <mergeCell ref="CF1:CH1"/>
    <mergeCell ref="CK1:CM1"/>
    <mergeCell ref="CP1:CR1"/>
    <mergeCell ref="DO1:DQ1"/>
    <mergeCell ref="DT1:DV1"/>
    <mergeCell ref="CJ5:CL5"/>
    <mergeCell ref="CM5:CO5"/>
    <mergeCell ref="CP5:CR5"/>
    <mergeCell ref="CS5:CU5"/>
    <mergeCell ref="CV5:CX5"/>
    <mergeCell ref="CU1:CW1"/>
    <mergeCell ref="CY5:DA5"/>
    <mergeCell ref="DE5:DG5"/>
    <mergeCell ref="DH5:DJ5"/>
    <mergeCell ref="DK5:DM5"/>
    <mergeCell ref="CZ1:DB1"/>
    <mergeCell ref="DE1:DG1"/>
    <mergeCell ref="DJ1:DL1"/>
  </mergeCells>
  <conditionalFormatting sqref="B55:B57">
    <cfRule type="colorScale" priority="10">
      <colorScale>
        <cfvo type="min"/>
        <cfvo type="percentile" val="50"/>
        <cfvo type="max"/>
        <color rgb="FFF8696B"/>
        <color rgb="FFFFEB84"/>
        <color rgb="FF63BE7B"/>
      </colorScale>
    </cfRule>
  </conditionalFormatting>
  <conditionalFormatting sqref="CG55:CG57">
    <cfRule type="colorScale" priority="9">
      <colorScale>
        <cfvo type="min"/>
        <cfvo type="percentile" val="50"/>
        <cfvo type="max"/>
        <color rgb="FFF8696B"/>
        <color rgb="FFFFEB84"/>
        <color rgb="FF63BE7B"/>
      </colorScale>
    </cfRule>
  </conditionalFormatting>
  <conditionalFormatting sqref="CL55:CL57">
    <cfRule type="colorScale" priority="8">
      <colorScale>
        <cfvo type="min"/>
        <cfvo type="percentile" val="50"/>
        <cfvo type="max"/>
        <color rgb="FFF8696B"/>
        <color rgb="FFFFEB84"/>
        <color rgb="FF63BE7B"/>
      </colorScale>
    </cfRule>
  </conditionalFormatting>
  <conditionalFormatting sqref="CQ55:CQ57">
    <cfRule type="colorScale" priority="7">
      <colorScale>
        <cfvo type="min"/>
        <cfvo type="percentile" val="50"/>
        <cfvo type="max"/>
        <color rgb="FFF8696B"/>
        <color rgb="FFFFEB84"/>
        <color rgb="FF63BE7B"/>
      </colorScale>
    </cfRule>
  </conditionalFormatting>
  <conditionalFormatting sqref="CV55:CV57">
    <cfRule type="colorScale" priority="6">
      <colorScale>
        <cfvo type="min"/>
        <cfvo type="percentile" val="50"/>
        <cfvo type="max"/>
        <color rgb="FFF8696B"/>
        <color rgb="FFFFEB84"/>
        <color rgb="FF63BE7B"/>
      </colorScale>
    </cfRule>
  </conditionalFormatting>
  <conditionalFormatting sqref="DA55:DA57">
    <cfRule type="colorScale" priority="5">
      <colorScale>
        <cfvo type="min"/>
        <cfvo type="percentile" val="50"/>
        <cfvo type="max"/>
        <color rgb="FFF8696B"/>
        <color rgb="FFFFEB84"/>
        <color rgb="FF63BE7B"/>
      </colorScale>
    </cfRule>
  </conditionalFormatting>
  <conditionalFormatting sqref="DF55:DF57">
    <cfRule type="colorScale" priority="4">
      <colorScale>
        <cfvo type="min"/>
        <cfvo type="percentile" val="50"/>
        <cfvo type="max"/>
        <color rgb="FFF8696B"/>
        <color rgb="FFFFEB84"/>
        <color rgb="FF63BE7B"/>
      </colorScale>
    </cfRule>
  </conditionalFormatting>
  <conditionalFormatting sqref="DK55:DK57">
    <cfRule type="colorScale" priority="3">
      <colorScale>
        <cfvo type="min"/>
        <cfvo type="percentile" val="50"/>
        <cfvo type="max"/>
        <color rgb="FFF8696B"/>
        <color rgb="FFFFEB84"/>
        <color rgb="FF63BE7B"/>
      </colorScale>
    </cfRule>
  </conditionalFormatting>
  <conditionalFormatting sqref="DP55:DP57">
    <cfRule type="colorScale" priority="2">
      <colorScale>
        <cfvo type="min"/>
        <cfvo type="percentile" val="50"/>
        <cfvo type="max"/>
        <color rgb="FFF8696B"/>
        <color rgb="FFFFEB84"/>
        <color rgb="FF63BE7B"/>
      </colorScale>
    </cfRule>
  </conditionalFormatting>
  <conditionalFormatting sqref="DU55:DU5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D3026-974E-4DC1-8799-8D825E655135}">
  <dimension ref="A1:AB53"/>
  <sheetViews>
    <sheetView zoomScale="50" zoomScaleNormal="85" workbookViewId="0">
      <selection activeCell="D51" sqref="D51:K53"/>
    </sheetView>
  </sheetViews>
  <sheetFormatPr defaultRowHeight="14.4" x14ac:dyDescent="0.3"/>
  <cols>
    <col min="2" max="2" width="56" customWidth="1"/>
    <col min="5" max="5" width="25.109375" customWidth="1"/>
    <col min="6" max="6" width="16.33203125" customWidth="1"/>
    <col min="7" max="7" width="16.88671875" customWidth="1"/>
    <col min="8" max="8" width="13.88671875" customWidth="1"/>
    <col min="9" max="9" width="17.44140625" bestFit="1" customWidth="1"/>
    <col min="10" max="10" width="20" bestFit="1" customWidth="1"/>
    <col min="11" max="11" width="16.5546875" customWidth="1"/>
    <col min="12" max="12" width="13.6640625" customWidth="1"/>
    <col min="13" max="13" width="24" bestFit="1" customWidth="1"/>
    <col min="14" max="14" width="15.33203125" customWidth="1"/>
    <col min="15" max="15" width="20" bestFit="1" customWidth="1"/>
    <col min="16" max="16" width="20.109375" customWidth="1"/>
    <col min="17" max="17" width="11.6640625" customWidth="1"/>
    <col min="18" max="18" width="9.109375" customWidth="1"/>
  </cols>
  <sheetData>
    <row r="1" spans="1:28" s="47" customFormat="1" ht="15.6" x14ac:dyDescent="0.3">
      <c r="A1" s="46"/>
      <c r="B1" s="46" t="s">
        <v>60</v>
      </c>
      <c r="C1" s="46"/>
      <c r="D1" s="46"/>
      <c r="E1" s="46"/>
      <c r="F1" s="46"/>
      <c r="G1" s="46"/>
      <c r="H1" s="46"/>
      <c r="I1" s="46"/>
      <c r="J1" s="46"/>
      <c r="K1" s="46"/>
      <c r="L1" s="46"/>
      <c r="M1" s="46"/>
      <c r="N1" s="46"/>
      <c r="O1" s="46"/>
      <c r="P1" s="46"/>
      <c r="Q1" s="46"/>
      <c r="R1" s="46"/>
      <c r="S1" s="46"/>
      <c r="T1" s="46"/>
      <c r="U1" s="46"/>
      <c r="Y1" s="46"/>
      <c r="Z1" s="46"/>
      <c r="AA1" s="46"/>
      <c r="AB1" s="46"/>
    </row>
    <row r="2" spans="1:28" s="47" customFormat="1" ht="15.6" x14ac:dyDescent="0.3">
      <c r="A2" s="48"/>
      <c r="B2" s="48" t="s">
        <v>61</v>
      </c>
      <c r="C2" s="48"/>
      <c r="D2" s="48"/>
      <c r="E2" s="48"/>
      <c r="F2" s="48"/>
      <c r="G2" s="48"/>
      <c r="H2" s="48"/>
      <c r="I2" s="48"/>
      <c r="J2" s="48"/>
      <c r="K2" s="48"/>
      <c r="L2" s="48"/>
      <c r="M2" s="48"/>
      <c r="N2" s="48"/>
      <c r="O2" s="48"/>
      <c r="P2" s="48"/>
      <c r="Q2" s="48"/>
      <c r="R2" s="48"/>
      <c r="S2" s="48"/>
      <c r="T2" s="48"/>
      <c r="U2" s="48"/>
      <c r="Y2" s="48"/>
      <c r="Z2" s="48"/>
      <c r="AA2" s="48"/>
      <c r="AB2" s="48"/>
    </row>
    <row r="3" spans="1:28" s="47" customFormat="1" x14ac:dyDescent="0.3">
      <c r="H3" s="49"/>
      <c r="I3" s="49"/>
      <c r="J3" s="49"/>
      <c r="K3" s="49"/>
      <c r="L3" s="49"/>
      <c r="M3" s="49"/>
      <c r="N3" s="49"/>
      <c r="O3" s="49"/>
      <c r="P3" s="49"/>
      <c r="Q3" s="49"/>
      <c r="R3" s="49"/>
      <c r="S3" s="49"/>
      <c r="T3" s="49"/>
      <c r="U3" s="49"/>
      <c r="Z3" s="49"/>
      <c r="AA3" s="49"/>
      <c r="AB3" s="49"/>
    </row>
    <row r="4" spans="1:28" s="47" customFormat="1" x14ac:dyDescent="0.3">
      <c r="A4" s="142" t="s">
        <v>62</v>
      </c>
      <c r="B4" s="142"/>
      <c r="C4" s="142"/>
      <c r="D4" s="142"/>
      <c r="E4" s="142"/>
      <c r="H4" s="49"/>
      <c r="I4" s="49"/>
      <c r="J4" s="49"/>
      <c r="K4" s="49"/>
      <c r="L4" s="49"/>
      <c r="M4" s="49"/>
      <c r="N4" s="49"/>
      <c r="O4" s="49"/>
      <c r="P4" s="49"/>
      <c r="Q4" s="49"/>
      <c r="R4" s="49"/>
      <c r="S4" s="49"/>
      <c r="T4" s="49"/>
      <c r="U4" s="49"/>
      <c r="Y4" s="50" t="s">
        <v>63</v>
      </c>
      <c r="Z4" s="49"/>
      <c r="AA4" s="49"/>
      <c r="AB4" s="49"/>
    </row>
    <row r="5" spans="1:28" s="47" customFormat="1" x14ac:dyDescent="0.3">
      <c r="A5" s="142" t="s">
        <v>64</v>
      </c>
      <c r="B5" s="142"/>
      <c r="C5" s="142"/>
      <c r="D5" s="142"/>
      <c r="E5" s="142"/>
      <c r="H5" s="49"/>
      <c r="I5" s="49"/>
      <c r="J5" s="49"/>
      <c r="K5" s="49"/>
      <c r="L5" s="49"/>
      <c r="M5" s="49"/>
      <c r="N5" s="49"/>
      <c r="O5" s="49"/>
      <c r="P5" s="49"/>
      <c r="Q5" s="49"/>
      <c r="R5" s="49"/>
      <c r="S5" s="49"/>
      <c r="T5" s="49"/>
      <c r="U5" s="49"/>
      <c r="Y5" s="50" t="s">
        <v>64</v>
      </c>
      <c r="Z5" s="49"/>
      <c r="AA5" s="49"/>
      <c r="AB5" s="49"/>
    </row>
    <row r="6" spans="1:28" s="47" customFormat="1" x14ac:dyDescent="0.3">
      <c r="A6" s="142" t="s">
        <v>65</v>
      </c>
      <c r="B6" s="142"/>
      <c r="C6" s="142"/>
      <c r="D6" s="142"/>
      <c r="E6" s="142"/>
      <c r="H6" s="49"/>
      <c r="I6" s="49"/>
      <c r="J6" s="49"/>
      <c r="K6" s="49"/>
      <c r="L6" s="49"/>
      <c r="M6" s="49"/>
      <c r="N6" s="49"/>
      <c r="O6" s="49"/>
      <c r="P6" s="49"/>
      <c r="Q6" s="49"/>
      <c r="R6" s="49"/>
      <c r="S6" s="49"/>
      <c r="T6" s="49"/>
      <c r="U6" s="49"/>
      <c r="Y6" s="50" t="s">
        <v>65</v>
      </c>
      <c r="Z6" s="49"/>
      <c r="AA6" s="49"/>
      <c r="AB6" s="49"/>
    </row>
    <row r="7" spans="1:28" s="47" customFormat="1" x14ac:dyDescent="0.3">
      <c r="A7" s="142" t="s">
        <v>66</v>
      </c>
      <c r="B7" s="142"/>
      <c r="C7" s="142"/>
      <c r="D7" s="142"/>
      <c r="E7" s="142"/>
      <c r="H7" s="49"/>
      <c r="I7" s="49"/>
      <c r="J7" s="49"/>
      <c r="K7" s="49"/>
      <c r="L7" s="49"/>
      <c r="M7" s="49"/>
      <c r="N7" s="49"/>
      <c r="O7" s="49"/>
      <c r="P7" s="49"/>
      <c r="Q7" s="49"/>
      <c r="R7" s="49"/>
      <c r="S7" s="49"/>
      <c r="T7" s="49"/>
      <c r="U7" s="49"/>
      <c r="Y7" s="50" t="s">
        <v>66</v>
      </c>
      <c r="Z7" s="49"/>
      <c r="AA7" s="49"/>
      <c r="AB7" s="49"/>
    </row>
    <row r="8" spans="1:28" s="47" customFormat="1" x14ac:dyDescent="0.3">
      <c r="A8" s="142" t="s">
        <v>67</v>
      </c>
      <c r="B8" s="142"/>
      <c r="C8" s="142"/>
      <c r="D8" s="142"/>
      <c r="E8" s="142"/>
      <c r="H8" s="49"/>
      <c r="I8" s="49"/>
      <c r="J8" s="49"/>
      <c r="K8" s="49"/>
      <c r="L8" s="49"/>
      <c r="M8" s="49"/>
      <c r="N8" s="49"/>
      <c r="O8" s="49"/>
      <c r="P8" s="49"/>
      <c r="Q8" s="49"/>
      <c r="R8" s="49"/>
      <c r="S8" s="49"/>
      <c r="T8" s="49"/>
      <c r="U8" s="49"/>
      <c r="Y8" s="50" t="s">
        <v>67</v>
      </c>
      <c r="Z8" s="49"/>
      <c r="AA8" s="49"/>
      <c r="AB8" s="49"/>
    </row>
    <row r="9" spans="1:28" s="47" customFormat="1" x14ac:dyDescent="0.3">
      <c r="A9" s="142" t="s">
        <v>68</v>
      </c>
      <c r="B9" s="142"/>
      <c r="C9" s="142"/>
      <c r="D9" s="142"/>
      <c r="E9" s="142"/>
      <c r="H9" s="49"/>
      <c r="I9" s="49"/>
      <c r="J9" s="49"/>
      <c r="K9" s="49"/>
      <c r="L9" s="49"/>
      <c r="M9" s="49"/>
      <c r="N9" s="49"/>
      <c r="O9" s="49"/>
      <c r="P9" s="49"/>
      <c r="Q9" s="49"/>
      <c r="R9" s="49"/>
      <c r="S9" s="49"/>
      <c r="T9" s="49"/>
      <c r="U9" s="49"/>
      <c r="Y9" s="50" t="s">
        <v>68</v>
      </c>
      <c r="Z9" s="49"/>
      <c r="AA9" s="49"/>
      <c r="AB9" s="49"/>
    </row>
    <row r="10" spans="1:28" s="47" customFormat="1" x14ac:dyDescent="0.3">
      <c r="A10" s="142" t="s">
        <v>69</v>
      </c>
      <c r="B10" s="142"/>
      <c r="C10" s="142"/>
      <c r="D10" s="142"/>
      <c r="E10" s="142"/>
      <c r="H10" s="49"/>
      <c r="I10" s="49"/>
      <c r="J10" s="49"/>
      <c r="K10" s="49"/>
      <c r="L10" s="49"/>
      <c r="M10" s="49"/>
      <c r="N10" s="49"/>
      <c r="O10" s="49"/>
      <c r="P10" s="49"/>
      <c r="Q10" s="49"/>
      <c r="R10" s="49"/>
      <c r="S10" s="49"/>
      <c r="T10" s="49"/>
      <c r="U10" s="49"/>
      <c r="Y10" s="50" t="s">
        <v>69</v>
      </c>
      <c r="Z10" s="49"/>
      <c r="AA10" s="49"/>
      <c r="AB10" s="49"/>
    </row>
    <row r="11" spans="1:28" s="47" customFormat="1" ht="16.2" thickBot="1" x14ac:dyDescent="0.35">
      <c r="A11" s="51"/>
      <c r="B11" s="51"/>
      <c r="C11" s="51"/>
      <c r="D11" s="51"/>
      <c r="E11" s="51"/>
      <c r="F11" s="51"/>
      <c r="G11" s="51"/>
      <c r="H11" s="49"/>
      <c r="I11" s="113" t="s">
        <v>48</v>
      </c>
      <c r="J11" s="25" t="s">
        <v>41</v>
      </c>
      <c r="K11" s="25" t="s">
        <v>37</v>
      </c>
      <c r="L11" s="115" t="s">
        <v>38</v>
      </c>
      <c r="M11" s="25" t="s">
        <v>42</v>
      </c>
      <c r="N11" s="115" t="s">
        <v>17</v>
      </c>
      <c r="O11" s="115" t="s">
        <v>43</v>
      </c>
      <c r="P11" s="25" t="s">
        <v>24</v>
      </c>
      <c r="Q11" s="49"/>
      <c r="R11" s="49"/>
      <c r="S11" s="49"/>
      <c r="T11" s="49"/>
      <c r="U11" s="49"/>
      <c r="V11" s="51"/>
      <c r="Y11" s="51"/>
      <c r="Z11" s="49"/>
      <c r="AA11" s="49"/>
      <c r="AB11" s="49"/>
    </row>
    <row r="12" spans="1:28" s="47" customFormat="1" ht="31.8" thickBot="1" x14ac:dyDescent="0.35">
      <c r="A12" s="51"/>
      <c r="B12" s="52" t="s">
        <v>70</v>
      </c>
      <c r="C12" s="53">
        <v>7</v>
      </c>
      <c r="D12" s="54" t="s">
        <v>71</v>
      </c>
      <c r="E12" s="51"/>
      <c r="F12" s="106" t="s">
        <v>56</v>
      </c>
      <c r="G12" s="107" t="s">
        <v>90</v>
      </c>
      <c r="H12" s="49"/>
      <c r="I12" s="114" t="s">
        <v>56</v>
      </c>
      <c r="J12" s="116">
        <v>0.14285714285714282</v>
      </c>
      <c r="K12" s="38">
        <v>0.14285714285714282</v>
      </c>
      <c r="L12" s="38">
        <v>0.14285714285714282</v>
      </c>
      <c r="M12" s="38">
        <v>0.14285714285714282</v>
      </c>
      <c r="N12" s="38">
        <v>0.14285714285714282</v>
      </c>
      <c r="O12" s="38">
        <v>0.14285714285714282</v>
      </c>
      <c r="P12" s="38">
        <v>0.14285714285714282</v>
      </c>
      <c r="R12" s="49"/>
      <c r="S12" s="49"/>
      <c r="T12" s="49"/>
      <c r="U12" s="49"/>
      <c r="V12" s="51"/>
      <c r="Y12" s="51"/>
      <c r="Z12" s="49"/>
      <c r="AA12" s="49"/>
      <c r="AB12" s="49"/>
    </row>
    <row r="13" spans="1:28" s="47" customFormat="1" ht="31.8" thickBot="1" x14ac:dyDescent="0.35">
      <c r="A13" s="51"/>
      <c r="B13" s="55"/>
      <c r="C13" s="55"/>
      <c r="D13" s="55"/>
      <c r="F13" s="108" t="s">
        <v>54</v>
      </c>
      <c r="G13" s="109" t="s">
        <v>91</v>
      </c>
      <c r="I13" s="114" t="s">
        <v>54</v>
      </c>
      <c r="J13" s="38">
        <v>0.36466894450087722</v>
      </c>
      <c r="K13" s="38">
        <v>0.15516976021177703</v>
      </c>
      <c r="L13" s="38">
        <v>5.6607258287930562E-2</v>
      </c>
      <c r="M13" s="38">
        <v>0.15516976021177703</v>
      </c>
      <c r="N13" s="38">
        <v>5.6607258287930562E-2</v>
      </c>
      <c r="O13" s="38">
        <v>5.6607258287930562E-2</v>
      </c>
      <c r="P13" s="38">
        <v>0.15516976021177703</v>
      </c>
      <c r="V13" s="51"/>
      <c r="Y13" s="51"/>
    </row>
    <row r="14" spans="1:28" s="47" customFormat="1" ht="75.75" customHeight="1" thickBot="1" x14ac:dyDescent="0.35">
      <c r="A14" s="51"/>
      <c r="B14" s="143" t="s">
        <v>72</v>
      </c>
      <c r="C14" s="144"/>
      <c r="F14" s="108" t="s">
        <v>92</v>
      </c>
      <c r="G14" s="109" t="s">
        <v>93</v>
      </c>
      <c r="I14" s="114" t="s">
        <v>92</v>
      </c>
      <c r="J14" s="38">
        <v>0.15516976021177703</v>
      </c>
      <c r="K14" s="38">
        <v>0.36466894450087722</v>
      </c>
      <c r="L14" s="38">
        <v>5.6607258287930562E-2</v>
      </c>
      <c r="M14" s="38">
        <v>0.15516976021177703</v>
      </c>
      <c r="N14" s="38">
        <v>5.6607258287930562E-2</v>
      </c>
      <c r="O14" s="38">
        <v>5.6607258287930562E-2</v>
      </c>
      <c r="P14" s="38">
        <v>0.15516976021177703</v>
      </c>
      <c r="R14" s="51"/>
      <c r="Y14" s="51"/>
    </row>
    <row r="15" spans="1:28" s="47" customFormat="1" ht="31.8" thickBot="1" x14ac:dyDescent="0.35">
      <c r="A15" s="51"/>
      <c r="B15" s="56" t="s">
        <v>73</v>
      </c>
      <c r="C15" s="57">
        <f>1/5</f>
        <v>0.2</v>
      </c>
      <c r="F15" s="108" t="s">
        <v>94</v>
      </c>
      <c r="G15" s="109" t="s">
        <v>95</v>
      </c>
      <c r="I15" s="114" t="s">
        <v>94</v>
      </c>
      <c r="J15" s="38">
        <v>6.4715843663212078E-2</v>
      </c>
      <c r="K15" s="38">
        <v>6.4715843663212078E-2</v>
      </c>
      <c r="L15" s="38">
        <v>0.38372959425591008</v>
      </c>
      <c r="M15" s="38">
        <v>6.4715843663212078E-2</v>
      </c>
      <c r="N15" s="38">
        <v>0.17870351554562083</v>
      </c>
      <c r="O15" s="38">
        <v>0.17870351554562083</v>
      </c>
      <c r="P15" s="38">
        <v>6.4715843663212078E-2</v>
      </c>
      <c r="R15" s="51"/>
      <c r="Y15" s="51"/>
    </row>
    <row r="16" spans="1:28" s="47" customFormat="1" ht="31.8" thickBot="1" x14ac:dyDescent="0.35">
      <c r="A16" s="51"/>
      <c r="B16" s="56"/>
      <c r="C16" s="57">
        <f>1/4</f>
        <v>0.25</v>
      </c>
      <c r="F16" s="108" t="s">
        <v>50</v>
      </c>
      <c r="G16" s="109" t="s">
        <v>96</v>
      </c>
      <c r="I16" s="114" t="s">
        <v>50</v>
      </c>
      <c r="J16" s="38">
        <v>0.15516976021177703</v>
      </c>
      <c r="K16" s="38">
        <v>0.15516976021177703</v>
      </c>
      <c r="L16" s="38">
        <v>5.6607258287930562E-2</v>
      </c>
      <c r="M16" s="38">
        <v>0.36466894450087722</v>
      </c>
      <c r="N16" s="38">
        <v>5.6607258287930562E-2</v>
      </c>
      <c r="O16" s="38">
        <v>5.6607258287930562E-2</v>
      </c>
      <c r="P16" s="38">
        <v>0.15516976021177703</v>
      </c>
      <c r="R16" s="51"/>
      <c r="Y16" s="51"/>
    </row>
    <row r="17" spans="1:28" s="47" customFormat="1" ht="31.8" thickBot="1" x14ac:dyDescent="0.35">
      <c r="A17" s="51"/>
      <c r="B17" s="56" t="s">
        <v>74</v>
      </c>
      <c r="C17" s="57">
        <f>1/3</f>
        <v>0.33333333333333331</v>
      </c>
      <c r="F17" s="108" t="s">
        <v>97</v>
      </c>
      <c r="G17" s="109" t="s">
        <v>98</v>
      </c>
      <c r="I17" s="114" t="s">
        <v>97</v>
      </c>
      <c r="J17" s="38">
        <v>6.4715843663212078E-2</v>
      </c>
      <c r="K17" s="38">
        <v>6.4715843663212078E-2</v>
      </c>
      <c r="L17" s="38">
        <v>0.17870351554562083</v>
      </c>
      <c r="M17" s="38">
        <v>6.4715843663212078E-2</v>
      </c>
      <c r="N17" s="38">
        <v>0.38372959425591008</v>
      </c>
      <c r="O17" s="38">
        <v>0.17870351554562083</v>
      </c>
      <c r="P17" s="38">
        <v>6.4715843663212078E-2</v>
      </c>
      <c r="Y17" s="51"/>
    </row>
    <row r="18" spans="1:28" s="47" customFormat="1" ht="31.8" thickBot="1" x14ac:dyDescent="0.35">
      <c r="A18" s="51"/>
      <c r="B18" s="56"/>
      <c r="C18" s="57">
        <f>1/2</f>
        <v>0.5</v>
      </c>
      <c r="F18" s="108" t="s">
        <v>51</v>
      </c>
      <c r="G18" s="109" t="s">
        <v>99</v>
      </c>
      <c r="I18" s="114" t="s">
        <v>51</v>
      </c>
      <c r="J18" s="38">
        <v>6.4715843663212078E-2</v>
      </c>
      <c r="K18" s="38">
        <v>6.4715843663212078E-2</v>
      </c>
      <c r="L18" s="38">
        <v>0.17870351554562083</v>
      </c>
      <c r="M18" s="38">
        <v>6.4715843663212078E-2</v>
      </c>
      <c r="N18" s="38">
        <v>0.17870351554562083</v>
      </c>
      <c r="O18" s="38">
        <v>0.38372959425591002</v>
      </c>
      <c r="P18" s="38">
        <v>6.4715843663212078E-2</v>
      </c>
      <c r="Y18" s="51"/>
    </row>
    <row r="19" spans="1:28" s="47" customFormat="1" ht="31.8" thickBot="1" x14ac:dyDescent="0.35">
      <c r="A19" s="51"/>
      <c r="B19" s="58" t="s">
        <v>75</v>
      </c>
      <c r="C19" s="59">
        <v>1</v>
      </c>
      <c r="F19" s="108" t="s">
        <v>100</v>
      </c>
      <c r="G19" s="109" t="s">
        <v>101</v>
      </c>
      <c r="I19" s="114" t="s">
        <v>100</v>
      </c>
      <c r="J19" s="38">
        <v>0.15516976021177703</v>
      </c>
      <c r="K19" s="38">
        <v>0.15516976021177703</v>
      </c>
      <c r="L19" s="38">
        <v>5.6607258287930562E-2</v>
      </c>
      <c r="M19" s="38">
        <v>0.15516976021177703</v>
      </c>
      <c r="N19" s="38">
        <v>5.6607258287930562E-2</v>
      </c>
      <c r="O19" s="38">
        <v>5.6607258287930562E-2</v>
      </c>
      <c r="P19" s="38">
        <v>0.36466894450087722</v>
      </c>
      <c r="Y19" s="51"/>
    </row>
    <row r="20" spans="1:28" s="47" customFormat="1" ht="15.6" x14ac:dyDescent="0.3">
      <c r="A20" s="51"/>
      <c r="B20" s="56"/>
      <c r="C20" s="57">
        <v>2</v>
      </c>
      <c r="Y20" s="51"/>
    </row>
    <row r="21" spans="1:28" s="47" customFormat="1" ht="15.6" x14ac:dyDescent="0.3">
      <c r="A21" s="51"/>
      <c r="B21" s="56" t="s">
        <v>76</v>
      </c>
      <c r="C21" s="57">
        <v>3</v>
      </c>
      <c r="Y21" s="51"/>
    </row>
    <row r="22" spans="1:28" s="47" customFormat="1" ht="15.6" customHeight="1" x14ac:dyDescent="0.3">
      <c r="A22" s="51"/>
      <c r="B22" s="56"/>
      <c r="C22" s="57">
        <v>4</v>
      </c>
      <c r="Y22" s="51"/>
    </row>
    <row r="23" spans="1:28" s="47" customFormat="1" ht="15.6" customHeight="1" x14ac:dyDescent="0.3">
      <c r="A23" s="51"/>
      <c r="B23" s="56" t="s">
        <v>77</v>
      </c>
      <c r="C23" s="57">
        <v>5</v>
      </c>
      <c r="Y23" s="51"/>
    </row>
    <row r="24" spans="1:28" s="47" customFormat="1" ht="15.6" x14ac:dyDescent="0.3">
      <c r="A24" s="51"/>
      <c r="Y24" s="51"/>
    </row>
    <row r="25" spans="1:28" s="47" customFormat="1" ht="16.2" thickBot="1" x14ac:dyDescent="0.35">
      <c r="A25" s="51"/>
      <c r="B25" s="60" t="s">
        <v>78</v>
      </c>
      <c r="C25" s="51"/>
      <c r="D25" s="51"/>
      <c r="E25" s="51"/>
      <c r="F25" s="51"/>
      <c r="G25" s="51"/>
      <c r="H25" s="51"/>
      <c r="I25" s="51"/>
      <c r="J25" s="51"/>
      <c r="K25" s="51"/>
      <c r="L25" s="51"/>
      <c r="M25" s="51"/>
      <c r="N25" s="51"/>
      <c r="O25" s="51"/>
      <c r="P25" s="61"/>
      <c r="Q25" s="51"/>
      <c r="R25" s="51"/>
      <c r="Y25" s="51"/>
    </row>
    <row r="26" spans="1:28" s="47" customFormat="1" ht="43.8" thickBot="1" x14ac:dyDescent="0.35">
      <c r="A26" s="51"/>
      <c r="B26" s="62"/>
      <c r="C26" s="63" t="s">
        <v>79</v>
      </c>
      <c r="D26" s="64" t="s">
        <v>80</v>
      </c>
      <c r="E26" s="110" t="str">
        <f>B27</f>
        <v>Power generation cost</v>
      </c>
      <c r="F26" s="111" t="str">
        <f>B28</f>
        <v>Land-use</v>
      </c>
      <c r="G26" s="65" t="str">
        <f>B29</f>
        <v>Critical material</v>
      </c>
      <c r="H26" s="111" t="str">
        <f>B30</f>
        <v>Diversity of installed power</v>
      </c>
      <c r="I26" s="65" t="str">
        <f>B31</f>
        <v>Human toxicity</v>
      </c>
      <c r="J26" s="65" t="str">
        <f>B32</f>
        <v>marine eutrophication</v>
      </c>
      <c r="K26" s="111" t="str">
        <f>B33</f>
        <v>GDP</v>
      </c>
      <c r="L26" s="66">
        <f>B34</f>
        <v>0</v>
      </c>
      <c r="M26" s="67">
        <f>B35</f>
        <v>0</v>
      </c>
      <c r="N26" s="67">
        <f>B36</f>
        <v>0</v>
      </c>
      <c r="O26" s="68">
        <f>B37</f>
        <v>0</v>
      </c>
      <c r="P26" s="69" t="s">
        <v>81</v>
      </c>
      <c r="Q26" s="70"/>
      <c r="R26" s="51"/>
      <c r="Y26" s="51"/>
    </row>
    <row r="27" spans="1:28" s="47" customFormat="1" ht="15.6" x14ac:dyDescent="0.3">
      <c r="A27" s="51"/>
      <c r="B27" s="21" t="s">
        <v>41</v>
      </c>
      <c r="C27" s="71">
        <f t="shared" ref="C27:C37" si="0">C43</f>
        <v>0.36466894450087722</v>
      </c>
      <c r="D27" s="72">
        <f>C27</f>
        <v>0.36466894450087722</v>
      </c>
      <c r="E27" s="73">
        <v>1</v>
      </c>
      <c r="F27" s="74">
        <v>3</v>
      </c>
      <c r="G27" s="74">
        <v>5</v>
      </c>
      <c r="H27" s="74">
        <v>3</v>
      </c>
      <c r="I27" s="74">
        <v>5</v>
      </c>
      <c r="J27" s="74">
        <v>5</v>
      </c>
      <c r="K27" s="74">
        <v>3</v>
      </c>
      <c r="L27" s="75">
        <v>1</v>
      </c>
      <c r="M27" s="76">
        <v>1</v>
      </c>
      <c r="N27" s="76">
        <v>1</v>
      </c>
      <c r="O27" s="77">
        <v>1</v>
      </c>
      <c r="P27" s="78" t="str">
        <f>IF(R43&lt;0.1,"Consistency OK","Check your results")</f>
        <v>Consistency OK</v>
      </c>
      <c r="Q27" s="78"/>
      <c r="R27" s="51"/>
      <c r="Y27" s="51"/>
    </row>
    <row r="28" spans="1:28" s="47" customFormat="1" ht="16.2" thickBot="1" x14ac:dyDescent="0.35">
      <c r="A28" s="51"/>
      <c r="B28" s="21" t="s">
        <v>37</v>
      </c>
      <c r="C28" s="71">
        <f t="shared" si="0"/>
        <v>0.15516976021177703</v>
      </c>
      <c r="D28" s="72">
        <f>C28</f>
        <v>0.15516976021177703</v>
      </c>
      <c r="E28" s="73">
        <f>1/F27</f>
        <v>0.33333333333333331</v>
      </c>
      <c r="F28" s="73">
        <v>1</v>
      </c>
      <c r="G28" s="74">
        <v>3</v>
      </c>
      <c r="H28" s="74">
        <v>1</v>
      </c>
      <c r="I28" s="74">
        <v>3</v>
      </c>
      <c r="J28" s="74">
        <v>3</v>
      </c>
      <c r="K28" s="74">
        <v>1</v>
      </c>
      <c r="L28" s="75">
        <v>1</v>
      </c>
      <c r="M28" s="76">
        <v>1</v>
      </c>
      <c r="N28" s="76">
        <v>1</v>
      </c>
      <c r="O28" s="77">
        <v>1</v>
      </c>
      <c r="P28" s="79">
        <f>R43</f>
        <v>1.1827574852784847E-2</v>
      </c>
      <c r="Q28" s="80"/>
      <c r="R28" s="51"/>
      <c r="Y28" s="51"/>
    </row>
    <row r="29" spans="1:28" s="47" customFormat="1" ht="16.2" thickTop="1" x14ac:dyDescent="0.3">
      <c r="A29" s="51"/>
      <c r="B29" s="21" t="s">
        <v>38</v>
      </c>
      <c r="C29" s="71">
        <f t="shared" si="0"/>
        <v>5.6607258287930562E-2</v>
      </c>
      <c r="D29" s="72">
        <f>C29</f>
        <v>5.6607258287930562E-2</v>
      </c>
      <c r="E29" s="73">
        <f>1/G27</f>
        <v>0.2</v>
      </c>
      <c r="F29" s="73">
        <f>1/G28</f>
        <v>0.33333333333333331</v>
      </c>
      <c r="G29" s="73">
        <v>1</v>
      </c>
      <c r="H29" s="74">
        <v>0.33333333333333331</v>
      </c>
      <c r="I29" s="74">
        <v>1</v>
      </c>
      <c r="J29" s="74">
        <v>1</v>
      </c>
      <c r="K29" s="74">
        <v>0.33333333333333331</v>
      </c>
      <c r="L29" s="75">
        <v>1</v>
      </c>
      <c r="M29" s="76">
        <v>1</v>
      </c>
      <c r="N29" s="76">
        <v>1</v>
      </c>
      <c r="O29" s="77">
        <v>1</v>
      </c>
      <c r="P29" s="55"/>
      <c r="Q29" s="81"/>
      <c r="R29" s="51"/>
      <c r="Y29" s="51"/>
    </row>
    <row r="30" spans="1:28" s="47" customFormat="1" ht="15.6" x14ac:dyDescent="0.3">
      <c r="A30" s="51"/>
      <c r="B30" s="21" t="s">
        <v>42</v>
      </c>
      <c r="C30" s="71">
        <f t="shared" si="0"/>
        <v>0.15516976021177703</v>
      </c>
      <c r="D30" s="72">
        <f>C30</f>
        <v>0.15516976021177703</v>
      </c>
      <c r="E30" s="73">
        <f>1/H27</f>
        <v>0.33333333333333331</v>
      </c>
      <c r="F30" s="73">
        <f>1/H28</f>
        <v>1</v>
      </c>
      <c r="G30" s="73">
        <f>1/H29</f>
        <v>3</v>
      </c>
      <c r="H30" s="73">
        <v>1</v>
      </c>
      <c r="I30" s="74">
        <v>3</v>
      </c>
      <c r="J30" s="74">
        <v>3</v>
      </c>
      <c r="K30" s="74">
        <v>1</v>
      </c>
      <c r="L30" s="75">
        <v>1</v>
      </c>
      <c r="M30" s="76">
        <v>1</v>
      </c>
      <c r="N30" s="76">
        <v>1</v>
      </c>
      <c r="O30" s="77">
        <v>1</v>
      </c>
      <c r="P30" s="55"/>
      <c r="Q30" s="81"/>
      <c r="R30" s="51"/>
      <c r="Y30" s="51"/>
    </row>
    <row r="31" spans="1:28" s="47" customFormat="1" ht="15.6" x14ac:dyDescent="0.3">
      <c r="A31" s="51"/>
      <c r="B31" s="21" t="s">
        <v>17</v>
      </c>
      <c r="C31" s="71">
        <f t="shared" si="0"/>
        <v>5.6607258287930562E-2</v>
      </c>
      <c r="D31" s="72">
        <f>C31</f>
        <v>5.6607258287930562E-2</v>
      </c>
      <c r="E31" s="73">
        <f>1/I27</f>
        <v>0.2</v>
      </c>
      <c r="F31" s="73">
        <f>1/I28</f>
        <v>0.33333333333333331</v>
      </c>
      <c r="G31" s="73">
        <f>1/I29</f>
        <v>1</v>
      </c>
      <c r="H31" s="73">
        <f>1/I30</f>
        <v>0.33333333333333331</v>
      </c>
      <c r="I31" s="73">
        <v>1</v>
      </c>
      <c r="J31" s="74">
        <v>1</v>
      </c>
      <c r="K31" s="74">
        <v>0.33333333333333331</v>
      </c>
      <c r="L31" s="75">
        <v>1</v>
      </c>
      <c r="M31" s="76">
        <v>1</v>
      </c>
      <c r="N31" s="76">
        <v>1</v>
      </c>
      <c r="O31" s="77">
        <v>1</v>
      </c>
      <c r="P31" s="55"/>
      <c r="Q31" s="81"/>
      <c r="R31" s="51"/>
      <c r="Y31" s="51"/>
    </row>
    <row r="32" spans="1:28" s="47" customFormat="1" ht="15.6" x14ac:dyDescent="0.3">
      <c r="A32" s="51"/>
      <c r="B32" s="21" t="s">
        <v>43</v>
      </c>
      <c r="C32" s="71">
        <f t="shared" si="0"/>
        <v>5.6607258287930562E-2</v>
      </c>
      <c r="D32" s="72">
        <f t="shared" ref="D32:D33" si="1">C32</f>
        <v>5.6607258287930562E-2</v>
      </c>
      <c r="E32" s="73">
        <f>1/J27</f>
        <v>0.2</v>
      </c>
      <c r="F32" s="73">
        <f>1/J28</f>
        <v>0.33333333333333331</v>
      </c>
      <c r="G32" s="73">
        <f>1/J29</f>
        <v>1</v>
      </c>
      <c r="H32" s="73">
        <f>1/J30</f>
        <v>0.33333333333333331</v>
      </c>
      <c r="I32" s="73">
        <f>1/J31</f>
        <v>1</v>
      </c>
      <c r="J32" s="73">
        <v>1</v>
      </c>
      <c r="K32" s="74">
        <v>0.33333333333333331</v>
      </c>
      <c r="L32" s="75">
        <v>1</v>
      </c>
      <c r="M32" s="76">
        <v>1</v>
      </c>
      <c r="N32" s="76">
        <v>1</v>
      </c>
      <c r="O32" s="77">
        <v>1</v>
      </c>
      <c r="P32" s="55"/>
      <c r="Q32" s="81"/>
      <c r="R32" s="51"/>
      <c r="S32"/>
      <c r="T32"/>
      <c r="U32"/>
      <c r="Y32" s="51"/>
      <c r="Z32"/>
      <c r="AA32"/>
      <c r="AB32"/>
    </row>
    <row r="33" spans="1:28" s="47" customFormat="1" ht="15.6" x14ac:dyDescent="0.3">
      <c r="A33" s="51"/>
      <c r="B33" s="21" t="s">
        <v>24</v>
      </c>
      <c r="C33" s="71">
        <f t="shared" si="0"/>
        <v>0.15516976021177703</v>
      </c>
      <c r="D33" s="72">
        <f t="shared" si="1"/>
        <v>0.15516976021177703</v>
      </c>
      <c r="E33" s="73">
        <f>1/K27</f>
        <v>0.33333333333333331</v>
      </c>
      <c r="F33" s="73">
        <f>1/K28</f>
        <v>1</v>
      </c>
      <c r="G33" s="73">
        <f>1/K29</f>
        <v>3</v>
      </c>
      <c r="H33" s="73">
        <f>1/K30</f>
        <v>1</v>
      </c>
      <c r="I33" s="73">
        <f>1/K31</f>
        <v>3</v>
      </c>
      <c r="J33" s="73">
        <f>1/K32</f>
        <v>3</v>
      </c>
      <c r="K33" s="73">
        <v>1</v>
      </c>
      <c r="L33" s="75">
        <v>1</v>
      </c>
      <c r="M33" s="76">
        <v>1</v>
      </c>
      <c r="N33" s="76">
        <v>1</v>
      </c>
      <c r="O33" s="77">
        <v>1</v>
      </c>
      <c r="P33" s="55"/>
      <c r="Q33" s="81"/>
      <c r="R33" s="51"/>
      <c r="S33"/>
      <c r="T33"/>
      <c r="U33"/>
      <c r="Y33" s="51"/>
      <c r="Z33"/>
      <c r="AA33"/>
      <c r="AB33"/>
    </row>
    <row r="34" spans="1:28" s="47" customFormat="1" ht="15.6" x14ac:dyDescent="0.3">
      <c r="A34" s="51"/>
      <c r="B34" s="82"/>
      <c r="C34" s="83">
        <f t="shared" si="0"/>
        <v>3.7214885954381757E-2</v>
      </c>
      <c r="D34" s="84">
        <f>C34</f>
        <v>3.7214885954381757E-2</v>
      </c>
      <c r="E34" s="85">
        <f>1/L27</f>
        <v>1</v>
      </c>
      <c r="F34" s="86">
        <f>1/L28</f>
        <v>1</v>
      </c>
      <c r="G34" s="86">
        <f>1/L29</f>
        <v>1</v>
      </c>
      <c r="H34" s="86">
        <f>1/L30</f>
        <v>1</v>
      </c>
      <c r="I34" s="86">
        <f>1/L31</f>
        <v>1</v>
      </c>
      <c r="J34" s="86">
        <f>1/L32</f>
        <v>1</v>
      </c>
      <c r="K34" s="86">
        <f>1/L33</f>
        <v>1</v>
      </c>
      <c r="L34" s="87">
        <v>1</v>
      </c>
      <c r="M34" s="88">
        <v>1</v>
      </c>
      <c r="N34" s="88">
        <v>1</v>
      </c>
      <c r="O34" s="89">
        <v>1</v>
      </c>
      <c r="P34" s="51"/>
      <c r="S34"/>
      <c r="T34"/>
      <c r="U34"/>
      <c r="Y34" s="51"/>
      <c r="Z34"/>
      <c r="AA34"/>
      <c r="AB34"/>
    </row>
    <row r="35" spans="1:28" s="47" customFormat="1" ht="15.6" x14ac:dyDescent="0.3">
      <c r="A35" s="51"/>
      <c r="B35" s="90"/>
      <c r="C35" s="83">
        <f t="shared" si="0"/>
        <v>0</v>
      </c>
      <c r="D35" s="84">
        <f t="shared" ref="D35:D37" si="2">C35</f>
        <v>0</v>
      </c>
      <c r="E35" s="91">
        <f>1/M27</f>
        <v>1</v>
      </c>
      <c r="F35" s="87">
        <f>1/M28</f>
        <v>1</v>
      </c>
      <c r="G35" s="87">
        <f>1/M29</f>
        <v>1</v>
      </c>
      <c r="H35" s="87">
        <f>1/M30</f>
        <v>1</v>
      </c>
      <c r="I35" s="87">
        <f>1/M31</f>
        <v>1</v>
      </c>
      <c r="J35" s="87">
        <f>1/M32</f>
        <v>1</v>
      </c>
      <c r="K35" s="87">
        <f>1/M33</f>
        <v>1</v>
      </c>
      <c r="L35" s="87">
        <f>1/M34</f>
        <v>1</v>
      </c>
      <c r="M35" s="87">
        <v>1</v>
      </c>
      <c r="N35" s="88">
        <v>1</v>
      </c>
      <c r="O35" s="89">
        <v>1</v>
      </c>
      <c r="P35" s="51"/>
      <c r="S35"/>
      <c r="T35"/>
      <c r="U35"/>
      <c r="Y35" s="51"/>
      <c r="Z35"/>
      <c r="AA35"/>
      <c r="AB35"/>
    </row>
    <row r="36" spans="1:28" s="47" customFormat="1" ht="15.6" x14ac:dyDescent="0.3">
      <c r="A36" s="51"/>
      <c r="B36" s="90"/>
      <c r="C36" s="83">
        <f t="shared" si="0"/>
        <v>0</v>
      </c>
      <c r="D36" s="84">
        <f t="shared" si="2"/>
        <v>0</v>
      </c>
      <c r="E36" s="91">
        <f>1/N27</f>
        <v>1</v>
      </c>
      <c r="F36" s="87">
        <f>1/N28</f>
        <v>1</v>
      </c>
      <c r="G36" s="87">
        <f>1/N29</f>
        <v>1</v>
      </c>
      <c r="H36" s="87">
        <f>1/N30</f>
        <v>1</v>
      </c>
      <c r="I36" s="87">
        <f>1/N31</f>
        <v>1</v>
      </c>
      <c r="J36" s="87">
        <f>1/N32</f>
        <v>1</v>
      </c>
      <c r="K36" s="87">
        <f>1/N33</f>
        <v>1</v>
      </c>
      <c r="L36" s="87">
        <f>1/N34</f>
        <v>1</v>
      </c>
      <c r="M36" s="87">
        <f>1/N35</f>
        <v>1</v>
      </c>
      <c r="N36" s="87">
        <v>1</v>
      </c>
      <c r="O36" s="89">
        <v>1</v>
      </c>
      <c r="P36" s="51"/>
      <c r="S36"/>
      <c r="T36"/>
      <c r="U36"/>
      <c r="V36" s="92"/>
      <c r="X36" s="93"/>
      <c r="Y36" s="51"/>
      <c r="Z36"/>
      <c r="AA36"/>
      <c r="AB36"/>
    </row>
    <row r="37" spans="1:28" s="47" customFormat="1" ht="16.2" thickBot="1" x14ac:dyDescent="0.35">
      <c r="A37" s="94"/>
      <c r="B37" s="95"/>
      <c r="C37" s="83">
        <f t="shared" si="0"/>
        <v>0</v>
      </c>
      <c r="D37" s="84">
        <f t="shared" si="2"/>
        <v>0</v>
      </c>
      <c r="E37" s="96">
        <f>1/O27</f>
        <v>1</v>
      </c>
      <c r="F37" s="97">
        <f>1/O28</f>
        <v>1</v>
      </c>
      <c r="G37" s="97">
        <f>1/O29</f>
        <v>1</v>
      </c>
      <c r="H37" s="97">
        <f>1/O30</f>
        <v>1</v>
      </c>
      <c r="I37" s="97">
        <f>1/O31</f>
        <v>1</v>
      </c>
      <c r="J37" s="97">
        <f>1/O32</f>
        <v>1</v>
      </c>
      <c r="K37" s="97">
        <f>1/O33</f>
        <v>1</v>
      </c>
      <c r="L37" s="97">
        <f>1/O34</f>
        <v>1</v>
      </c>
      <c r="M37" s="97">
        <f>1/O35</f>
        <v>1</v>
      </c>
      <c r="N37" s="97">
        <f>1/O36</f>
        <v>1</v>
      </c>
      <c r="O37" s="98">
        <v>1</v>
      </c>
      <c r="P37" s="51"/>
      <c r="S37"/>
      <c r="T37"/>
      <c r="U37"/>
      <c r="V37" s="92"/>
      <c r="X37" s="93"/>
      <c r="Y37" s="94"/>
      <c r="Z37"/>
      <c r="AA37"/>
      <c r="AB37"/>
    </row>
    <row r="38" spans="1:28" ht="15.6" x14ac:dyDescent="0.3">
      <c r="B38" s="51"/>
      <c r="C38" s="51"/>
      <c r="D38" s="51"/>
      <c r="E38" s="51"/>
      <c r="F38" s="51"/>
      <c r="G38" s="51"/>
      <c r="H38" s="51"/>
      <c r="I38" s="51"/>
      <c r="J38" s="51"/>
      <c r="K38" s="51"/>
      <c r="L38" s="51"/>
      <c r="M38" s="51"/>
      <c r="N38" s="51"/>
      <c r="O38" s="51"/>
      <c r="P38" s="61"/>
      <c r="Q38" s="51"/>
      <c r="R38" s="47"/>
    </row>
    <row r="39" spans="1:28" ht="15.6" x14ac:dyDescent="0.3">
      <c r="B39" s="51"/>
      <c r="C39" s="51"/>
      <c r="D39" s="51"/>
      <c r="E39" s="51"/>
      <c r="F39" s="51"/>
      <c r="G39" s="51"/>
      <c r="H39" s="51"/>
      <c r="I39" s="51"/>
      <c r="J39" s="51"/>
      <c r="K39" s="51"/>
      <c r="L39" s="51"/>
      <c r="M39" s="51"/>
      <c r="N39" s="51"/>
      <c r="O39" s="51"/>
      <c r="P39" s="61"/>
      <c r="Q39" s="51"/>
      <c r="R39" s="47"/>
    </row>
    <row r="40" spans="1:28" ht="15.6" x14ac:dyDescent="0.3">
      <c r="B40" s="51"/>
      <c r="C40" s="51"/>
      <c r="D40" s="126"/>
      <c r="E40" s="51"/>
      <c r="F40" s="51"/>
      <c r="G40" s="51"/>
      <c r="H40" s="51"/>
      <c r="I40" s="51"/>
      <c r="J40" s="51"/>
      <c r="K40" s="51"/>
      <c r="L40" s="51"/>
      <c r="M40" s="51"/>
      <c r="N40" s="51"/>
      <c r="O40" s="51"/>
      <c r="P40" s="61"/>
      <c r="Q40" s="51"/>
      <c r="R40" s="47"/>
    </row>
    <row r="41" spans="1:28" x14ac:dyDescent="0.3">
      <c r="B41" s="99" t="s">
        <v>82</v>
      </c>
      <c r="C41" s="100"/>
      <c r="D41" s="101">
        <f xml:space="preserve"> SUM(E27:INDEX(E27:E37,$C$12))</f>
        <v>2.6</v>
      </c>
      <c r="E41" s="101">
        <f>SUM(F27:INDEX(F27:F37,$C$12))</f>
        <v>6.9999999999999991</v>
      </c>
      <c r="F41" s="101">
        <f>SUM(G27:INDEX(G27:G37,$C$12))</f>
        <v>17</v>
      </c>
      <c r="G41" s="101">
        <f>IF($C$12&gt;3, SUM(H27:INDEX(H27:H37,$C$12)),0)</f>
        <v>6.9999999999999991</v>
      </c>
      <c r="H41" s="101">
        <f>IF($C$12&gt;4, SUM(I27:INDEX(I27:I37,$C$12)),0)</f>
        <v>17</v>
      </c>
      <c r="I41" s="101">
        <f>IF($C$12&gt;5, SUM(J27:INDEX(J27:J37,$C$12)),0)</f>
        <v>17</v>
      </c>
      <c r="J41" s="101">
        <f>IF($C$12&gt;6, SUM(K27:INDEX(K27:K37,$C$12)),0)</f>
        <v>6.9999999999999991</v>
      </c>
      <c r="K41" s="101">
        <f>IF($C$12&gt;7, SUM(L27:INDEX(L27:L37,$C$12)),0)</f>
        <v>0</v>
      </c>
      <c r="L41" s="100">
        <f>IF($C$12&gt;12, SUM(M27:INDEX(M27:M37,$C$12)),0)</f>
        <v>0</v>
      </c>
      <c r="M41" s="100">
        <f>IF($C$12&gt;13, SUM(N27:INDEX(N27:N37,$C$12)),0)</f>
        <v>0</v>
      </c>
      <c r="N41" s="100">
        <f>IF($C$12&gt;14, SUM(O27:O37) - (15-$C$12),0)</f>
        <v>0</v>
      </c>
      <c r="O41" s="102"/>
      <c r="P41" s="99"/>
      <c r="Q41" s="99"/>
      <c r="R41" s="99"/>
    </row>
    <row r="42" spans="1:28" x14ac:dyDescent="0.3">
      <c r="B42" s="99"/>
      <c r="C42" s="102" t="s">
        <v>83</v>
      </c>
      <c r="D42" s="103" t="s">
        <v>84</v>
      </c>
      <c r="E42" s="99"/>
      <c r="F42" s="99"/>
      <c r="G42" s="99"/>
      <c r="H42" s="99"/>
      <c r="I42" s="99"/>
      <c r="J42" s="99"/>
      <c r="K42" s="99"/>
      <c r="L42" s="99"/>
      <c r="M42" s="99"/>
      <c r="N42" s="99"/>
      <c r="O42" s="102" t="s">
        <v>85</v>
      </c>
      <c r="P42" s="102" t="s">
        <v>86</v>
      </c>
      <c r="Q42" s="104" t="s">
        <v>87</v>
      </c>
      <c r="R42" s="102" t="s">
        <v>88</v>
      </c>
    </row>
    <row r="43" spans="1:28" x14ac:dyDescent="0.3">
      <c r="A43" s="2">
        <f>AVERAGE(D43:J43)</f>
        <v>0.36466894450087722</v>
      </c>
      <c r="B43" s="102">
        <v>1</v>
      </c>
      <c r="C43" s="127">
        <f>SUM(D43:N43)/$C$12</f>
        <v>0.36466894450087722</v>
      </c>
      <c r="D43" s="128">
        <f>E27/D41</f>
        <v>0.38461538461538458</v>
      </c>
      <c r="E43" s="128">
        <f>F27/E41</f>
        <v>0.4285714285714286</v>
      </c>
      <c r="F43" s="128">
        <f>G27/F41</f>
        <v>0.29411764705882354</v>
      </c>
      <c r="G43" s="128">
        <f>IF(G$41&gt;0,H27/G$41,0)</f>
        <v>0.4285714285714286</v>
      </c>
      <c r="H43" s="128">
        <f>IF(H$41&gt;0,I27/H$41,0)</f>
        <v>0.29411764705882354</v>
      </c>
      <c r="I43" s="128">
        <f>IF(I$41&gt;0,J27/I$41,0)</f>
        <v>0.29411764705882354</v>
      </c>
      <c r="J43" s="128">
        <f>IF(J$41&gt;0,K27/J$41,0)</f>
        <v>0.4285714285714286</v>
      </c>
      <c r="K43" s="129">
        <f t="shared" ref="K43:K50" si="3">IF(K$41&gt;0,M27/K$41,0)</f>
        <v>0</v>
      </c>
      <c r="L43" s="102">
        <f>IF(L$41 &gt; 0, M27/L$41,0)</f>
        <v>0</v>
      </c>
      <c r="M43" s="102">
        <f>IF(M$41 &gt; 0, N27/M$41,0)</f>
        <v>0</v>
      </c>
      <c r="N43" s="102">
        <f>IF(N$41 &gt; 0, O27/N$41,0)</f>
        <v>0</v>
      </c>
      <c r="O43" s="102">
        <f>$D$41*C43</f>
        <v>0.94813925570228086</v>
      </c>
      <c r="P43" s="78">
        <f>SUM(O43:O53)</f>
        <v>7.093674392834056</v>
      </c>
      <c r="Q43" s="78">
        <f>(P43-$C$12)/($C$12-1)</f>
        <v>1.5612398805675998E-2</v>
      </c>
      <c r="R43" s="78">
        <f>Q43/R45</f>
        <v>1.1827574852784847E-2</v>
      </c>
    </row>
    <row r="44" spans="1:28" x14ac:dyDescent="0.3">
      <c r="A44" s="2">
        <f t="shared" ref="A44:A49" si="4">AVERAGE(D44:J44)</f>
        <v>0.15516976021177703</v>
      </c>
      <c r="B44" s="102">
        <v>2</v>
      </c>
      <c r="C44" s="127">
        <f>SUM($D$44:$N$44)/$C$12</f>
        <v>0.15516976021177703</v>
      </c>
      <c r="D44" s="128">
        <f>E28/D41</f>
        <v>0.12820512820512819</v>
      </c>
      <c r="E44" s="128">
        <f>F28/E41</f>
        <v>0.14285714285714288</v>
      </c>
      <c r="F44" s="128">
        <f>G28/F41</f>
        <v>0.17647058823529413</v>
      </c>
      <c r="G44" s="128">
        <f t="shared" ref="G44:J50" si="5">IF(G$41&gt;0,H28/G$41,0)</f>
        <v>0.14285714285714288</v>
      </c>
      <c r="H44" s="128">
        <f t="shared" si="5"/>
        <v>0.17647058823529413</v>
      </c>
      <c r="I44" s="128">
        <f t="shared" si="5"/>
        <v>0.17647058823529413</v>
      </c>
      <c r="J44" s="128">
        <f t="shared" si="5"/>
        <v>0.14285714285714288</v>
      </c>
      <c r="K44" s="129">
        <f t="shared" si="3"/>
        <v>0</v>
      </c>
      <c r="L44" s="102">
        <f t="shared" ref="L44:N48" si="6">IF(L$41&gt;0,M28/L$41,0)</f>
        <v>0</v>
      </c>
      <c r="M44" s="102">
        <f t="shared" si="6"/>
        <v>0</v>
      </c>
      <c r="N44" s="102">
        <f t="shared" si="6"/>
        <v>0</v>
      </c>
      <c r="O44" s="102">
        <f>$E$41*C44</f>
        <v>1.086188321482439</v>
      </c>
      <c r="P44" s="102"/>
      <c r="Q44" s="102" t="s">
        <v>89</v>
      </c>
      <c r="R44" s="102"/>
    </row>
    <row r="45" spans="1:28" x14ac:dyDescent="0.3">
      <c r="A45" s="2">
        <f t="shared" si="4"/>
        <v>5.6607258287930562E-2</v>
      </c>
      <c r="B45" s="102">
        <v>3</v>
      </c>
      <c r="C45" s="127">
        <f>SUM($D$45:$N$45)/$C$12</f>
        <v>5.6607258287930562E-2</v>
      </c>
      <c r="D45" s="128">
        <f>E29/D41</f>
        <v>7.6923076923076927E-2</v>
      </c>
      <c r="E45" s="128">
        <f>F29/E41</f>
        <v>4.7619047619047623E-2</v>
      </c>
      <c r="F45" s="128">
        <f>G29/F41</f>
        <v>5.8823529411764705E-2</v>
      </c>
      <c r="G45" s="128">
        <f t="shared" si="5"/>
        <v>4.7619047619047623E-2</v>
      </c>
      <c r="H45" s="128">
        <f t="shared" si="5"/>
        <v>5.8823529411764705E-2</v>
      </c>
      <c r="I45" s="128">
        <f t="shared" si="5"/>
        <v>5.8823529411764705E-2</v>
      </c>
      <c r="J45" s="128">
        <f t="shared" si="5"/>
        <v>4.7619047619047623E-2</v>
      </c>
      <c r="K45" s="129">
        <f t="shared" si="3"/>
        <v>0</v>
      </c>
      <c r="L45" s="102">
        <f t="shared" si="6"/>
        <v>0</v>
      </c>
      <c r="M45" s="102">
        <f t="shared" si="6"/>
        <v>0</v>
      </c>
      <c r="N45" s="102">
        <f t="shared" si="6"/>
        <v>0</v>
      </c>
      <c r="O45" s="102">
        <f>$F$41*C45</f>
        <v>0.96232339089481955</v>
      </c>
      <c r="P45" s="102">
        <v>3</v>
      </c>
      <c r="Q45" s="102">
        <v>0.57999999999999996</v>
      </c>
      <c r="R45" s="78">
        <f>INDEX(P45:Q53,$C$12-2,2)</f>
        <v>1.32</v>
      </c>
    </row>
    <row r="46" spans="1:28" x14ac:dyDescent="0.3">
      <c r="A46" s="2">
        <f t="shared" si="4"/>
        <v>0.15516976021177703</v>
      </c>
      <c r="B46" s="102">
        <v>4</v>
      </c>
      <c r="C46" s="127">
        <f>SUM($D$46:$N$46)/$C$12</f>
        <v>0.15516976021177703</v>
      </c>
      <c r="D46" s="128">
        <f>IF(AND(D$41 &gt; 0, $C$12&gt;3),E30/D$41,0)</f>
        <v>0.12820512820512819</v>
      </c>
      <c r="E46" s="128">
        <f>IF(AND(E$41 &gt; 0, $C$12&gt;3),F30/E$41,0)</f>
        <v>0.14285714285714288</v>
      </c>
      <c r="F46" s="128">
        <f>IF(AND(F$41 &gt; 0, $C$12&gt;3),G30/F$41,0)</f>
        <v>0.17647058823529413</v>
      </c>
      <c r="G46" s="128">
        <f t="shared" si="5"/>
        <v>0.14285714285714288</v>
      </c>
      <c r="H46" s="128">
        <f t="shared" si="5"/>
        <v>0.17647058823529413</v>
      </c>
      <c r="I46" s="128">
        <f t="shared" si="5"/>
        <v>0.17647058823529413</v>
      </c>
      <c r="J46" s="128">
        <f t="shared" si="5"/>
        <v>0.14285714285714288</v>
      </c>
      <c r="K46" s="129">
        <f t="shared" si="3"/>
        <v>0</v>
      </c>
      <c r="L46" s="102">
        <f t="shared" si="6"/>
        <v>0</v>
      </c>
      <c r="M46" s="102">
        <f t="shared" si="6"/>
        <v>0</v>
      </c>
      <c r="N46" s="102">
        <f t="shared" si="6"/>
        <v>0</v>
      </c>
      <c r="O46" s="102">
        <f>$G$41*C46</f>
        <v>1.086188321482439</v>
      </c>
      <c r="P46" s="102">
        <v>4</v>
      </c>
      <c r="Q46" s="102">
        <v>0.9</v>
      </c>
      <c r="R46" s="102"/>
    </row>
    <row r="47" spans="1:28" x14ac:dyDescent="0.3">
      <c r="A47" s="2">
        <f t="shared" si="4"/>
        <v>5.6607258287930562E-2</v>
      </c>
      <c r="B47" s="102">
        <v>5</v>
      </c>
      <c r="C47" s="127">
        <f>SUM($D$47:$N$47)/$C$12</f>
        <v>5.6607258287930562E-2</v>
      </c>
      <c r="D47" s="128">
        <f>IF(AND(D$41 &gt; 0, $C$12&gt;4),E31/D$41,0)</f>
        <v>7.6923076923076927E-2</v>
      </c>
      <c r="E47" s="128">
        <f>IF(AND(E$41 &gt; 0, $C$12&gt;4),F31/E$41,0)</f>
        <v>4.7619047619047623E-2</v>
      </c>
      <c r="F47" s="128">
        <f>IF(AND(F$41 &gt; 0, $C$12&gt;4),G31/F$41,0)</f>
        <v>5.8823529411764705E-2</v>
      </c>
      <c r="G47" s="128">
        <f>IF(AND(G$41 &gt; 0, $C$12&gt;4),H31/G$41,0)</f>
        <v>4.7619047619047623E-2</v>
      </c>
      <c r="H47" s="128">
        <f>IF(H$41&gt;0,I31/H$41,0)</f>
        <v>5.8823529411764705E-2</v>
      </c>
      <c r="I47" s="128">
        <f>IF(I$41&gt;0,J31/I$41,0)</f>
        <v>5.8823529411764705E-2</v>
      </c>
      <c r="J47" s="128">
        <f t="shared" si="5"/>
        <v>4.7619047619047623E-2</v>
      </c>
      <c r="K47" s="129">
        <f t="shared" si="3"/>
        <v>0</v>
      </c>
      <c r="L47" s="102">
        <f t="shared" si="6"/>
        <v>0</v>
      </c>
      <c r="M47" s="102">
        <f t="shared" si="6"/>
        <v>0</v>
      </c>
      <c r="N47" s="102">
        <f t="shared" si="6"/>
        <v>0</v>
      </c>
      <c r="O47" s="102">
        <f>$H$41*C47</f>
        <v>0.96232339089481955</v>
      </c>
      <c r="P47" s="102">
        <v>5</v>
      </c>
      <c r="Q47" s="102">
        <v>1.1200000000000001</v>
      </c>
      <c r="R47" s="102"/>
    </row>
    <row r="48" spans="1:28" x14ac:dyDescent="0.3">
      <c r="A48" s="2">
        <f t="shared" si="4"/>
        <v>5.6607258287930562E-2</v>
      </c>
      <c r="B48" s="102">
        <v>6</v>
      </c>
      <c r="C48" s="127">
        <f>SUM($D$48:$N$48)/$C$12</f>
        <v>5.6607258287930562E-2</v>
      </c>
      <c r="D48" s="128">
        <f>IF(AND(D$41 &gt; 0, $C$12&gt;5),E32/D$41,0)</f>
        <v>7.6923076923076927E-2</v>
      </c>
      <c r="E48" s="128">
        <f>IF(AND(E$41 &gt; 0, $C$12&gt;5),F32/E$41,0)</f>
        <v>4.7619047619047623E-2</v>
      </c>
      <c r="F48" s="128">
        <f>IF(AND(F$41 &gt; 0, $C$12&gt;5),G32/F$41,0)</f>
        <v>5.8823529411764705E-2</v>
      </c>
      <c r="G48" s="128">
        <f>IF(AND(G$41 &gt; 0, $C$12&gt;5),H32/G$41,0)</f>
        <v>4.7619047619047623E-2</v>
      </c>
      <c r="H48" s="128">
        <f t="shared" ref="H48:H49" si="7">IF(H$41&gt;0,I32/H$41,0)</f>
        <v>5.8823529411764705E-2</v>
      </c>
      <c r="I48" s="128">
        <f>IF(I$41&gt;0,J32/I$41,0)</f>
        <v>5.8823529411764705E-2</v>
      </c>
      <c r="J48" s="128">
        <f t="shared" si="5"/>
        <v>4.7619047619047623E-2</v>
      </c>
      <c r="K48" s="129">
        <f t="shared" si="3"/>
        <v>0</v>
      </c>
      <c r="L48" s="102">
        <f t="shared" si="6"/>
        <v>0</v>
      </c>
      <c r="M48" s="102">
        <f t="shared" si="6"/>
        <v>0</v>
      </c>
      <c r="N48" s="102">
        <f t="shared" si="6"/>
        <v>0</v>
      </c>
      <c r="O48" s="102">
        <f>$I$41*C48</f>
        <v>0.96232339089481955</v>
      </c>
      <c r="P48" s="102">
        <v>6</v>
      </c>
      <c r="Q48" s="102">
        <v>1.24</v>
      </c>
      <c r="R48" s="102"/>
    </row>
    <row r="49" spans="1:18" x14ac:dyDescent="0.3">
      <c r="A49" s="2">
        <f t="shared" si="4"/>
        <v>0.15516976021177703</v>
      </c>
      <c r="B49" s="102">
        <v>7</v>
      </c>
      <c r="C49" s="127">
        <f>SUM($D$49:$N$49)/$C$12</f>
        <v>0.15516976021177703</v>
      </c>
      <c r="D49" s="128">
        <f>IF(AND(D$41 &gt; 0, $C$12&gt;6),E33/D$41,0)</f>
        <v>0.12820512820512819</v>
      </c>
      <c r="E49" s="128">
        <f>IF(AND(E$41&gt;0,$C$12&gt;6),F33/E$41,0)</f>
        <v>0.14285714285714288</v>
      </c>
      <c r="F49" s="128">
        <f>IF(AND(F$41&gt;0,$C$12&gt;6),G33/F$41,0)</f>
        <v>0.17647058823529413</v>
      </c>
      <c r="G49" s="128">
        <f>IF(AND(G$41 &gt; 0, $C$12&gt;6),H33/G$41,0)</f>
        <v>0.14285714285714288</v>
      </c>
      <c r="H49" s="128">
        <f t="shared" si="7"/>
        <v>0.17647058823529413</v>
      </c>
      <c r="I49" s="128">
        <f>IF(I$41&gt;0,J33/I$41,0)</f>
        <v>0.17647058823529413</v>
      </c>
      <c r="J49" s="128">
        <f t="shared" si="5"/>
        <v>0.14285714285714288</v>
      </c>
      <c r="K49" s="129">
        <f t="shared" si="3"/>
        <v>0</v>
      </c>
      <c r="L49" s="102">
        <f t="shared" ref="L49:N50" si="8">IF(L$41&gt;0,M34/L$41,0)</f>
        <v>0</v>
      </c>
      <c r="M49" s="102">
        <f t="shared" si="8"/>
        <v>0</v>
      </c>
      <c r="N49" s="102">
        <f t="shared" si="8"/>
        <v>0</v>
      </c>
      <c r="O49" s="102">
        <f>J41*C49</f>
        <v>1.086188321482439</v>
      </c>
      <c r="P49" s="102">
        <v>7</v>
      </c>
      <c r="Q49" s="102">
        <v>1.32</v>
      </c>
      <c r="R49" s="99"/>
    </row>
    <row r="50" spans="1:18" x14ac:dyDescent="0.3">
      <c r="B50" s="102">
        <v>8</v>
      </c>
      <c r="C50" s="105">
        <f>SUM($D$50:$N$50)/$C$12</f>
        <v>3.7214885954381757E-2</v>
      </c>
      <c r="D50" s="129">
        <f>IF(AND(D$41&gt;0,$C$12&gt;7),E40/D$41,0)</f>
        <v>0</v>
      </c>
      <c r="E50" s="129">
        <f>IF(AND(E$41&gt;0,$C$12&gt;7),F34/E$41,0)</f>
        <v>0</v>
      </c>
      <c r="F50" s="129">
        <f>IF(AND(F$41&gt;0,$C$12&gt;7),G34/F$41,0)</f>
        <v>0</v>
      </c>
      <c r="G50" s="129">
        <f>IF(AND(G$41 &gt; 0, $C$12&gt;7),H34/G$41,0)</f>
        <v>0</v>
      </c>
      <c r="H50" s="128">
        <f>IF(H$41&gt;0,I34/H$41,0)</f>
        <v>5.8823529411764705E-2</v>
      </c>
      <c r="I50" s="128">
        <f>IF(I$41&gt;0,J34/I$41,0)</f>
        <v>5.8823529411764705E-2</v>
      </c>
      <c r="J50" s="128">
        <f t="shared" si="5"/>
        <v>0.14285714285714288</v>
      </c>
      <c r="K50" s="129">
        <f t="shared" si="3"/>
        <v>0</v>
      </c>
      <c r="L50" s="102">
        <f t="shared" si="8"/>
        <v>0</v>
      </c>
      <c r="M50" s="102">
        <f t="shared" si="8"/>
        <v>0</v>
      </c>
      <c r="N50" s="102">
        <f t="shared" si="8"/>
        <v>0</v>
      </c>
      <c r="O50" s="102">
        <f>$K$41*C50</f>
        <v>0</v>
      </c>
      <c r="P50" s="102">
        <v>8</v>
      </c>
      <c r="Q50" s="102">
        <v>1.41</v>
      </c>
      <c r="R50" s="99"/>
    </row>
    <row r="51" spans="1:18" x14ac:dyDescent="0.3">
      <c r="B51" s="102">
        <v>9</v>
      </c>
      <c r="C51" s="105">
        <f>SUM($D$51:$N$51)/$C$12</f>
        <v>0</v>
      </c>
      <c r="D51" s="129">
        <f>IF(AND(D$41&gt;0,$C$12&gt;8),E41/D$41,0)</f>
        <v>0</v>
      </c>
      <c r="E51" s="129">
        <f>IF(AND(E$41&gt;0,$C$12&gt;8),F35/E$41,0)</f>
        <v>0</v>
      </c>
      <c r="F51" s="129">
        <f>IF(AND(F$41&gt;0,$C$12&gt;8),G35/F$41,0)</f>
        <v>0</v>
      </c>
      <c r="G51" s="129">
        <f>IF(AND(G$41 &gt; 0, $C$12&gt;8),H35/G$41,0)</f>
        <v>0</v>
      </c>
      <c r="H51" s="129">
        <f>IF(AND(H$41 &gt; 0, $C$12&gt;8),I35/H$41,0)</f>
        <v>0</v>
      </c>
      <c r="I51" s="129">
        <f>IF(AND(I$41&gt;0,$C$12&gt;8),J35/I$41,0)</f>
        <v>0</v>
      </c>
      <c r="J51" s="129">
        <f>IF(AND(J$41&gt;0,$C$12&gt;8),L35/J$41,0)</f>
        <v>0</v>
      </c>
      <c r="K51" s="129">
        <f>IF(AND(K$41&gt;0,$C$12&gt;8),M35/K$41,0)</f>
        <v>0</v>
      </c>
      <c r="L51" s="102">
        <f>IF(AND(L$41 &gt; 0,$C$12&gt;13), M36/L$41,0)</f>
        <v>0</v>
      </c>
      <c r="M51" s="102">
        <f>IF(M$41&gt;0,N36/M$41,0)</f>
        <v>0</v>
      </c>
      <c r="N51" s="102">
        <f>IF(N$41&gt;0,O36/N$41,0)</f>
        <v>0</v>
      </c>
      <c r="O51" s="102">
        <f>$L$41*C51</f>
        <v>0</v>
      </c>
      <c r="P51" s="102">
        <v>9</v>
      </c>
      <c r="Q51" s="102">
        <v>1.45</v>
      </c>
      <c r="R51" s="99"/>
    </row>
    <row r="52" spans="1:18" x14ac:dyDescent="0.3">
      <c r="B52" s="102">
        <v>10</v>
      </c>
      <c r="C52" s="105">
        <f>SUM($D$52:$N$52)/$C$12</f>
        <v>0</v>
      </c>
      <c r="D52" s="129">
        <f>IF(AND(D$41&gt;0,$C$12&gt;9),E42/D$41,0)</f>
        <v>0</v>
      </c>
      <c r="E52" s="129">
        <f>IF(AND(E$41&gt;0,$C$12&gt;9),F36/E$41,0)</f>
        <v>0</v>
      </c>
      <c r="F52" s="129">
        <f>IF(AND(F$41&gt;0,$C$12&gt;9),G36/F$41,0)</f>
        <v>0</v>
      </c>
      <c r="G52" s="129">
        <f>IF(AND(G$41 &gt; 0, $C$12&gt;9),H36/G$41,0)</f>
        <v>0</v>
      </c>
      <c r="H52" s="129">
        <f>IF(AND(H$41 &gt; 0, $C$12&gt;9),I36/H$41,0)</f>
        <v>0</v>
      </c>
      <c r="I52" s="129">
        <f>IF(AND(I$41&gt;0,$C$12&gt;9),J36/I$41,0)</f>
        <v>0</v>
      </c>
      <c r="J52" s="129">
        <f>IF(AND(J$41&gt;0,$C$12&gt;9),L36/J$41,0)</f>
        <v>0</v>
      </c>
      <c r="K52" s="129">
        <f>IF(AND(K$41&gt;0,$C$12&gt;9),M36/K$41,0)</f>
        <v>0</v>
      </c>
      <c r="L52" s="102">
        <f>IF(AND(L$41&gt;0,$C$12&gt;14),M37/L$41,0)</f>
        <v>0</v>
      </c>
      <c r="M52" s="102">
        <f>IF(AND(M$41 &gt; 0,$C$12 &gt;14), N37/M$41,0)</f>
        <v>0</v>
      </c>
      <c r="N52" s="102">
        <f>IF(N$41&gt;0,O37/N$41,0)</f>
        <v>0</v>
      </c>
      <c r="O52" s="102">
        <f>$L$41*C52</f>
        <v>0</v>
      </c>
      <c r="P52" s="102">
        <v>10</v>
      </c>
      <c r="Q52" s="102">
        <v>1.51</v>
      </c>
      <c r="R52" s="99"/>
    </row>
    <row r="53" spans="1:18" x14ac:dyDescent="0.3">
      <c r="B53" s="102">
        <v>11</v>
      </c>
      <c r="C53" s="105">
        <f>SUM($D$52:$N$52)/$C$12</f>
        <v>0</v>
      </c>
      <c r="D53" s="129">
        <f>IF(AND(D$41&gt;0,$C$12&gt;10),E43/D$41,0)</f>
        <v>0</v>
      </c>
      <c r="E53" s="129">
        <f>IF(AND(E$41&gt;0,$C$12&gt;10),F37/E$41,0)</f>
        <v>0</v>
      </c>
      <c r="F53" s="129">
        <f>IF(AND(F$41&gt;0,$C$12&gt;10),G38/F$41,0)</f>
        <v>0</v>
      </c>
      <c r="G53" s="129">
        <f>IF(AND(G$41 &gt; 0, $C$12&gt;10),H37/G$41,0)</f>
        <v>0</v>
      </c>
      <c r="H53" s="129">
        <f>IF(AND(H$41 &gt; 0, $C$12&gt;10),I37/H$41,0)</f>
        <v>0</v>
      </c>
      <c r="I53" s="129">
        <f>IF(AND(I$41&gt;0,$C$12&gt;10),J37/I$41,0)</f>
        <v>0</v>
      </c>
      <c r="J53" s="129">
        <f>IF(AND(J$41&gt;0,$C$12&gt;10),L37/J$41,0)</f>
        <v>0</v>
      </c>
      <c r="K53" s="129">
        <f>IF(AND(K$41&gt;0,$C$12&gt;10),M37/K$41,0)</f>
        <v>0</v>
      </c>
      <c r="L53" s="102">
        <f>IF(AND(L$41&gt;0,$C$12&gt;14),M38/L$41,0)</f>
        <v>0</v>
      </c>
      <c r="M53" s="102">
        <f>IF(AND(M$41 &gt; 0,$C$12 &gt;14), N38/M$41,0)</f>
        <v>0</v>
      </c>
      <c r="N53" s="102">
        <f>IF(N$41&gt;0,O38/N$41,0)</f>
        <v>0</v>
      </c>
      <c r="O53" s="102">
        <f>$L$41*C53</f>
        <v>0</v>
      </c>
      <c r="P53" s="102">
        <v>11</v>
      </c>
      <c r="Q53" s="102">
        <v>1.52</v>
      </c>
      <c r="R53" s="99"/>
    </row>
  </sheetData>
  <mergeCells count="8">
    <mergeCell ref="A10:E10"/>
    <mergeCell ref="B14:C14"/>
    <mergeCell ref="A4:E4"/>
    <mergeCell ref="A5:E5"/>
    <mergeCell ref="A6:E6"/>
    <mergeCell ref="A7:E7"/>
    <mergeCell ref="A8:E8"/>
    <mergeCell ref="A9:E9"/>
  </mergeCells>
  <dataValidations count="4">
    <dataValidation type="list" allowBlank="1" showInputMessage="1" showErrorMessage="1" sqref="IE12 WUQ12 WKU12 WAY12 VRC12 VHG12 UXK12 UNO12 UDS12 TTW12 TKA12 TAE12 SQI12 SGM12 RWQ12 RMU12 RCY12 QTC12 QJG12 PZK12 PPO12 PFS12 OVW12 OMA12 OCE12 NSI12 NIM12 MYQ12 MOU12 MEY12 LVC12 LLG12 LBK12 KRO12 KHS12 JXW12 JOA12 JEE12 IUI12 IKM12 IAQ12 HQU12 HGY12 GXC12 GNG12 GDK12 FTO12 FJS12 EZW12 EQA12 EGE12 DWI12 DMM12 DCQ12 CSU12 CIY12 BZC12 BPG12 BFK12 AVO12 ALS12 ABW12 SA12" xr:uid="{CF6BDB01-4436-4E06-B806-3971B42AE723}">
      <formula1>$C$34:$C$42</formula1>
    </dataValidation>
    <dataValidation type="list" allowBlank="1" showInputMessage="1" showErrorMessage="1" sqref="C12" xr:uid="{DD0C942F-F7DB-43D0-8CC1-323583067018}">
      <formula1>$B$41:$B$49</formula1>
    </dataValidation>
    <dataValidation type="list" allowBlank="1" showInputMessage="1" showErrorMessage="1" promptTitle="Relative Importance" sqref="H29:K29 G28:K28 J31:K31 F27:K27 K32 I30:K30" xr:uid="{71A12249-1B51-4BAD-A997-7909A47ADF8A}">
      <formula1>$C$15:$C$23</formula1>
    </dataValidation>
    <dataValidation type="list" allowBlank="1" showInputMessage="1" showErrorMessage="1" promptTitle="Relative Importance" sqref="O36 WUU16:WVC16 IH15:IQ15 SD15:SM15 ABZ15:ACI15 ALV15:AME15 AVR15:AWA15 BFN15:BFW15 BPJ15:BPS15 BZF15:BZO15 CJB15:CJK15 CSX15:CTG15 DCT15:DDC15 DMP15:DMY15 DWL15:DWU15 EGH15:EGQ15 EQD15:EQM15 EZZ15:FAI15 FJV15:FKE15 FTR15:FUA15 GDN15:GDW15 GNJ15:GNS15 GXF15:GXO15 HHB15:HHK15 HQX15:HRG15 IAT15:IBC15 IKP15:IKY15 IUL15:IUU15 JEH15:JEQ15 JOD15:JOM15 JXZ15:JYI15 KHV15:KIE15 KRR15:KSA15 LBN15:LBW15 LLJ15:LLS15 LVF15:LVO15 MFB15:MFK15 MOX15:MPG15 MYT15:MZC15 NIP15:NIY15 NSL15:NSU15 OCH15:OCQ15 OMD15:OMM15 OVZ15:OWI15 PFV15:PGE15 PPR15:PQA15 PZN15:PZW15 QJJ15:QJS15 QTF15:QTO15 RDB15:RDK15 RMX15:RNG15 RWT15:RXC15 SGP15:SGY15 SQL15:SQU15 TAH15:TAQ15 TKD15:TKM15 TTZ15:TUI15 UDV15:UEE15 UNR15:UOA15 UXN15:UXW15 VHJ15:VHS15 VRF15:VRO15 WBB15:WBK15 WKX15:WLG15 WUT15:WVC15 IP23:IQ23 SL23:SM23 ACH23:ACI23 AMD23:AME23 AVZ23:AWA23 BFV23:BFW23 BPR23:BPS23 BZN23:BZO23 CJJ23:CJK23 CTF23:CTG23 DDB23:DDC23 DMX23:DMY23 DWT23:DWU23 EGP23:EGQ23 EQL23:EQM23 FAH23:FAI23 FKD23:FKE23 FTZ23:FUA23 GDV23:GDW23 GNR23:GNS23 GXN23:GXO23 HHJ23:HHK23 HRF23:HRG23 IBB23:IBC23 IKX23:IKY23 IUT23:IUU23 JEP23:JEQ23 JOL23:JOM23 JYH23:JYI23 KID23:KIE23 KRZ23:KSA23 LBV23:LBW23 LLR23:LLS23 LVN23:LVO23 MFJ23:MFK23 MPF23:MPG23 MZB23:MZC23 NIX23:NIY23 NST23:NSU23 OCP23:OCQ23 OML23:OMM23 OWH23:OWI23 PGD23:PGE23 PPZ23:PQA23 PZV23:PZW23 QJR23:QJS23 QTN23:QTO23 RDJ23:RDK23 RNF23:RNG23 RXB23:RXC23 SGX23:SGY23 SQT23:SQU23 TAP23:TAQ23 TKL23:TKM23 TUH23:TUI23 UED23:UEE23 UNZ23:UOA23 UXV23:UXW23 VHR23:VHS23 VRN23:VRO23 WBJ23:WBK23 WLF23:WLG23 WVB23:WVC23 IL19:IQ20 SH19:SM20 ACD19:ACI20 ALZ19:AME20 AVV19:AWA20 BFR19:BFW20 BPN19:BPS20 BZJ19:BZO20 CJF19:CJK20 CTB19:CTG20 DCX19:DDC20 DMT19:DMY20 DWP19:DWU20 EGL19:EGQ20 EQH19:EQM20 FAD19:FAI20 FJZ19:FKE20 FTV19:FUA20 GDR19:GDW20 GNN19:GNS20 GXJ19:GXO20 HHF19:HHK20 HRB19:HRG20 IAX19:IBC20 IKT19:IKY20 IUP19:IUU20 JEL19:JEQ20 JOH19:JOM20 JYD19:JYI20 KHZ19:KIE20 KRV19:KSA20 LBR19:LBW20 LLN19:LLS20 LVJ19:LVO20 MFF19:MFK20 MPB19:MPG20 MYX19:MZC20 NIT19:NIY20 NSP19:NSU20 OCL19:OCQ20 OMH19:OMM20 OWD19:OWI20 PFZ19:PGE20 PPV19:PQA20 PZR19:PZW20 QJN19:QJS20 QTJ19:QTO20 RDF19:RDK20 RNB19:RNG20 RWX19:RXC20 SGT19:SGY20 SQP19:SQU20 TAL19:TAQ20 TKH19:TKM20 TUD19:TUI20 UDZ19:UEE20 UNV19:UOA20 UXR19:UXW20 VHN19:VHS20 VRJ19:VRO20 WBF19:WBK20 WLB19:WLG20 WUX19:WVC20 IN21:IQ21 SJ21:SM21 ACF21:ACI21 AMB21:AME21 AVX21:AWA21 BFT21:BFW21 BPP21:BPS21 BZL21:BZO21 CJH21:CJK21 CTD21:CTG21 DCZ21:DDC21 DMV21:DMY21 DWR21:DWU21 EGN21:EGQ21 EQJ21:EQM21 FAF21:FAI21 FKB21:FKE21 FTX21:FUA21 GDT21:GDW21 GNP21:GNS21 GXL21:GXO21 HHH21:HHK21 HRD21:HRG21 IAZ21:IBC21 IKV21:IKY21 IUR21:IUU21 JEN21:JEQ21 JOJ21:JOM21 JYF21:JYI21 KIB21:KIE21 KRX21:KSA21 LBT21:LBW21 LLP21:LLS21 LVL21:LVO21 MFH21:MFK21 MPD21:MPG21 MYZ21:MZC21 NIV21:NIY21 NSR21:NSU21 OCN21:OCQ21 OMJ21:OMM21 OWF21:OWI21 PGB21:PGE21 PPX21:PQA21 PZT21:PZW21 QJP21:QJS21 QTL21:QTO21 RDH21:RDK21 RND21:RNG21 RWZ21:RXC21 SGV21:SGY21 SQR21:SQU21 TAN21:TAQ21 TKJ21:TKM21 TUF21:TUI21 UEB21:UEE21 UNX21:UOA21 UXT21:UXW21 VHP21:VHS21 VRL21:VRO21 WBH21:WBK21 WLD21:WLG21 WUZ21:WVC21 IO22:IQ22 SK22:SM22 ACG22:ACI22 AMC22:AME22 AVY22:AWA22 BFU22:BFW22 BPQ22:BPS22 BZM22:BZO22 CJI22:CJK22 CTE22:CTG22 DDA22:DDC22 DMW22:DMY22 DWS22:DWU22 EGO22:EGQ22 EQK22:EQM22 FAG22:FAI22 FKC22:FKE22 FTY22:FUA22 GDU22:GDW22 GNQ22:GNS22 GXM22:GXO22 HHI22:HHK22 HRE22:HRG22 IBA22:IBC22 IKW22:IKY22 IUS22:IUU22 JEO22:JEQ22 JOK22:JOM22 JYG22:JYI22 KIC22:KIE22 KRY22:KSA22 LBU22:LBW22 LLQ22:LLS22 LVM22:LVO22 MFI22:MFK22 MPE22:MPG22 MZA22:MZC22 NIW22:NIY22 NSS22:NSU22 OCO22:OCQ22 OMK22:OMM22 OWG22:OWI22 PGC22:PGE22 PPY22:PQA22 PZU22:PZW22 QJQ22:QJS22 QTM22:QTO22 RDI22:RDK22 RNE22:RNG22 RXA22:RXC22 SGW22:SGY22 SQS22:SQU22 TAO22:TAQ22 TKK22:TKM22 TUG22:TUI22 UEC22:UEE22 UNY22:UOA22 UXU22:UXW22 VHQ22:VHS22 VRM22:VRO22 WBI22:WBK22 WLE22:WLG22 WVA22:WVC22 IJ17:IQ17 SF17:SM17 ACB17:ACI17 ALX17:AME17 AVT17:AWA17 BFP17:BFW17 BPL17:BPS17 BZH17:BZO17 CJD17:CJK17 CSZ17:CTG17 DCV17:DDC17 DMR17:DMY17 DWN17:DWU17 EGJ17:EGQ17 EQF17:EQM17 FAB17:FAI17 FJX17:FKE17 FTT17:FUA17 GDP17:GDW17 GNL17:GNS17 GXH17:GXO17 HHD17:HHK17 HQZ17:HRG17 IAV17:IBC17 IKR17:IKY17 IUN17:IUU17 JEJ17:JEQ17 JOF17:JOM17 JYB17:JYI17 KHX17:KIE17 KRT17:KSA17 LBP17:LBW17 LLL17:LLS17 LVH17:LVO17 MFD17:MFK17 MOZ17:MPG17 MYV17:MZC17 NIR17:NIY17 NSN17:NSU17 OCJ17:OCQ17 OMF17:OMM17 OWB17:OWI17 PFX17:PGE17 PPT17:PQA17 PZP17:PZW17 QJL17:QJS17 QTH17:QTO17 RDD17:RDK17 RMZ17:RNG17 RWV17:RXC17 SGR17:SGY17 SQN17:SQU17 TAJ17:TAQ17 TKF17:TKM17 TUB17:TUI17 UDX17:UEE17 UNT17:UOA17 UXP17:UXW17 VHL17:VHS17 VRH17:VRO17 WBD17:WBK17 WKZ17:WLG17 WUV17:WVC17 IK18:IQ18 SG18:SM18 ACC18:ACI18 ALY18:AME18 AVU18:AWA18 BFQ18:BFW18 BPM18:BPS18 BZI18:BZO18 CJE18:CJK18 CTA18:CTG18 DCW18:DDC18 DMS18:DMY18 DWO18:DWU18 EGK18:EGQ18 EQG18:EQM18 FAC18:FAI18 FJY18:FKE18 FTU18:FUA18 GDQ18:GDW18 GNM18:GNS18 GXI18:GXO18 HHE18:HHK18 HRA18:HRG18 IAW18:IBC18 IKS18:IKY18 IUO18:IUU18 JEK18:JEQ18 JOG18:JOM18 JYC18:JYI18 KHY18:KIE18 KRU18:KSA18 LBQ18:LBW18 LLM18:LLS18 LVI18:LVO18 MFE18:MFK18 MPA18:MPG18 MYW18:MZC18 NIS18:NIY18 NSO18:NSU18 OCK18:OCQ18 OMG18:OMM18 OWC18:OWI18 PFY18:PGE18 PPU18:PQA18 PZQ18:PZW18 QJM18:QJS18 QTI18:QTO18 RDE18:RDK18 RNA18:RNG18 RWW18:RXC18 SGS18:SGY18 SQO18:SQU18 TAK18:TAQ18 TKG18:TKM18 TUC18:TUI18 UDY18:UEE18 UNU18:UOA18 UXQ18:UXW18 VHM18:VHS18 VRI18:VRO18 WBE18:WBK18 WLA18:WLG18 WUW18:WVC18 II16:IQ16 SE16:SM16 ACA16:ACI16 ALW16:AME16 AVS16:AWA16 BFO16:BFW16 BPK16:BPS16 BZG16:BZO16 CJC16:CJK16 CSY16:CTG16 DCU16:DDC16 DMQ16:DMY16 DWM16:DWU16 EGI16:EGQ16 EQE16:EQM16 FAA16:FAI16 FJW16:FKE16 FTS16:FUA16 GDO16:GDW16 GNK16:GNS16 GXG16:GXO16 HHC16:HHK16 HQY16:HRG16 IAU16:IBC16 IKQ16:IKY16 IUM16:IUU16 JEI16:JEQ16 JOE16:JOM16 JYA16:JYI16 KHW16:KIE16 KRS16:KSA16 LBO16:LBW16 LLK16:LLS16 LVG16:LVO16 MFC16:MFK16 MOY16:MPG16 MYU16:MZC16 NIQ16:NIY16 NSM16:NSU16 OCI16:OCQ16 OME16:OMM16 OWA16:OWI16 PFW16:PGE16 PPS16:PQA16 PZO16:PZW16 QJK16:QJS16 QTG16:QTO16 RDC16:RDK16 RMY16:RNG16 RWU16:RXC16 SGQ16:SGY16 SQM16:SQU16 TAI16:TAQ16 TKE16:TKM16 TUA16:TUI16 UDW16:UEE16 UNS16:UOA16 UXO16:UXW16 VHK16:VHS16 VRG16:VRO16 WBC16:WBK16 WKY16:WLG16 N35:O35 M34:O34 L27:O33" xr:uid="{0CDCD113-B4D8-4D04-A9A3-0AC64C1F80E7}">
      <formula1>$C$3:$C$13</formula1>
    </dataValidation>
  </dataValidations>
  <pageMargins left="0.7" right="0.7" top="0.75" bottom="0.75" header="0.3" footer="0.3"/>
  <pageSetup paperSize="9" orientation="portrait" r:id="rId1"/>
  <ignoredErrors>
    <ignoredError sqref="K44:K48"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6F61-BDF0-4326-9AAD-875C0B4B6BBD}">
  <dimension ref="F2:G9"/>
  <sheetViews>
    <sheetView tabSelected="1" workbookViewId="0">
      <selection activeCell="J17" sqref="J17"/>
    </sheetView>
  </sheetViews>
  <sheetFormatPr defaultRowHeight="14.4" x14ac:dyDescent="0.3"/>
  <sheetData>
    <row r="2" spans="6:7" x14ac:dyDescent="0.3">
      <c r="F2" t="s">
        <v>56</v>
      </c>
      <c r="G2" t="s">
        <v>110</v>
      </c>
    </row>
    <row r="3" spans="6:7" x14ac:dyDescent="0.3">
      <c r="F3" t="s">
        <v>54</v>
      </c>
      <c r="G3" t="s">
        <v>111</v>
      </c>
    </row>
    <row r="4" spans="6:7" x14ac:dyDescent="0.3">
      <c r="F4" t="s">
        <v>92</v>
      </c>
      <c r="G4" t="s">
        <v>112</v>
      </c>
    </row>
    <row r="5" spans="6:7" x14ac:dyDescent="0.3">
      <c r="F5" t="s">
        <v>94</v>
      </c>
      <c r="G5" t="s">
        <v>113</v>
      </c>
    </row>
    <row r="6" spans="6:7" x14ac:dyDescent="0.3">
      <c r="F6" t="s">
        <v>50</v>
      </c>
      <c r="G6" t="s">
        <v>114</v>
      </c>
    </row>
    <row r="7" spans="6:7" x14ac:dyDescent="0.3">
      <c r="F7" t="s">
        <v>97</v>
      </c>
      <c r="G7" t="s">
        <v>115</v>
      </c>
    </row>
    <row r="8" spans="6:7" x14ac:dyDescent="0.3">
      <c r="F8" t="s">
        <v>51</v>
      </c>
      <c r="G8" t="s">
        <v>116</v>
      </c>
    </row>
    <row r="9" spans="6:7" x14ac:dyDescent="0.3">
      <c r="F9" t="s">
        <v>100</v>
      </c>
      <c r="G9" t="s">
        <v>117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36C497EAF6ED45845F22FAC5B1DEEC" ma:contentTypeVersion="10" ma:contentTypeDescription="Create a new document." ma:contentTypeScope="" ma:versionID="1e19fbe4a484567536c9e203cfb52b8f">
  <xsd:schema xmlns:xsd="http://www.w3.org/2001/XMLSchema" xmlns:xs="http://www.w3.org/2001/XMLSchema" xmlns:p="http://schemas.microsoft.com/office/2006/metadata/properties" xmlns:ns3="be778c22-24a2-4266-8e4b-67ebbbc86929" xmlns:ns4="c6ddc3e8-6351-4463-b792-7ff93e82ad39" targetNamespace="http://schemas.microsoft.com/office/2006/metadata/properties" ma:root="true" ma:fieldsID="33ae231d1f06fcb8bf482a52607cacdc" ns3:_="" ns4:_="">
    <xsd:import namespace="be778c22-24a2-4266-8e4b-67ebbbc86929"/>
    <xsd:import namespace="c6ddc3e8-6351-4463-b792-7ff93e82ad3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778c22-24a2-4266-8e4b-67ebbbc869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activity" ma:index="14"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ddc3e8-6351-4463-b792-7ff93e82ad3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778c22-24a2-4266-8e4b-67ebbbc869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6EEDAC-940A-425B-AA64-6C492706F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778c22-24a2-4266-8e4b-67ebbbc86929"/>
    <ds:schemaRef ds:uri="c6ddc3e8-6351-4463-b792-7ff93e82a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C26D6F-D488-4C68-A14B-52375DF68A2F}">
  <ds:schemaRefs>
    <ds:schemaRef ds:uri="http://purl.org/dc/elements/1.1/"/>
    <ds:schemaRef ds:uri="http://purl.org/dc/dcmitype/"/>
    <ds:schemaRef ds:uri="be778c22-24a2-4266-8e4b-67ebbbc86929"/>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c6ddc3e8-6351-4463-b792-7ff93e82ad39"/>
    <ds:schemaRef ds:uri="http://schemas.microsoft.com/office/2006/metadata/properties"/>
  </ds:schemaRefs>
</ds:datastoreItem>
</file>

<file path=customXml/itemProps3.xml><?xml version="1.0" encoding="utf-8"?>
<ds:datastoreItem xmlns:ds="http://schemas.openxmlformats.org/officeDocument/2006/customXml" ds:itemID="{040D6139-65C1-40F5-B703-CCE6D0EBAF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Visualization_v1</vt:lpstr>
      <vt:lpstr>Visualization_v2</vt:lpstr>
      <vt:lpstr>Radar_Chart</vt:lpstr>
      <vt:lpstr>Multicriteria_updated</vt:lpstr>
      <vt:lpstr>Multicriteria_updated_v2</vt:lpstr>
      <vt:lpstr>Weight_scenarios</vt:lpstr>
      <vt:lpstr>Criteria_Scenarios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Tasos Karamaneas</dc:creator>
  <cp:lastModifiedBy>Koutsandreas Diamantis</cp:lastModifiedBy>
  <dcterms:created xsi:type="dcterms:W3CDTF">2021-04-23T13:16:59Z</dcterms:created>
  <dcterms:modified xsi:type="dcterms:W3CDTF">2025-03-23T21:36:31Z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0x0101007136C497EAF6ED45845F22FAC5B1DEEC</vt:lpwstr>
  </property>
</Properties>
</file>