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ate1904="1"/>
  <mc:AlternateContent xmlns:mc="http://schemas.openxmlformats.org/markup-compatibility/2006">
    <mc:Choice Requires="x15">
      <x15ac:absPath xmlns:x15ac="http://schemas.microsoft.com/office/spreadsheetml/2010/11/ac" url="/Users/Shared/Previously Relocated Items/Security/All My Stuff/Home Page 2002/pc/"/>
    </mc:Choice>
  </mc:AlternateContent>
  <xr:revisionPtr revIDLastSave="0" documentId="8_{CEDD320C-8F7C-1041-99B5-DAB392A79A30}" xr6:coauthVersionLast="47" xr6:coauthVersionMax="47" xr10:uidLastSave="{00000000-0000-0000-0000-000000000000}"/>
  <bookViews>
    <workbookView xWindow="0" yWindow="500" windowWidth="38400" windowHeight="23500" tabRatio="831" firstSheet="1" activeTab="1" xr2:uid="{00000000-000D-0000-FFFF-FFFF00000000}"/>
  </bookViews>
  <sheets>
    <sheet name="Read me first" sheetId="10" r:id="rId1"/>
    <sheet name="Master Inputs Start here" sheetId="7" r:id="rId2"/>
    <sheet name="Valuation Model" sheetId="1" r:id="rId3"/>
    <sheet name="Input Summary" sheetId="18" r:id="rId4"/>
    <sheet name="Earnings Normalizer" sheetId="8" r:id="rId5"/>
    <sheet name="R&amp;D converter" sheetId="6" r:id="rId6"/>
    <sheet name="Operating lease converter" sheetId="5" r:id="rId7"/>
    <sheet name="Stories to Numbers" sheetId="17" r:id="rId8"/>
    <sheet name="Option Value" sheetId="9" r:id="rId9"/>
    <sheet name="Cost of capital worksheet" sheetId="4" r:id="rId10"/>
    <sheet name="Ratings estimator" sheetId="3" r:id="rId11"/>
    <sheet name="US Industry averages" sheetId="2" r:id="rId12"/>
    <sheet name="Global Industry averages" sheetId="16" r:id="rId13"/>
    <sheet name="Country ERP" sheetId="14" r:id="rId14"/>
    <sheet name="Trailing 12-month numbers" sheetId="15" r:id="rId15"/>
    <sheet name="Answers" sheetId="12" r:id="rId16"/>
  </sheets>
  <calcPr calcId="191029" iterate="1"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8" l="1"/>
  <c r="D2" i="18"/>
  <c r="B82" i="7"/>
  <c r="C24" i="7"/>
  <c r="B24" i="7"/>
  <c r="C21" i="7"/>
  <c r="B21" i="7"/>
  <c r="B20" i="7"/>
  <c r="B19" i="7"/>
  <c r="B16" i="7"/>
  <c r="B12" i="7"/>
  <c r="D12" i="3"/>
  <c r="I28" i="4"/>
  <c r="I27" i="4"/>
  <c r="I26" i="4"/>
  <c r="I25" i="4"/>
  <c r="I24" i="4"/>
  <c r="I23" i="4"/>
  <c r="G29" i="4"/>
  <c r="G28" i="4"/>
  <c r="G27" i="4"/>
  <c r="G26" i="4"/>
  <c r="G25" i="4"/>
  <c r="G24" i="4"/>
  <c r="G23" i="4"/>
  <c r="G22" i="4"/>
  <c r="G21" i="4"/>
  <c r="I15" i="4"/>
  <c r="I14" i="4"/>
  <c r="I13" i="4"/>
  <c r="I12" i="4"/>
  <c r="I11" i="4"/>
  <c r="I10" i="4"/>
  <c r="I9" i="4"/>
  <c r="I8" i="4"/>
  <c r="I7" i="4"/>
  <c r="I6" i="4"/>
  <c r="I29" i="4"/>
  <c r="I22" i="4"/>
  <c r="I21" i="4"/>
  <c r="D195" i="14"/>
  <c r="D194" i="14"/>
  <c r="D193" i="14"/>
  <c r="D192" i="14"/>
  <c r="D191" i="14"/>
  <c r="D190" i="14"/>
  <c r="D189" i="14"/>
  <c r="D188" i="14"/>
  <c r="D187" i="14"/>
  <c r="D186" i="14"/>
  <c r="D185" i="14"/>
  <c r="D184" i="14"/>
  <c r="D183" i="14"/>
  <c r="D182" i="14"/>
  <c r="D181" i="14"/>
  <c r="D180" i="14"/>
  <c r="D179" i="14"/>
  <c r="D178" i="14"/>
  <c r="D177" i="14"/>
  <c r="D176" i="14"/>
  <c r="D175" i="14"/>
  <c r="D174" i="14"/>
  <c r="D173" i="14"/>
  <c r="D172" i="14"/>
  <c r="D171" i="14"/>
  <c r="D170" i="14"/>
  <c r="D169" i="14"/>
  <c r="D168" i="14"/>
  <c r="D167" i="14"/>
  <c r="D166" i="14"/>
  <c r="D165" i="14"/>
  <c r="D164" i="14"/>
  <c r="D163" i="14"/>
  <c r="D162" i="14"/>
  <c r="D161" i="14"/>
  <c r="D160" i="14"/>
  <c r="D159" i="14"/>
  <c r="D158" i="14"/>
  <c r="D157" i="14"/>
  <c r="D156" i="14"/>
  <c r="D155" i="14"/>
  <c r="D154" i="14"/>
  <c r="D153" i="14"/>
  <c r="D152" i="14"/>
  <c r="D151" i="14"/>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6" i="14"/>
  <c r="D125" i="14"/>
  <c r="D124" i="14"/>
  <c r="D123" i="14"/>
  <c r="D122" i="14"/>
  <c r="D121" i="14"/>
  <c r="D120" i="14"/>
  <c r="D119" i="14"/>
  <c r="D118" i="14"/>
  <c r="D117" i="14"/>
  <c r="D116" i="14"/>
  <c r="D115" i="14"/>
  <c r="D114" i="14"/>
  <c r="D113" i="14"/>
  <c r="D112" i="14"/>
  <c r="D111" i="14"/>
  <c r="D110" i="14"/>
  <c r="D109" i="14"/>
  <c r="D108" i="14"/>
  <c r="D107" i="14"/>
  <c r="D106" i="14"/>
  <c r="D105" i="14"/>
  <c r="D104" i="14"/>
  <c r="D103" i="14"/>
  <c r="D102" i="14"/>
  <c r="D101" i="14"/>
  <c r="D100" i="14"/>
  <c r="D99" i="14"/>
  <c r="D98" i="14"/>
  <c r="D97" i="14"/>
  <c r="D96" i="14"/>
  <c r="D95" i="14"/>
  <c r="D94" i="14"/>
  <c r="D93" i="14"/>
  <c r="D92" i="14"/>
  <c r="D91" i="14"/>
  <c r="D90" i="14"/>
  <c r="D89" i="14"/>
  <c r="D88" i="14"/>
  <c r="D87" i="14"/>
  <c r="D86" i="14"/>
  <c r="D85" i="14"/>
  <c r="D84" i="14"/>
  <c r="D83" i="14"/>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I5" i="4" s="1"/>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K11" i="4"/>
  <c r="K12" i="4"/>
  <c r="F7" i="3"/>
  <c r="B16" i="4"/>
  <c r="C40" i="4" s="1"/>
  <c r="B13" i="4"/>
  <c r="B8" i="4"/>
  <c r="B5" i="4"/>
  <c r="D40" i="4"/>
  <c r="D38" i="4"/>
  <c r="C32" i="4"/>
  <c r="C34" i="4"/>
  <c r="K63" i="4"/>
  <c r="K62" i="4"/>
  <c r="K61" i="4"/>
  <c r="K60" i="4"/>
  <c r="K59" i="4"/>
  <c r="K58" i="4"/>
  <c r="K57" i="4"/>
  <c r="K56" i="4"/>
  <c r="K55" i="4"/>
  <c r="K54" i="4"/>
  <c r="K53" i="4"/>
  <c r="I63" i="4"/>
  <c r="J63" i="4" s="1"/>
  <c r="I62" i="4"/>
  <c r="J62" i="4"/>
  <c r="I61" i="4"/>
  <c r="J61" i="4" s="1"/>
  <c r="I60" i="4"/>
  <c r="J60" i="4" s="1"/>
  <c r="I59" i="4"/>
  <c r="J59" i="4" s="1"/>
  <c r="I58" i="4"/>
  <c r="J58" i="4" s="1"/>
  <c r="I57" i="4"/>
  <c r="J57" i="4" s="1"/>
  <c r="I56" i="4"/>
  <c r="J56" i="4" s="1"/>
  <c r="I55" i="4"/>
  <c r="J55" i="4" s="1"/>
  <c r="I54" i="4"/>
  <c r="J54" i="4" s="1"/>
  <c r="I53" i="4"/>
  <c r="J53" i="4" s="1"/>
  <c r="I47" i="4"/>
  <c r="K47" i="4" s="1"/>
  <c r="I46" i="4"/>
  <c r="K46" i="4" s="1"/>
  <c r="I45" i="4"/>
  <c r="J45" i="4" s="1"/>
  <c r="I44" i="4"/>
  <c r="K44" i="4" s="1"/>
  <c r="I43" i="4"/>
  <c r="J43" i="4" s="1"/>
  <c r="I42" i="4"/>
  <c r="K42" i="4" s="1"/>
  <c r="I41" i="4"/>
  <c r="K41" i="4" s="1"/>
  <c r="I40" i="4"/>
  <c r="J40" i="4" s="1"/>
  <c r="I39" i="4"/>
  <c r="J39" i="4" s="1"/>
  <c r="I38" i="4"/>
  <c r="K38" i="4" s="1"/>
  <c r="H52" i="4"/>
  <c r="H64" i="4"/>
  <c r="H48" i="4"/>
  <c r="H22" i="4"/>
  <c r="H32" i="4"/>
  <c r="J26" i="4" s="1"/>
  <c r="H18" i="4"/>
  <c r="J5" i="4"/>
  <c r="J17" i="4"/>
  <c r="K17" i="4"/>
  <c r="J16" i="4"/>
  <c r="K16" i="4" s="1"/>
  <c r="J15" i="4"/>
  <c r="K15" i="4" s="1"/>
  <c r="J14" i="4"/>
  <c r="K14" i="4" s="1"/>
  <c r="J13" i="4"/>
  <c r="K13" i="4" s="1"/>
  <c r="J12" i="4"/>
  <c r="J11" i="4"/>
  <c r="J10" i="4"/>
  <c r="K10" i="4" s="1"/>
  <c r="J9" i="4"/>
  <c r="K9" i="4" s="1"/>
  <c r="J8" i="4"/>
  <c r="K8" i="4" s="1"/>
  <c r="J7" i="4"/>
  <c r="J6" i="4"/>
  <c r="K6" i="4" s="1"/>
  <c r="E15" i="1"/>
  <c r="C11" i="17" s="1"/>
  <c r="E24" i="1"/>
  <c r="H24" i="1" s="1"/>
  <c r="E23" i="1"/>
  <c r="C12" i="17" s="1"/>
  <c r="D2" i="1"/>
  <c r="D7" i="1"/>
  <c r="D5" i="1"/>
  <c r="D10" i="1"/>
  <c r="C45" i="1" s="1"/>
  <c r="D21" i="1"/>
  <c r="D14" i="1"/>
  <c r="D37" i="1"/>
  <c r="S42" i="1"/>
  <c r="D8" i="1"/>
  <c r="D18" i="1"/>
  <c r="B4" i="4"/>
  <c r="B38" i="4" s="1"/>
  <c r="D51" i="1"/>
  <c r="D22" i="1"/>
  <c r="E22" i="1"/>
  <c r="D56" i="1" s="1"/>
  <c r="E17" i="1"/>
  <c r="F17" i="1"/>
  <c r="E16" i="1"/>
  <c r="D55" i="1"/>
  <c r="D57" i="1"/>
  <c r="E20" i="1"/>
  <c r="F72" i="1"/>
  <c r="C30" i="17"/>
  <c r="F64" i="1"/>
  <c r="C24" i="17" s="1"/>
  <c r="F67" i="1"/>
  <c r="F69" i="1"/>
  <c r="C27" i="17"/>
  <c r="B1" i="17"/>
  <c r="D14" i="15"/>
  <c r="C14" i="15"/>
  <c r="B14" i="15"/>
  <c r="D9" i="15"/>
  <c r="B9" i="15"/>
  <c r="D7" i="15"/>
  <c r="E5" i="15"/>
  <c r="E4" i="15"/>
  <c r="E3" i="15"/>
  <c r="E2" i="15"/>
  <c r="E21" i="1"/>
  <c r="F17" i="9"/>
  <c r="D4" i="9"/>
  <c r="C17" i="9"/>
  <c r="B62" i="7"/>
  <c r="A25" i="6"/>
  <c r="B25" i="6"/>
  <c r="E25" i="6" s="1"/>
  <c r="A12" i="6"/>
  <c r="A26" i="6"/>
  <c r="B26" i="6"/>
  <c r="E26" i="6" s="1"/>
  <c r="A13" i="6"/>
  <c r="A14" i="6" s="1"/>
  <c r="A27" i="6"/>
  <c r="B27" i="6"/>
  <c r="B28" i="6"/>
  <c r="B29" i="6"/>
  <c r="B24" i="5"/>
  <c r="G20" i="8"/>
  <c r="G19" i="8"/>
  <c r="B21" i="8"/>
  <c r="C21" i="8"/>
  <c r="D21" i="8"/>
  <c r="E21" i="8"/>
  <c r="F21" i="8"/>
  <c r="B24" i="6"/>
  <c r="D24" i="6"/>
  <c r="C24" i="6"/>
  <c r="B30" i="6"/>
  <c r="B31" i="6"/>
  <c r="B32" i="6"/>
  <c r="B33" i="6"/>
  <c r="B34" i="6"/>
  <c r="D17" i="5"/>
  <c r="D20" i="5"/>
  <c r="B29" i="5"/>
  <c r="A24" i="5"/>
  <c r="A25" i="5"/>
  <c r="B25" i="5"/>
  <c r="A26" i="5"/>
  <c r="B26" i="5"/>
  <c r="A27" i="5"/>
  <c r="B27" i="5"/>
  <c r="A28" i="5"/>
  <c r="B28" i="5"/>
  <c r="A29" i="5"/>
  <c r="D9" i="1"/>
  <c r="F14" i="1"/>
  <c r="D3" i="9"/>
  <c r="C14" i="9"/>
  <c r="C16" i="9"/>
  <c r="D5" i="9"/>
  <c r="F16" i="9"/>
  <c r="D7" i="9"/>
  <c r="F15" i="9" s="1"/>
  <c r="F18" i="9" s="1"/>
  <c r="D8" i="9"/>
  <c r="F13" i="9"/>
  <c r="D2" i="9"/>
  <c r="C13" i="9" s="1"/>
  <c r="F37" i="1"/>
  <c r="E37" i="1"/>
  <c r="E42" i="1"/>
  <c r="D9" i="9"/>
  <c r="F14" i="9" s="1"/>
  <c r="B10" i="17"/>
  <c r="R37" i="1"/>
  <c r="R43" i="1"/>
  <c r="B33" i="7"/>
  <c r="B12" i="4"/>
  <c r="C42" i="1"/>
  <c r="K42" i="1" s="1"/>
  <c r="P37" i="1"/>
  <c r="P47" i="1"/>
  <c r="P39" i="1"/>
  <c r="C25" i="6"/>
  <c r="D25" i="6" s="1"/>
  <c r="N37" i="1"/>
  <c r="P41" i="1"/>
  <c r="N39" i="1"/>
  <c r="G37" i="1"/>
  <c r="G21" i="8"/>
  <c r="D11" i="8"/>
  <c r="D14" i="8"/>
  <c r="D42" i="1"/>
  <c r="L37" i="1"/>
  <c r="J37" i="1"/>
  <c r="H37" i="1"/>
  <c r="D18" i="5"/>
  <c r="C26" i="6"/>
  <c r="R47" i="1"/>
  <c r="R44" i="1"/>
  <c r="N42" i="1"/>
  <c r="N49" i="1"/>
  <c r="Q37" i="1"/>
  <c r="M37" i="1"/>
  <c r="I37" i="1"/>
  <c r="B64" i="7"/>
  <c r="D35" i="1"/>
  <c r="R38" i="1"/>
  <c r="N46" i="1"/>
  <c r="N40" i="1"/>
  <c r="N41" i="1"/>
  <c r="P48" i="1"/>
  <c r="R48" i="1"/>
  <c r="R45" i="1"/>
  <c r="R39" i="1"/>
  <c r="N38" i="1"/>
  <c r="N48" i="1"/>
  <c r="N47" i="1"/>
  <c r="N44" i="1"/>
  <c r="R42" i="1"/>
  <c r="R49" i="1"/>
  <c r="O37" i="1"/>
  <c r="K37" i="1"/>
  <c r="G42" i="1"/>
  <c r="R46" i="1"/>
  <c r="R40" i="1"/>
  <c r="R41" i="1"/>
  <c r="P42" i="1"/>
  <c r="P38" i="1"/>
  <c r="P40" i="1"/>
  <c r="P49" i="1"/>
  <c r="I42" i="1"/>
  <c r="M42" i="1"/>
  <c r="J42" i="1"/>
  <c r="L42" i="1"/>
  <c r="P43" i="1"/>
  <c r="P45" i="1"/>
  <c r="P46" i="1"/>
  <c r="P44" i="1"/>
  <c r="N43" i="1"/>
  <c r="N45" i="1"/>
  <c r="F42" i="1"/>
  <c r="Q49" i="1"/>
  <c r="Q39" i="1"/>
  <c r="Q40" i="1"/>
  <c r="Q41" i="1"/>
  <c r="Q42" i="1"/>
  <c r="Q45" i="1"/>
  <c r="Q46" i="1"/>
  <c r="Q44" i="1"/>
  <c r="Q47" i="1"/>
  <c r="Q43" i="1"/>
  <c r="Q48" i="1"/>
  <c r="Q38" i="1"/>
  <c r="O39" i="1"/>
  <c r="O45" i="1"/>
  <c r="O44" i="1"/>
  <c r="O47" i="1"/>
  <c r="O43" i="1"/>
  <c r="O48" i="1"/>
  <c r="O41" i="1"/>
  <c r="O38" i="1"/>
  <c r="O49" i="1"/>
  <c r="O42" i="1"/>
  <c r="O40" i="1"/>
  <c r="O46" i="1"/>
  <c r="I52" i="4"/>
  <c r="J52" i="4" s="1"/>
  <c r="J44" i="4"/>
  <c r="K52" i="4"/>
  <c r="K39" i="4"/>
  <c r="I36" i="4"/>
  <c r="J36" i="4" s="1"/>
  <c r="I37" i="4"/>
  <c r="K37" i="4" s="1"/>
  <c r="J46" i="4"/>
  <c r="J18" i="4" l="1"/>
  <c r="K7" i="4"/>
  <c r="K26" i="4"/>
  <c r="D3" i="18"/>
  <c r="E27" i="6"/>
  <c r="D26" i="6"/>
  <c r="A15" i="6"/>
  <c r="A28" i="6"/>
  <c r="C27" i="6"/>
  <c r="D27" i="6" s="1"/>
  <c r="F22" i="1"/>
  <c r="J27" i="4"/>
  <c r="K27" i="4" s="1"/>
  <c r="J29" i="4"/>
  <c r="K29" i="4" s="1"/>
  <c r="J24" i="4"/>
  <c r="K24" i="4" s="1"/>
  <c r="J21" i="4"/>
  <c r="K21" i="4" s="1"/>
  <c r="J23" i="4"/>
  <c r="J30" i="4"/>
  <c r="K30" i="4" s="1"/>
  <c r="J22" i="4"/>
  <c r="K22" i="4" s="1"/>
  <c r="K5" i="4"/>
  <c r="K18" i="4" s="1"/>
  <c r="J25" i="4"/>
  <c r="K25" i="4" s="1"/>
  <c r="J31" i="4"/>
  <c r="K31" i="4" s="1"/>
  <c r="J28" i="4"/>
  <c r="K28" i="4" s="1"/>
  <c r="K23" i="4"/>
  <c r="J37" i="4"/>
  <c r="K36" i="4"/>
  <c r="E18" i="1"/>
  <c r="C31" i="4"/>
  <c r="H42" i="1"/>
  <c r="C15" i="17"/>
  <c r="C16" i="17" s="1"/>
  <c r="C17" i="17" s="1"/>
  <c r="K43" i="4"/>
  <c r="J38" i="4"/>
  <c r="K45" i="4"/>
  <c r="K40" i="4"/>
  <c r="J42" i="4"/>
  <c r="J41" i="4"/>
  <c r="J47" i="4"/>
  <c r="J64" i="4"/>
  <c r="K64" i="4" s="1"/>
  <c r="J48" i="4" l="1"/>
  <c r="C28" i="6"/>
  <c r="D28" i="6" s="1"/>
  <c r="E28" i="6"/>
  <c r="A29" i="6"/>
  <c r="A16" i="6"/>
  <c r="K32" i="4"/>
  <c r="B9" i="4" s="1"/>
  <c r="B40" i="7" s="1"/>
  <c r="J32" i="4"/>
  <c r="K48" i="4"/>
  <c r="B7" i="4" s="1"/>
  <c r="F15" i="1"/>
  <c r="F20" i="1"/>
  <c r="B80" i="7" l="1"/>
  <c r="E19" i="1" s="1"/>
  <c r="D54" i="1" s="1"/>
  <c r="D58" i="1" s="1"/>
  <c r="D5" i="18" s="1"/>
  <c r="D19" i="1"/>
  <c r="A30" i="6"/>
  <c r="A17" i="6"/>
  <c r="C29" i="6"/>
  <c r="D29" i="6" s="1"/>
  <c r="E29" i="6"/>
  <c r="C13" i="17"/>
  <c r="C14" i="17" s="1"/>
  <c r="F23" i="1"/>
  <c r="A18" i="6" l="1"/>
  <c r="A31" i="6"/>
  <c r="E30" i="6"/>
  <c r="C30" i="6"/>
  <c r="D30" i="6" s="1"/>
  <c r="C31" i="6" l="1"/>
  <c r="D31" i="6" s="1"/>
  <c r="E31" i="6"/>
  <c r="A19" i="6"/>
  <c r="A32" i="6"/>
  <c r="A33" i="6" l="1"/>
  <c r="A20" i="6"/>
  <c r="A34" i="6" s="1"/>
  <c r="C32" i="6"/>
  <c r="D32" i="6" s="1"/>
  <c r="E32" i="6"/>
  <c r="E34" i="6" l="1"/>
  <c r="C34" i="6"/>
  <c r="D34" i="6" s="1"/>
  <c r="D35" i="6" s="1"/>
  <c r="C33" i="6"/>
  <c r="D33" i="6" s="1"/>
  <c r="E33" i="6"/>
  <c r="E35" i="6" l="1"/>
  <c r="D37" i="6" s="1"/>
  <c r="D39" i="6" l="1"/>
  <c r="D40" i="6"/>
  <c r="D12" i="1"/>
  <c r="B23" i="4" l="1"/>
  <c r="C33" i="4" s="1"/>
  <c r="C38" i="4" s="1"/>
  <c r="B61" i="7"/>
  <c r="F5" i="3"/>
  <c r="F6" i="3"/>
  <c r="D3" i="1"/>
  <c r="C41" i="1" s="1"/>
  <c r="C43" i="1" s="1"/>
  <c r="D4" i="1"/>
  <c r="D6" i="1"/>
  <c r="C44" i="1" s="1"/>
  <c r="D11" i="1"/>
  <c r="D16" i="1"/>
  <c r="F16" i="1" s="1"/>
  <c r="F66" i="1"/>
  <c r="C25" i="17" s="1"/>
  <c r="D9" i="3" l="1"/>
  <c r="B69" i="7"/>
  <c r="D23" i="1" s="1"/>
  <c r="B2" i="18" s="1"/>
  <c r="C46" i="1"/>
  <c r="B70" i="7"/>
  <c r="D11" i="3"/>
  <c r="D13" i="3" s="1"/>
  <c r="D10" i="3"/>
  <c r="C35" i="4"/>
  <c r="E38" i="4"/>
  <c r="C39" i="4" s="1"/>
  <c r="D30" i="1"/>
  <c r="D28" i="1" s="1"/>
  <c r="E20" i="17"/>
  <c r="B40" i="4" l="1"/>
  <c r="B59" i="7"/>
  <c r="D17" i="1" s="1"/>
  <c r="D27" i="1" s="1"/>
  <c r="D34" i="1"/>
  <c r="S45" i="1" s="1"/>
  <c r="B12" i="17"/>
  <c r="B39" i="4"/>
  <c r="D39" i="4"/>
  <c r="B73" i="7"/>
  <c r="D24" i="1"/>
  <c r="B3" i="18" s="1"/>
  <c r="C14" i="5"/>
  <c r="D20" i="1"/>
  <c r="D29" i="1" s="1"/>
  <c r="D31" i="1" s="1"/>
  <c r="B5" i="18" s="1"/>
  <c r="K47" i="1" l="1"/>
  <c r="L47" i="1"/>
  <c r="M47" i="1"/>
  <c r="B13" i="17"/>
  <c r="D47" i="1"/>
  <c r="F47" i="1"/>
  <c r="G47" i="1"/>
  <c r="H47" i="1"/>
  <c r="E47" i="1"/>
  <c r="I47" i="1"/>
  <c r="J47" i="1"/>
  <c r="C24" i="5"/>
  <c r="C30" i="5" s="1"/>
  <c r="C29" i="5"/>
  <c r="C25" i="5"/>
  <c r="C26" i="5"/>
  <c r="C28" i="5"/>
  <c r="C27" i="5"/>
  <c r="B14" i="17"/>
  <c r="G40" i="1"/>
  <c r="D40" i="1"/>
  <c r="B15" i="17"/>
  <c r="B16" i="17" s="1"/>
  <c r="E40" i="1"/>
  <c r="F40" i="1"/>
  <c r="E40" i="4"/>
  <c r="E39" i="4"/>
  <c r="D15" i="1"/>
  <c r="B4" i="18" s="1"/>
  <c r="F35" i="5" l="1"/>
  <c r="F33" i="5"/>
  <c r="F34" i="5" s="1"/>
  <c r="F38" i="1"/>
  <c r="D38" i="1"/>
  <c r="B11" i="17"/>
  <c r="B17" i="17" s="1"/>
  <c r="E38" i="1"/>
  <c r="K38" i="1"/>
  <c r="L38" i="1"/>
  <c r="G38" i="1"/>
  <c r="H38" i="1"/>
  <c r="J38" i="1"/>
  <c r="I38" i="1"/>
  <c r="M38" i="1"/>
  <c r="M48" i="1"/>
  <c r="D48" i="1"/>
  <c r="I48" i="1"/>
  <c r="E48" i="1"/>
  <c r="J48" i="1"/>
  <c r="F48" i="1"/>
  <c r="G48" i="1"/>
  <c r="H48" i="1"/>
  <c r="K48" i="1"/>
  <c r="L48" i="1"/>
  <c r="E39" i="1" l="1"/>
  <c r="I39" i="1"/>
  <c r="F39" i="1"/>
  <c r="H39" i="1"/>
  <c r="G39" i="1"/>
  <c r="G45" i="1" s="1"/>
  <c r="J39" i="1"/>
  <c r="J45" i="1" s="1"/>
  <c r="L39" i="1"/>
  <c r="D41" i="1"/>
  <c r="K39" i="1"/>
  <c r="K45" i="1" s="1"/>
  <c r="M39" i="1"/>
  <c r="M45" i="1" s="1"/>
  <c r="D39" i="1"/>
  <c r="D45" i="1" s="1"/>
  <c r="F45" i="1" l="1"/>
  <c r="H45" i="1"/>
  <c r="D43" i="1"/>
  <c r="E41" i="1"/>
  <c r="L45" i="1"/>
  <c r="I45" i="1"/>
  <c r="E45" i="1"/>
  <c r="E43" i="1" l="1"/>
  <c r="F41" i="1"/>
  <c r="D44" i="1"/>
  <c r="D46" i="1" s="1"/>
  <c r="D49" i="1" s="1"/>
  <c r="F43" i="1" l="1"/>
  <c r="G41" i="1"/>
  <c r="E44" i="1"/>
  <c r="E46" i="1" s="1"/>
  <c r="E49" i="1" s="1"/>
  <c r="H41" i="1" l="1"/>
  <c r="G43" i="1"/>
  <c r="F44" i="1"/>
  <c r="F46" i="1" s="1"/>
  <c r="F49" i="1" s="1"/>
  <c r="I41" i="1" l="1"/>
  <c r="H43" i="1"/>
  <c r="G44" i="1"/>
  <c r="G46" i="1" s="1"/>
  <c r="G49" i="1" s="1"/>
  <c r="I43" i="1" l="1"/>
  <c r="J41" i="1"/>
  <c r="J43" i="1" l="1"/>
  <c r="K41" i="1"/>
  <c r="K43" i="1" l="1"/>
  <c r="L41" i="1"/>
  <c r="L43" i="1" l="1"/>
  <c r="M41" i="1"/>
  <c r="M43" i="1" s="1"/>
  <c r="S43" i="1" l="1"/>
  <c r="S44" i="1" l="1"/>
  <c r="D52" i="1" s="1"/>
  <c r="H40" i="1" l="1"/>
  <c r="H44" i="1" s="1"/>
  <c r="H46" i="1" s="1"/>
  <c r="H49" i="1" s="1"/>
  <c r="K40" i="1"/>
  <c r="K44" i="1" s="1"/>
  <c r="K46" i="1" s="1"/>
  <c r="K49" i="1" s="1"/>
  <c r="I40" i="1"/>
  <c r="I44" i="1" s="1"/>
  <c r="I46" i="1" s="1"/>
  <c r="I49" i="1" s="1"/>
  <c r="J40" i="1"/>
  <c r="J44" i="1" s="1"/>
  <c r="J46" i="1" s="1"/>
  <c r="J49" i="1" s="1"/>
  <c r="L40" i="1"/>
  <c r="L44" i="1" s="1"/>
  <c r="L46" i="1" s="1"/>
  <c r="L49" i="1" s="1"/>
  <c r="M40" i="1"/>
  <c r="M44" i="1" s="1"/>
  <c r="M46" i="1" s="1"/>
  <c r="M49" i="1" s="1"/>
  <c r="S46" i="1"/>
  <c r="D53" i="1" s="1"/>
  <c r="D59" i="1" s="1"/>
  <c r="F61" i="1" l="1"/>
  <c r="C20" i="17" s="1"/>
  <c r="C21" i="17"/>
  <c r="F62" i="1"/>
  <c r="C22" i="17" s="1"/>
  <c r="C23" i="17" l="1"/>
  <c r="E21" i="17" s="1"/>
  <c r="F63" i="1"/>
  <c r="F65" i="1" s="1"/>
  <c r="F68" i="1" s="1"/>
  <c r="F70" i="1" s="1"/>
  <c r="F71" i="1" s="1"/>
  <c r="C26" i="17" l="1"/>
  <c r="C28" i="17" s="1"/>
  <c r="C29" i="17"/>
  <c r="C31" i="17" s="1"/>
  <c r="F73" i="1"/>
  <c r="F21" i="17"/>
  <c r="F20" i="17"/>
  <c r="C15" i="9" l="1"/>
  <c r="B20" i="9"/>
  <c r="B21" i="9"/>
  <c r="B23" i="9"/>
  <c r="B24" i="9"/>
  <c r="C26" i="9"/>
  <c r="D2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6" authorId="0" shapeId="0" xr:uid="{00000000-0006-0000-0100-00000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7" authorId="0" shapeId="0" xr:uid="{E7C57F95-1C87-1747-9B2C-2090DD619E13}">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8" authorId="0" shapeId="0" xr:uid="{AC94100B-FC10-DF44-94ED-F97B352D2723}">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12" authorId="0" shapeId="0" xr:uid="{00000000-0006-0000-0100-00000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current EBIT for the firm. If your current EBIT is negative, you will have to normalize EBIT or use the hgrowth.xls spreadsheet/</t>
        </r>
      </text>
    </comment>
    <comment ref="B13" authorId="0" shapeId="0" xr:uid="{00000000-0006-0000-0100-00000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total interest expenses, corresponding to the dollar debt that you enter below.</t>
        </r>
      </text>
    </comment>
    <comment ref="B14" authorId="0" shapeId="0" xr:uid="{00000000-0006-0000-0100-00000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current capital expenditures, including acquisitions made. You might want to normalize this, if it is volatile. If you company grows through acquisitions, include the cost of the acquisitions in this number.</t>
        </r>
      </text>
    </comment>
    <comment ref="B15" authorId="0" shapeId="0" xr:uid="{00000000-0006-0000-0100-00000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aggreate depreciation and amortization claimed by the firm.</t>
        </r>
      </text>
    </comment>
    <comment ref="B17" authorId="0" shapeId="0" xr:uid="{00000000-0006-0000-0100-00000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effective tax rate if it is greater than 35%, or 35% if the effective tax rate is lower.</t>
        </r>
      </text>
    </comment>
    <comment ref="B18" authorId="0" shapeId="0" xr:uid="{00000000-0006-0000-0100-000009000000}">
      <text>
        <r>
          <rPr>
            <b/>
            <sz val="9"/>
            <color indexed="8"/>
            <rFont val="Geneva"/>
            <family val="2"/>
            <charset val="1"/>
          </rPr>
          <t>Aswath Damodaran:</t>
        </r>
        <r>
          <rPr>
            <sz val="9"/>
            <color indexed="8"/>
            <rFont val="Geneva"/>
            <family val="2"/>
            <charset val="1"/>
          </rPr>
          <t xml:space="preserve">
</t>
        </r>
        <r>
          <rPr>
            <sz val="9"/>
            <color indexed="8"/>
            <rFont val="Geneva"/>
            <family val="2"/>
            <charset val="1"/>
          </rPr>
          <t>Enter aggregate revenues during the year.</t>
        </r>
      </text>
    </comment>
    <comment ref="B19" authorId="0" shapeId="0" xr:uid="{00000000-0006-0000-0100-00000A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Non-cash WC = Difference between non-cash current assets and non-debt current liabilities. Use your judgment when it comes to items such as deferred taxes or expenses. </t>
        </r>
      </text>
    </comment>
    <comment ref="B20" authorId="0" shapeId="0" xr:uid="{00000000-0006-0000-0100-00000B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change in non-cash working capital from last year to this year.</t>
        </r>
      </text>
    </comment>
    <comment ref="B21" authorId="0" shapeId="0" xr:uid="{00000000-0006-0000-0100-00000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total interest-bearing debt. This should include both short term and long term debt. If you have convertible debt, enter only debt portion here. (The rest has to go into equity) Don’t include leases. </t>
        </r>
      </text>
    </comment>
    <comment ref="C21" authorId="0" shapeId="0" xr:uid="{00000000-0006-0000-0100-00000D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 use the book value of debt from the end of last year to compute return on capital.</t>
        </r>
      </text>
    </comment>
    <comment ref="B22" authorId="0" shapeId="0" xr:uid="{00000000-0006-0000-0100-00000E000000}">
      <text>
        <r>
          <rPr>
            <b/>
            <sz val="9"/>
            <color indexed="81"/>
            <rFont val="Geneva"/>
            <family val="2"/>
            <charset val="1"/>
          </rPr>
          <t>Aswath Damodaran:</t>
        </r>
        <r>
          <rPr>
            <sz val="9"/>
            <color indexed="81"/>
            <rFont val="Geneva"/>
            <family val="2"/>
            <charset val="1"/>
          </rPr>
          <t xml:space="preserve">
Enter the total shareholders equity or book value of equity. If you have multiple classes of shares, include th ebook equity of all of them..</t>
        </r>
      </text>
    </comment>
    <comment ref="C22" authorId="0" shapeId="0" xr:uid="{00000000-0006-0000-0100-00000F000000}">
      <text>
        <r>
          <rPr>
            <b/>
            <sz val="9"/>
            <color indexed="81"/>
            <rFont val="Geneva"/>
            <family val="2"/>
            <charset val="1"/>
          </rPr>
          <t>Aswath Damodaran:</t>
        </r>
        <r>
          <rPr>
            <sz val="9"/>
            <color indexed="81"/>
            <rFont val="Geneva"/>
            <family val="2"/>
            <charset val="1"/>
          </rPr>
          <t xml:space="preserve">
I use book value of equity from end of previous year to compute return on equity.</t>
        </r>
      </text>
    </comment>
    <comment ref="B24" authorId="0" shapeId="0" xr:uid="{00000000-0006-0000-0100-00001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current value of cash and marketable securites</t>
        </r>
      </text>
    </comment>
    <comment ref="B25" authorId="0" shapeId="0" xr:uid="{00000000-0006-0000-0100-00001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estimated market value of any other non-operating assets, including minority holdings in subsidiaries. Do not iuse this as a catch-all for other assets on the balance sheet. If you do, you risk double counting assets that are already generating cash flows. For most US companies, this number shoudl be zero. For companies that are peices of large holding groups, it can be a significant number.</t>
        </r>
      </text>
    </comment>
    <comment ref="B26" authorId="0" shapeId="0" xr:uid="{00000000-0006-0000-0100-000012000000}">
      <text>
        <r>
          <rPr>
            <b/>
            <sz val="9"/>
            <color indexed="8"/>
            <rFont val="Geneva"/>
            <family val="2"/>
            <charset val="1"/>
          </rPr>
          <t>Aswath Damodaran:</t>
        </r>
        <r>
          <rPr>
            <sz val="9"/>
            <color indexed="8"/>
            <rFont val="Geneva"/>
            <family val="2"/>
            <charset val="1"/>
          </rPr>
          <t xml:space="preserve">
</t>
        </r>
        <r>
          <rPr>
            <sz val="9"/>
            <color indexed="8"/>
            <rFont val="Geneva"/>
            <family val="2"/>
            <charset val="1"/>
          </rPr>
          <t>If you have consolidated a subsidiary that you don't own 100% of, this item should show up as a liability. If possible, estimate the market value of this item.</t>
        </r>
      </text>
    </comment>
    <comment ref="B29" authorId="0" shapeId="0" xr:uid="{AD22C9D1-292D-D745-879E-7806FDA6EE1A}">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31" authorId="0" shapeId="0" xr:uid="{00000000-0006-0000-0100-00001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current market price. If this is a private firm, leave blank.</t>
        </r>
      </text>
    </comment>
    <comment ref="B32" authorId="0" shapeId="0" xr:uid="{00000000-0006-0000-0100-00001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primary number of shares outstanding. If you have more than one class of shares, count all classes of shares in this count (and make sure it is in the smame units as your other inputs; if in millions, enter this as millions too...)</t>
        </r>
      </text>
    </comment>
    <comment ref="B33" authorId="0" shapeId="0" xr:uid="{00000000-0006-0000-0100-00001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can estimate the market value of the debt (not including operating leases), input the number here. If not, re-enter the book value from above.</t>
        </r>
      </text>
    </comment>
    <comment ref="B35" authorId="0" shapeId="0" xr:uid="{7254C17C-4A60-BF4A-B227-F65A5F0D5554}">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36" authorId="0" shapeId="0" xr:uid="{00000000-0006-0000-0100-000018000000}">
      <text>
        <r>
          <rPr>
            <b/>
            <sz val="9"/>
            <color indexed="81"/>
            <rFont val="Geneva"/>
            <family val="2"/>
            <charset val="1"/>
          </rPr>
          <t>Aswath Damodaran:</t>
        </r>
        <r>
          <rPr>
            <sz val="9"/>
            <color indexed="81"/>
            <rFont val="Geneva"/>
            <family val="2"/>
            <charset val="1"/>
          </rPr>
          <t xml:space="preserve">
For a private firm, you can try using the industry average debt ratio to compute cost of capital.</t>
        </r>
      </text>
    </comment>
    <comment ref="B39" authorId="0" shapeId="0" xr:uid="{00000000-0006-0000-0100-00001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risk free rate in the same currency that your cash flows are in. While you may start with a long term government bond rate in that currency, you may have to adjust it to make it risk free.</t>
        </r>
      </text>
    </comment>
    <comment ref="B40" authorId="0" shapeId="0" xr:uid="{00000000-0006-0000-0100-00001A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risk premium for equities over riskfree investments. You can use an implied or historical premium. If you have an emerging market company, add the country risk premium to the mature market premium to get to the equity risk premium.
</t>
        </r>
        <r>
          <rPr>
            <sz val="9"/>
            <color rgb="FF000000"/>
            <rFont val="Geneva"/>
            <family val="2"/>
            <charset val="1"/>
          </rPr>
          <t>If your company operates in multiple markets, you should try the Cost of capital worksheet to get your equity risk premium.</t>
        </r>
      </text>
    </comment>
    <comment ref="B43" authorId="0" shapeId="0" xr:uid="{C902B868-7DB1-0F42-B3CE-E62970EEB2B7}">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44" authorId="0" shapeId="0" xr:uid="{00000000-0006-0000-0100-00001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1: Large or stable firm
</t>
        </r>
        <r>
          <rPr>
            <sz val="9"/>
            <color rgb="FF000000"/>
            <rFont val="Geneva"/>
            <family val="2"/>
            <charset val="1"/>
          </rPr>
          <t xml:space="preserve">2. Small or risky firm
</t>
        </r>
        <r>
          <rPr>
            <sz val="9"/>
            <color rgb="FF000000"/>
            <rFont val="Geneva"/>
            <family val="2"/>
            <charset val="1"/>
          </rPr>
          <t>3: Financial Service firm</t>
        </r>
      </text>
    </comment>
    <comment ref="B45" authorId="0" shapeId="0" xr:uid="{00000000-0006-0000-0100-00001D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the current S&amp;P rating for the firm.</t>
        </r>
      </text>
    </comment>
    <comment ref="B46" authorId="0" shapeId="0" xr:uid="{00000000-0006-0000-0100-00001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the current pre-tax cost of debt based upon the rating.</t>
        </r>
      </text>
    </comment>
    <comment ref="B49" authorId="0" shapeId="0" xr:uid="{00000000-0006-0000-0100-00001F000000}">
      <text>
        <r>
          <rPr>
            <b/>
            <sz val="9"/>
            <color indexed="8"/>
            <rFont val="Geneva"/>
            <family val="2"/>
            <charset val="1"/>
          </rPr>
          <t>Aswath Damodaran:</t>
        </r>
        <r>
          <rPr>
            <sz val="9"/>
            <color indexed="8"/>
            <rFont val="Geneva"/>
            <family val="2"/>
            <charset val="1"/>
          </rPr>
          <t xml:space="preserve">
</t>
        </r>
        <r>
          <rPr>
            <sz val="9"/>
            <color indexed="8"/>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50" authorId="0" shapeId="0" xr:uid="{00000000-0006-0000-0100-000020000000}">
      <text>
        <r>
          <rPr>
            <b/>
            <sz val="9"/>
            <color indexed="8"/>
            <rFont val="Geneva"/>
            <family val="2"/>
            <charset val="1"/>
          </rPr>
          <t>Aswath Damodaran:</t>
        </r>
        <r>
          <rPr>
            <sz val="9"/>
            <color indexed="8"/>
            <rFont val="Geneva"/>
            <family val="2"/>
            <charset val="1"/>
          </rPr>
          <t xml:space="preserve">
</t>
        </r>
        <r>
          <rPr>
            <sz val="9"/>
            <color indexed="8"/>
            <rFont val="Geneva"/>
            <family val="2"/>
            <charset val="1"/>
          </rPr>
          <t>Enter the number of shares that these options are entitled to.</t>
        </r>
      </text>
    </comment>
    <comment ref="B51" authorId="0" shapeId="0" xr:uid="{00000000-0006-0000-0100-000021000000}">
      <text>
        <r>
          <rPr>
            <b/>
            <sz val="9"/>
            <color indexed="81"/>
            <rFont val="Geneva"/>
            <family val="2"/>
            <charset val="1"/>
          </rPr>
          <t>Aswath Damodaran:</t>
        </r>
        <r>
          <rPr>
            <sz val="9"/>
            <color indexed="81"/>
            <rFont val="Geneva"/>
            <family val="2"/>
            <charset val="1"/>
          </rPr>
          <t xml:space="preserve">
Enter the weighted (by number of options) exercise price on options.</t>
        </r>
      </text>
    </comment>
    <comment ref="B52" authorId="0" shapeId="0" xr:uid="{00000000-0006-0000-0100-000022000000}">
      <text>
        <r>
          <rPr>
            <b/>
            <sz val="9"/>
            <color indexed="8"/>
            <rFont val="Geneva"/>
            <family val="2"/>
            <charset val="1"/>
          </rPr>
          <t>Aswath Damodaran:</t>
        </r>
        <r>
          <rPr>
            <sz val="9"/>
            <color indexed="8"/>
            <rFont val="Geneva"/>
            <family val="2"/>
            <charset val="1"/>
          </rPr>
          <t xml:space="preserve">
</t>
        </r>
        <r>
          <rPr>
            <sz val="9"/>
            <color indexed="8"/>
            <rFont val="Geneva"/>
            <family val="2"/>
            <charset val="1"/>
          </rPr>
          <t>Enter the weighted (by number of options) maturity of the options</t>
        </r>
      </text>
    </comment>
    <comment ref="B53" authorId="0" shapeId="0" xr:uid="{00000000-0006-0000-0100-000023000000}">
      <text>
        <r>
          <rPr>
            <b/>
            <sz val="9"/>
            <color indexed="81"/>
            <rFont val="Geneva"/>
            <family val="2"/>
            <charset val="1"/>
          </rPr>
          <t>Aswath Damodaran:</t>
        </r>
        <r>
          <rPr>
            <sz val="9"/>
            <color indexed="81"/>
            <rFont val="Geneva"/>
            <family val="2"/>
            <charset val="1"/>
          </rPr>
          <t xml:space="preserve">
Enter the standard deviation in the stock price. The industry average standard deviation is in the industry average worksheet.</t>
        </r>
      </text>
    </comment>
    <comment ref="B54" authorId="0" shapeId="0" xr:uid="{00000000-0006-0000-0100-000024000000}">
      <text>
        <r>
          <rPr>
            <b/>
            <sz val="9"/>
            <color indexed="81"/>
            <rFont val="Geneva"/>
            <family val="2"/>
            <charset val="1"/>
          </rPr>
          <t>Aswath Damodaran:</t>
        </r>
        <r>
          <rPr>
            <sz val="9"/>
            <color indexed="81"/>
            <rFont val="Geneva"/>
            <family val="2"/>
            <charset val="1"/>
          </rPr>
          <t xml:space="preserve">
This is to value your option. It is generally safer to leave this at the "Current Price". If you want the options to be valued using your estimate of value per share, you should use "Estimated value". </t>
        </r>
      </text>
    </comment>
    <comment ref="B58" authorId="0" shapeId="0" xr:uid="{00000000-0006-0000-0100-000025000000}">
      <text>
        <r>
          <rPr>
            <b/>
            <sz val="9"/>
            <color indexed="8"/>
            <rFont val="Geneva"/>
            <family val="2"/>
            <charset val="1"/>
          </rPr>
          <t>Aswath Damodaran:</t>
        </r>
        <r>
          <rPr>
            <sz val="9"/>
            <color indexed="8"/>
            <rFont val="Geneva"/>
            <family val="2"/>
            <charset val="1"/>
          </rPr>
          <t xml:space="preserve">
</t>
        </r>
        <r>
          <rPr>
            <sz val="9"/>
            <color indexed="8"/>
            <rFont val="Geneva"/>
            <family val="2"/>
            <charset val="1"/>
          </rPr>
          <t>Enter the length of period for which your firm will be able to grow at a rate higher than the economy. (Restricted to 15 years)</t>
        </r>
      </text>
    </comment>
    <comment ref="B59" authorId="0" shapeId="0" xr:uid="{00000000-0006-0000-0100-000026000000}">
      <text>
        <r>
          <rPr>
            <b/>
            <sz val="9"/>
            <color rgb="FF000000"/>
            <rFont val="Geneva"/>
            <family val="2"/>
            <charset val="1"/>
          </rPr>
          <t xml:space="preserve">Aswath Damodaran:
</t>
        </r>
        <r>
          <rPr>
            <sz val="9"/>
            <color rgb="FF000000"/>
            <rFont val="Geneva"/>
            <family val="2"/>
            <charset val="1"/>
          </rPr>
          <t>Enter the current beta for the firm. Use the bottom-up beta, if you can get it. For a private firm, use bottom-up beta. If you want to use my industry average betas and your company is in multiple businesses, try the Cost of capital worksheet.</t>
        </r>
      </text>
    </comment>
    <comment ref="B60" authorId="0" shapeId="0" xr:uid="{050B7E20-7E3B-E944-B6B6-CE07AB0BE525}">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62" authorId="0" shapeId="0" xr:uid="{00000000-0006-0000-0100-000028000000}">
      <text>
        <r>
          <rPr>
            <b/>
            <sz val="9"/>
            <color indexed="8"/>
            <rFont val="Geneva"/>
            <family val="2"/>
            <charset val="1"/>
          </rPr>
          <t>Aswath Damodaran:</t>
        </r>
        <r>
          <rPr>
            <sz val="9"/>
            <color indexed="8"/>
            <rFont val="Geneva"/>
            <family val="2"/>
            <charset val="1"/>
          </rPr>
          <t xml:space="preserve">
</t>
        </r>
        <r>
          <rPr>
            <sz val="9"/>
            <color indexed="8"/>
            <rFont val="Geneva"/>
            <family val="2"/>
            <charset val="1"/>
          </rPr>
          <t>If you want to immediately change the debt ratio, enter the number you want to move to here.</t>
        </r>
      </text>
    </comment>
    <comment ref="B63" authorId="0" shapeId="0" xr:uid="{38048058-3DDB-4D44-962E-2C4BB977F11A}">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66" authorId="0" shapeId="0" xr:uid="{00000000-0006-0000-0100-00002A000000}">
      <text>
        <r>
          <rPr>
            <b/>
            <sz val="9"/>
            <color indexed="8"/>
            <rFont val="Geneva"/>
            <family val="2"/>
            <charset val="1"/>
          </rPr>
          <t>Aswath Damodaran:</t>
        </r>
        <r>
          <rPr>
            <sz val="9"/>
            <color indexed="8"/>
            <rFont val="Geneva"/>
            <family val="2"/>
            <charset val="1"/>
          </rPr>
          <t xml:space="preserve">
</t>
        </r>
        <r>
          <rPr>
            <sz val="9"/>
            <color indexed="8"/>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67" authorId="0" shapeId="0" xr:uid="{00000000-0006-0000-0100-00002B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can be an external estimate of growth (from analysts) or a historical growth rate in earnings.</t>
        </r>
      </text>
    </comment>
    <comment ref="B69" authorId="0" shapeId="0" xr:uid="{00000000-0006-0000-0100-00002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DO NOT INPUT. This is estimated using your inputs from above.</t>
        </r>
      </text>
    </comment>
    <comment ref="B70" authorId="0" shapeId="0" xr:uid="{00000000-0006-0000-0100-00002D000000}">
      <text>
        <r>
          <rPr>
            <b/>
            <sz val="9"/>
            <color indexed="81"/>
            <rFont val="Geneva"/>
            <family val="2"/>
            <charset val="1"/>
          </rPr>
          <t>Aswath Damodaran:</t>
        </r>
        <r>
          <rPr>
            <sz val="9"/>
            <color indexed="81"/>
            <rFont val="Geneva"/>
            <family val="2"/>
            <charset val="1"/>
          </rPr>
          <t xml:space="preserve">
DO NOT INPUT. This is based upon your inputs above.</t>
        </r>
      </text>
    </comment>
    <comment ref="B71" authorId="0" shapeId="0" xr:uid="{3D7E256C-E0BA-8841-A92F-9B9E7773A371}">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72" authorId="0" shapeId="0" xr:uid="{00000000-0006-0000-0100-00002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do not believe that your firm's return on capital is good estimate of what you will make on future investments, override that number with your own estimate.</t>
        </r>
      </text>
    </comment>
    <comment ref="B73" authorId="0" shapeId="0" xr:uid="{00000000-0006-0000-0100-000030000000}">
      <text>
        <r>
          <rPr>
            <b/>
            <sz val="9"/>
            <color indexed="81"/>
            <rFont val="Geneva"/>
            <family val="2"/>
            <charset val="1"/>
          </rPr>
          <t>Aswath Damodaran:</t>
        </r>
        <r>
          <rPr>
            <sz val="9"/>
            <color indexed="81"/>
            <rFont val="Geneva"/>
            <family val="2"/>
            <charset val="1"/>
          </rPr>
          <t xml:space="preserve">
If youe computed reinvestment rate is negative or an unrealistic number, you can override it. (Look at the industry average and your own company's history)</t>
        </r>
      </text>
    </comment>
    <comment ref="B75" authorId="0" shapeId="0" xr:uid="{36B6DE83-61E5-DE41-9E08-D943364BC1EA}">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78" authorId="0" shapeId="0" xr:uid="{00000000-0006-0000-0100-00003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a growth rate that is sustainable forever. It should be less than or equal to the growth rate of the economy (defined in real or nominal terms). The risk free rate is a good proxy for the growth rate in the economy.</t>
        </r>
      </text>
    </comment>
    <comment ref="B79" authorId="0" shapeId="0" xr:uid="{00000000-0006-0000-0100-000033000000}">
      <text>
        <r>
          <rPr>
            <b/>
            <sz val="9"/>
            <color indexed="81"/>
            <rFont val="Geneva"/>
            <family val="2"/>
            <charset val="1"/>
          </rPr>
          <t>Aswath Damodaran:</t>
        </r>
        <r>
          <rPr>
            <sz val="9"/>
            <color indexed="81"/>
            <rFont val="Geneva"/>
            <family val="2"/>
            <charset val="1"/>
          </rPr>
          <t xml:space="preserve">
In stable growth, this number should be between 0.8 and 1.2. If you have a high beta firm, move it down to 1.2. If you have a low beta firm move to 0.8. (I have set up an if statement to do this, but override it, at your discretion.)</t>
        </r>
      </text>
    </comment>
    <comment ref="B80" authorId="0" shapeId="0" xr:uid="{00000000-0006-0000-0100-000034000000}">
      <text>
        <r>
          <rPr>
            <b/>
            <sz val="9"/>
            <color indexed="81"/>
            <rFont val="Geneva"/>
            <family val="2"/>
            <charset val="1"/>
          </rPr>
          <t>Aswath Damodaran:</t>
        </r>
        <r>
          <rPr>
            <sz val="9"/>
            <color indexed="81"/>
            <rFont val="Geneva"/>
            <family val="2"/>
            <charset val="1"/>
          </rPr>
          <t xml:space="preserve">
I have set it equal to your high growth input. You can override it and reset it.</t>
        </r>
      </text>
    </comment>
    <comment ref="B81" authorId="0" shapeId="0" xr:uid="{00000000-0006-0000-0100-00003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 have set it equal to your high growth input. You can override it and reset it.</t>
        </r>
      </text>
    </comment>
    <comment ref="B82" authorId="0" shapeId="0" xr:uid="{00000000-0006-0000-0100-00003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 have set it equal to your high growth input. You can override it and reset it.</t>
        </r>
      </text>
    </comment>
    <comment ref="B83" authorId="0" shapeId="0" xr:uid="{00000000-0006-0000-0100-00003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 have set it equal to your high growth input. You can override it and reset it.</t>
        </r>
      </text>
    </comment>
    <comment ref="B85" authorId="0" shapeId="0" xr:uid="{FEB92D76-AC30-6D43-B261-E1CAEC937D62}">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86" authorId="0" shapeId="0" xr:uid="{00000000-0006-0000-0100-000039000000}">
      <text>
        <r>
          <rPr>
            <b/>
            <sz val="9"/>
            <color indexed="81"/>
            <rFont val="Geneva"/>
            <family val="2"/>
            <charset val="1"/>
          </rPr>
          <t>Aswath Damodaran:</t>
        </r>
        <r>
          <rPr>
            <sz val="9"/>
            <color indexed="81"/>
            <rFont val="Geneva"/>
            <family val="2"/>
            <charset val="1"/>
          </rPr>
          <t xml:space="preserve">
Enter one of the following:
1. Firm's current ROC, if those returns are sustainable in the long term.,
2. Industry average ROC, if you expect firm to approach industry norms
3. Firm's own cost on capital, if competition will drive out excess returns.
As a default, I have set it equal to the return on capital during the high growth period, but you can override it.</t>
        </r>
      </text>
    </comment>
    <comment ref="B87" authorId="0" shapeId="0" xr:uid="{00000000-0006-0000-0100-00003A000000}">
      <text>
        <r>
          <rPr>
            <b/>
            <sz val="9"/>
            <color indexed="81"/>
            <rFont val="Geneva"/>
            <family val="2"/>
            <charset val="1"/>
          </rPr>
          <t>Aswath Damodaran:</t>
        </r>
        <r>
          <rPr>
            <sz val="9"/>
            <color indexed="81"/>
            <rFont val="Geneva"/>
            <family val="2"/>
            <charset val="1"/>
          </rPr>
          <t xml:space="preserve">
Enter the industry average cap ex/depreciation ratio. Do not set below 100%. That will make your net cap ex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2" authorId="0" shapeId="0" xr:uid="{00000000-0006-0000-0300-000001000000}">
      <text>
        <r>
          <rPr>
            <b/>
            <sz val="9"/>
            <color indexed="81"/>
            <rFont val="Geneva"/>
            <family val="2"/>
            <charset val="1"/>
          </rPr>
          <t>Aswath Damodaran:</t>
        </r>
        <r>
          <rPr>
            <sz val="9"/>
            <color indexed="81"/>
            <rFont val="Geneva"/>
            <family val="2"/>
            <charset val="1"/>
          </rPr>
          <t xml:space="preserve">
1: Historical average earnings
2: Historical average ROC
3. Sector average margin</t>
        </r>
      </text>
    </comment>
    <comment ref="D5" authorId="0" shapeId="0" xr:uid="{00000000-0006-0000-0300-000002000000}">
      <text>
        <r>
          <rPr>
            <b/>
            <sz val="9"/>
            <color indexed="81"/>
            <rFont val="Geneva"/>
            <family val="2"/>
            <charset val="1"/>
          </rPr>
          <t>Aswath Damodaran:</t>
        </r>
        <r>
          <rPr>
            <sz val="9"/>
            <color indexed="81"/>
            <rFont val="Geneva"/>
            <family val="2"/>
            <charset val="1"/>
          </rPr>
          <t xml:space="preserve">
Enter the average EBIT over the historical period chosen (eg. Last 5 years)</t>
        </r>
      </text>
    </comment>
    <comment ref="D8" authorId="0" shapeId="0" xr:uid="{00000000-0006-0000-0300-000003000000}">
      <text>
        <r>
          <rPr>
            <b/>
            <sz val="9"/>
            <color indexed="81"/>
            <rFont val="Geneva"/>
            <family val="2"/>
            <charset val="1"/>
          </rPr>
          <t>Aswath Damodaran:</t>
        </r>
        <r>
          <rPr>
            <sz val="9"/>
            <color indexed="81"/>
            <rFont val="Geneva"/>
            <family val="2"/>
            <charset val="1"/>
          </rPr>
          <t xml:space="preserve">
Use the average pre-tax return on capital over the historical period. (EBIT/BV of Capital)</t>
        </r>
      </text>
    </comment>
    <comment ref="D11" authorId="0" shapeId="0" xr:uid="{00000000-0006-0000-0300-000004000000}">
      <text>
        <r>
          <rPr>
            <b/>
            <sz val="9"/>
            <color indexed="81"/>
            <rFont val="Geneva"/>
            <family val="2"/>
            <charset val="1"/>
          </rPr>
          <t>Aswath Damodaran:</t>
        </r>
        <r>
          <rPr>
            <sz val="9"/>
            <color indexed="81"/>
            <rFont val="Geneva"/>
            <family val="2"/>
            <charset val="1"/>
          </rPr>
          <t xml:space="preserve">
Look at the attached industry average worksheet.</t>
        </r>
      </text>
    </comment>
    <comment ref="D14" authorId="0" shapeId="0" xr:uid="{00000000-0006-0000-0300-000005000000}">
      <text>
        <r>
          <rPr>
            <b/>
            <sz val="9"/>
            <color indexed="81"/>
            <rFont val="Geneva"/>
            <family val="2"/>
            <charset val="1"/>
          </rPr>
          <t>Aswath Damodaran:</t>
        </r>
        <r>
          <rPr>
            <sz val="9"/>
            <color indexed="81"/>
            <rFont val="Geneva"/>
            <family val="2"/>
            <charset val="1"/>
          </rPr>
          <t xml:space="preserve">
DO NOT INPUT. This is being calculated based upon your inputs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400-000001000000}">
      <text>
        <r>
          <rPr>
            <b/>
            <sz val="9"/>
            <color indexed="81"/>
            <rFont val="Geneva"/>
            <family val="2"/>
            <charset val="1"/>
          </rPr>
          <t>Aswath Damodaran:</t>
        </r>
        <r>
          <rPr>
            <sz val="9"/>
            <color indexed="81"/>
            <rFont val="Geneva"/>
            <family val="2"/>
            <charset val="1"/>
          </rPr>
          <t xml:space="preserve">
By expensing R&amp;D rather than capitalizing it, the firm gets a tax benefit. This is the dollar value of that tax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7" authorId="0" shapeId="0" xr:uid="{00000000-0006-0000-0800-00000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Use a sector average beta, if need be.</t>
        </r>
      </text>
    </comment>
    <comment ref="B9" authorId="0" shapeId="0" xr:uid="{00000000-0006-0000-08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your company has risk exposure in emergiing markets, incorporate that risk premiums here. See worksheet on country risk premiums.</t>
        </r>
      </text>
    </comment>
    <comment ref="B13" authorId="0" shapeId="0" xr:uid="{00000000-0006-0000-0800-000003000000}">
      <text>
        <r>
          <rPr>
            <b/>
            <sz val="9"/>
            <color indexed="8"/>
            <rFont val="Geneva"/>
            <family val="2"/>
            <charset val="1"/>
          </rPr>
          <t>Aswath Damodaran:</t>
        </r>
        <r>
          <rPr>
            <sz val="9"/>
            <color indexed="8"/>
            <rFont val="Geneva"/>
            <family val="2"/>
            <charset val="1"/>
          </rPr>
          <t xml:space="preserve">
</t>
        </r>
        <r>
          <rPr>
            <sz val="9"/>
            <color indexed="8"/>
            <rFont val="Geneva"/>
            <family val="2"/>
            <charset val="1"/>
          </rPr>
          <t>Interest expense (gross) from most recent financial statement.</t>
        </r>
      </text>
    </comment>
    <comment ref="B14" authorId="0" shapeId="0" xr:uid="{00000000-0006-0000-0800-00000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Generally found in footnotes to financial statements.</t>
        </r>
      </text>
    </comment>
    <comment ref="B15" authorId="0" shapeId="0" xr:uid="{00000000-0006-0000-0800-00000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Current, long term cost of borrowing money. If you have a rating use it, if not use a synthetic rating.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5" authorId="0" shapeId="0" xr:uid="{00000000-0006-0000-0900-000001000000}">
      <text>
        <r>
          <rPr>
            <b/>
            <sz val="9"/>
            <color indexed="8"/>
            <rFont val="Geneva"/>
            <family val="2"/>
            <charset val="1"/>
          </rPr>
          <t>Aswath Damodaran:</t>
        </r>
        <r>
          <rPr>
            <sz val="9"/>
            <color indexed="8"/>
            <rFont val="Geneva"/>
            <family val="2"/>
            <charset val="1"/>
          </rPr>
          <t xml:space="preserve">
</t>
        </r>
        <r>
          <rPr>
            <sz val="9"/>
            <color indexed="8"/>
            <rFont val="Geneva"/>
            <family val="2"/>
            <charset val="1"/>
          </rPr>
          <t xml:space="preserve">If your most recent year's operating income is unusually low or high, you can use the average operating income from the last few years. </t>
        </r>
      </text>
    </comment>
    <comment ref="F6" authorId="0" shapeId="0" xr:uid="{00000000-0006-0000-0900-000002000000}">
      <text>
        <r>
          <rPr>
            <b/>
            <sz val="9"/>
            <color indexed="8"/>
            <rFont val="Geneva"/>
            <family val="2"/>
            <charset val="1"/>
          </rPr>
          <t>Aswath Damodaran:</t>
        </r>
        <r>
          <rPr>
            <sz val="9"/>
            <color indexed="8"/>
            <rFont val="Geneva"/>
            <family val="2"/>
            <charset val="1"/>
          </rPr>
          <t xml:space="preserve">
</t>
        </r>
        <r>
          <rPr>
            <sz val="9"/>
            <color indexed="8"/>
            <rFont val="Geneva"/>
            <family val="2"/>
            <charset val="1"/>
          </rPr>
          <t>Enter the interest expense from the most recent income statement.</t>
        </r>
      </text>
    </comment>
    <comment ref="F7" authorId="0" shapeId="0" xr:uid="{00000000-0006-0000-0900-000003000000}">
      <text>
        <r>
          <rPr>
            <b/>
            <sz val="9"/>
            <color indexed="81"/>
            <rFont val="Geneva"/>
            <family val="2"/>
            <charset val="1"/>
          </rPr>
          <t>Aswath Damodaran:</t>
        </r>
        <r>
          <rPr>
            <sz val="9"/>
            <color indexed="81"/>
            <rFont val="Geneva"/>
            <family val="2"/>
            <charset val="1"/>
          </rPr>
          <t xml:space="preserve">
I use a 10 year government bond rate.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00000000-0006-0000-0C00-000001000000}">
      <text>
        <r>
          <rPr>
            <b/>
            <sz val="10"/>
            <color rgb="FF000000"/>
            <rFont val="Tahoma"/>
            <family val="2"/>
          </rPr>
          <t>Microsoft Office User:</t>
        </r>
        <r>
          <rPr>
            <sz val="10"/>
            <color rgb="FF000000"/>
            <rFont val="Tahoma"/>
            <family val="2"/>
          </rPr>
          <t xml:space="preserve">
</t>
        </r>
        <r>
          <rPr>
            <sz val="10"/>
            <color rgb="FF000000"/>
            <rFont val="Tahoma"/>
            <family val="2"/>
          </rPr>
          <t>This is the estimate for the ERP for a mature market, that then updates all of the ERP for other countries by adding the CRP to it. I update the ERP for the S&amp;P 500 at the start of every month on my website (damodaran.com) and if you want, you can change this number to ther most recent update.</t>
        </r>
      </text>
    </comment>
  </commentList>
</comments>
</file>

<file path=xl/sharedStrings.xml><?xml version="1.0" encoding="utf-8"?>
<sst xmlns="http://schemas.openxmlformats.org/spreadsheetml/2006/main" count="1452" uniqueCount="891">
  <si>
    <t>! Operating lease expense - Depreciation</t>
    <phoneticPr fontId="24" type="noConversion"/>
  </si>
  <si>
    <t>Electric Utility (West)</t>
  </si>
  <si>
    <t>Interest  coverage ratio =</t>
  </si>
  <si>
    <t>The questions below, especially the yes or no ones, can be confusing. Please read the comments on the input cells.</t>
    <phoneticPr fontId="24" type="noConversion"/>
  </si>
  <si>
    <t>Debt Value of leases =</t>
  </si>
  <si>
    <t>Imputed Return on capital forever =</t>
  </si>
  <si>
    <t>Input Diagnostics</t>
  </si>
  <si>
    <t>B81-83</t>
  </si>
  <si>
    <t>! If in doubt, use the lookup table below</t>
  </si>
  <si>
    <t>Do you want to capitalize R&amp;D expenses?</t>
  </si>
  <si>
    <t>Operating Lease Converter</t>
  </si>
  <si>
    <t>Inputs</t>
  </si>
  <si>
    <t>to estimate the number of years of expenses in yr 6</t>
  </si>
  <si>
    <t>financial statements, and review and change the inputs for the valuation.</t>
  </si>
  <si>
    <t>Medical Supplies</t>
  </si>
  <si>
    <t>Reported Debt =</t>
  </si>
  <si>
    <t>Telecom. Equipment</t>
  </si>
  <si>
    <t>Beta used for stock =</t>
  </si>
  <si>
    <t>Growth rate during stable growth period =</t>
  </si>
  <si>
    <t>Average maturity</t>
  </si>
  <si>
    <t>positive. It allows for up to 15 years of high growth, and can be used either as a 2-stage or a 3-stage model.</t>
  </si>
  <si>
    <t>The inputs are in the following pages:</t>
  </si>
  <si>
    <t>Chemical (Specialty)</t>
  </si>
  <si>
    <t>Coal/Alternate Energy</t>
  </si>
  <si>
    <t>Computer &amp; Peripherals</t>
  </si>
  <si>
    <t>Computer Software &amp; Svcs</t>
  </si>
  <si>
    <t>Copper</t>
  </si>
  <si>
    <t>Reinvestment Rate</t>
  </si>
  <si>
    <t>If no, enter the ratio of working capital to revenues to use in analysis</t>
  </si>
  <si>
    <t>inputs adjusted during the second half of the high growth phase.</t>
  </si>
  <si>
    <t>Before you start</t>
  </si>
  <si>
    <t>Amortization of asset for current year =</t>
  </si>
  <si>
    <t>Risk Premium =</t>
  </si>
  <si>
    <t>Length of High Growth Period =</t>
  </si>
  <si>
    <t>Forever</t>
  </si>
  <si>
    <t>Cost of Debt =</t>
  </si>
  <si>
    <t>Total</t>
  </si>
  <si>
    <t>Tax Rate =</t>
  </si>
  <si>
    <t>Tax Rate to use in stable growth period =</t>
  </si>
  <si>
    <t>Important: Be consistent about the units you use. If you use millions, use millions for all of your inputs.</t>
  </si>
  <si>
    <t>Office Equip &amp; Supplies</t>
  </si>
  <si>
    <t>Manuf. Housing/Rec Veh</t>
  </si>
  <si>
    <t>Electric Utility (East)</t>
  </si>
  <si>
    <t>income, the book value of assets and the book value of equity.</t>
  </si>
  <si>
    <t>Normalized EBIT (before adjustments)</t>
  </si>
  <si>
    <t>Pre-tax Operating Margin for Sector =</t>
  </si>
  <si>
    <t>! Look at industry average</t>
  </si>
  <si>
    <t>Adjusted EBIT =</t>
  </si>
  <si>
    <t>Adjusted Book Value of Debt =</t>
  </si>
  <si>
    <t>greater than</t>
  </si>
  <si>
    <t>Debt Ratio used in Cost of Capital Calculation=</t>
  </si>
  <si>
    <t>! If negative, go back and choose to normalize earnings.</t>
  </si>
  <si>
    <t>Enter the type of firm =</t>
  </si>
  <si>
    <t>Current</t>
  </si>
  <si>
    <t>Valuation</t>
  </si>
  <si>
    <t xml:space="preserve">for a stable growth phase (2-stage model) or it can be adjusted to allow for a transition phase (3-stage model). </t>
  </si>
  <si>
    <t>Restated Financials</t>
  </si>
  <si>
    <t>Current Interest Expense =</t>
  </si>
  <si>
    <t>If you have negative operating income, you will either have to normalize it to make it positive, or use the highgrowth.xls spreadsheet.</t>
  </si>
  <si>
    <t>Enter the expiration of the option =</t>
  </si>
  <si>
    <t xml:space="preserve">2. Industry averages: Here, you can look up industry averages for variables such as beta, return on capital, </t>
  </si>
  <si>
    <t>Insurance (Diversified)</t>
  </si>
  <si>
    <t>Standard Deviation in stock price</t>
  </si>
  <si>
    <t>There are two other worksheets that you might find useful at the end of this spreadsheet</t>
  </si>
  <si>
    <t>Oilfield Services/Equip.</t>
  </si>
  <si>
    <t>Diversified Co.</t>
  </si>
  <si>
    <t>Drug</t>
  </si>
  <si>
    <t>Drugstore</t>
  </si>
  <si>
    <t>Educational Services</t>
  </si>
  <si>
    <t>Number of firms</t>
  </si>
  <si>
    <t>This spreadsheet converts R&amp;D expenses from operating to capital expenses. It makes the appropriate adjustments to operating income, net</t>
  </si>
  <si>
    <t>Thrift</t>
  </si>
  <si>
    <t>Telecom. Services</t>
  </si>
  <si>
    <t>Enter the standard deviation in stock prices =</t>
  </si>
  <si>
    <t>Paper &amp; Forest Products</t>
  </si>
  <si>
    <t>The spreadsheet has circular reasoning. This is not a problem. Go into calculation options (in excel) and check</t>
  </si>
  <si>
    <t>the iteration box.</t>
  </si>
  <si>
    <t>Debt/(Debt +Equity) =</t>
  </si>
  <si>
    <t>Cost of Capital</t>
  </si>
  <si>
    <t>Cost of Capital =</t>
  </si>
  <si>
    <t>Do you want to keep the debt ratio computed from your inputs?</t>
  </si>
  <si>
    <t>Electrical Equipment</t>
  </si>
  <si>
    <t>! Commitment beyond year 6 converted into an annuity for ten years</t>
  </si>
  <si>
    <t>Do you want to estimate the firm's synthetic rating =</t>
  </si>
  <si>
    <t># Warrants issued=</t>
  </si>
  <si>
    <t>Cumulated Cost of Capital</t>
  </si>
  <si>
    <t>If historical average,</t>
  </si>
  <si>
    <t>If not, what is the current rating of the firm?</t>
  </si>
  <si>
    <t>Enter the cost of debt associated with the rating =</t>
  </si>
  <si>
    <t>Depreciation on Operating Lease Asset =</t>
  </si>
  <si>
    <t>! I use straight line depreciation</t>
  </si>
  <si>
    <t>Non-technological Service</t>
  </si>
  <si>
    <t>Adjusted Capital Spending</t>
  </si>
  <si>
    <t>Financial Services</t>
  </si>
  <si>
    <t>Normalized Earnings before interest and taxes =</t>
  </si>
  <si>
    <t>Inputs for synthetic rating estimation</t>
  </si>
  <si>
    <t>Average Earnings before interest and taxes =</t>
  </si>
  <si>
    <t>Value at the end of growth phase =</t>
  </si>
  <si>
    <t>Present Value of FCFF in high growth phase =</t>
  </si>
  <si>
    <t>3 years</t>
  </si>
  <si>
    <t>Research, with Patenting</t>
  </si>
  <si>
    <t>Long Gestation Period</t>
  </si>
  <si>
    <t>Length of high growth period =</t>
  </si>
  <si>
    <t>Petroleum (Integrated)</t>
  </si>
  <si>
    <t>reinvestment rates and working capital.</t>
  </si>
  <si>
    <t>Do you have equity options (management options, warrants) outstanding?</t>
  </si>
  <si>
    <t>Adjusted S =</t>
  </si>
  <si>
    <t>Adjusted K =</t>
  </si>
  <si>
    <t>Do you want to use the stock price to value the option or your estimated value?</t>
  </si>
  <si>
    <t>Stock Price=</t>
  </si>
  <si>
    <t xml:space="preserve">1. Bottom-up beta estimator: will estimate your levered beta, given an unlevered beta (which you will have to </t>
  </si>
  <si>
    <t>input.</t>
  </si>
  <si>
    <t>Number of years embedded in yr 6 estimate =</t>
  </si>
  <si>
    <t>Metal Fabricating</t>
  </si>
  <si>
    <t>Metals &amp; Mining (Div.)</t>
  </si>
  <si>
    <t>Value of operating assets of the firm =</t>
  </si>
  <si>
    <t>Value of Research Asset =</t>
  </si>
  <si>
    <t>Estimated Bond Rating =</t>
  </si>
  <si>
    <t>Current Revenues =</t>
  </si>
  <si>
    <t>Current Non-cash Working Capital =</t>
  </si>
  <si>
    <t>Chg. Working Capital =</t>
  </si>
  <si>
    <t>Master Input Sheet</t>
  </si>
  <si>
    <t>Market Debt/Capital</t>
  </si>
  <si>
    <t>Growth Rate =</t>
  </si>
  <si>
    <t>If no,  enter capital expenditure as % of depreciation in stable growth</t>
  </si>
  <si>
    <t>Insurance (Prop/Casualty)</t>
  </si>
  <si>
    <t>Internet</t>
  </si>
  <si>
    <t>Investment Co. (Domestic)</t>
  </si>
  <si>
    <t>Investment Co. (Foreign)</t>
  </si>
  <si>
    <t>Investment Co. (Income)</t>
  </si>
  <si>
    <t>Machinery</t>
  </si>
  <si>
    <t>Sales/Capital</t>
  </si>
  <si>
    <t>Petroleum (Producing)</t>
  </si>
  <si>
    <t>Water Utility</t>
  </si>
  <si>
    <t>6 and beyond</t>
  </si>
  <si>
    <t>Light Manufacturing</t>
  </si>
  <si>
    <t>5 years</t>
  </si>
  <si>
    <t>! If yes, use the rating estimator worksheet that is attached</t>
  </si>
  <si>
    <t>The maximum allowed is ten years</t>
  </si>
  <si>
    <t>Previous year-end</t>
  </si>
  <si>
    <t>Normalizing Earnings</t>
  </si>
  <si>
    <t>Debt/ (Equity + Debt)  =</t>
  </si>
  <si>
    <t>If yes, the debt ratio that will be used to compute the cost of capital is</t>
  </si>
  <si>
    <t>Present Value of Terminal Value of Firm =</t>
  </si>
  <si>
    <t>Market Value of outstanding debt =</t>
  </si>
  <si>
    <t>Market Value of Equity =</t>
  </si>
  <si>
    <t>Strike Price=</t>
  </si>
  <si>
    <t>Equity/(Debt+Equity ) =</t>
  </si>
  <si>
    <t>After-tax Cost of debt =</t>
  </si>
  <si>
    <t>Do you want to compute reinvestment needs in stable growth based on fundamentals?</t>
  </si>
  <si>
    <t># Shares outstanding=</t>
  </si>
  <si>
    <t>T.Bond rate=</t>
  </si>
  <si>
    <t>Auto Parts (Replacement)</t>
  </si>
  <si>
    <t>Bank</t>
  </si>
  <si>
    <t>Bank (Canadian)</t>
  </si>
  <si>
    <t>Precision Instrument</t>
  </si>
  <si>
    <t>Publishing</t>
  </si>
  <si>
    <t>Annualized dividend yield=</t>
  </si>
  <si>
    <t>Div. Adj. interest rate=</t>
  </si>
  <si>
    <t xml:space="preserve">d1 = </t>
  </si>
  <si>
    <t>&gt;</t>
  </si>
  <si>
    <t>≤ to</t>
  </si>
  <si>
    <t>Debt Ratio to use in stable growth period =</t>
  </si>
  <si>
    <t>If yes, the inputs to the fundamental growth calculation (based upon your inputs) are</t>
  </si>
  <si>
    <t>Reinvestment Rate =</t>
  </si>
  <si>
    <t>Do you want to convert operating leases to debt?</t>
  </si>
  <si>
    <t>3. If you have R&amp;D or operating leases, you will need to input the required numbers in those worksheets.</t>
  </si>
  <si>
    <t>Other worksheets</t>
  </si>
  <si>
    <t>Current Depreciation &amp; Amort'n =</t>
  </si>
  <si>
    <t>Industry Name</t>
  </si>
  <si>
    <t>Advertising</t>
  </si>
  <si>
    <t>! If you do not have a cost of debt, use the ratings estimator</t>
  </si>
  <si>
    <t>From the current financial statements, enter the following</t>
  </si>
  <si>
    <t>Reported Operating Income (EBIT) =</t>
  </si>
  <si>
    <t>Cash &amp; Marketable Securities =</t>
  </si>
  <si>
    <t>Value of Non-operating Assets =</t>
  </si>
  <si>
    <t>Input Summary</t>
  </si>
  <si>
    <t>! This is the interest-bearing debt reported on the balance sheet</t>
  </si>
  <si>
    <t>Free Cashflow to Firm</t>
  </si>
  <si>
    <t>! I use the average lease expense over the first five years</t>
  </si>
  <si>
    <t>Medical Services</t>
  </si>
  <si>
    <t>This model is designed to value firms with operating income that is either positive or can be normalized to be</t>
  </si>
  <si>
    <t>10 years</t>
  </si>
  <si>
    <t>Is your stock currently traded?</t>
  </si>
  <si>
    <t>Market Data for your firm</t>
  </si>
  <si>
    <t>Restaurant</t>
  </si>
  <si>
    <t>Look Up Table for Amortization Periods</t>
  </si>
  <si>
    <t>EBIT</t>
  </si>
  <si>
    <t>Operating lease expense in current year =</t>
  </si>
  <si>
    <t>Yes</t>
  </si>
  <si>
    <t>Value of Equity in Options =</t>
  </si>
  <si>
    <t>Value of Equity in Common Stock =</t>
  </si>
  <si>
    <t>Cost of Equity =</t>
  </si>
  <si>
    <t>You can even make it a stable growth model, by setting the length of the high growth period to zero.</t>
  </si>
  <si>
    <t>Intermediate Output</t>
  </si>
  <si>
    <t>Book Value of Debt =</t>
  </si>
  <si>
    <t>Electric Util. (Central)</t>
  </si>
  <si>
    <t>Valuing Options or Warrants</t>
  </si>
  <si>
    <t xml:space="preserve">Value per option = </t>
  </si>
  <si>
    <t>Value of all options outstanding =</t>
  </si>
  <si>
    <t>Current Stock Price =</t>
  </si>
  <si>
    <t>R.E.I.T.</t>
  </si>
  <si>
    <t>Railroad</t>
  </si>
  <si>
    <t>Recreation</t>
  </si>
  <si>
    <t>Operating Margin</t>
  </si>
  <si>
    <t>Beta to use in stable growth period =</t>
  </si>
  <si>
    <t>Natural Gas (Diversified)</t>
  </si>
  <si>
    <t>Newspaper</t>
  </si>
  <si>
    <t>Semiconductor</t>
  </si>
  <si>
    <t>Semiconductor Cap Equip</t>
  </si>
  <si>
    <t>Converting Operating Leases into debt</t>
  </si>
  <si>
    <t>Rating is</t>
  </si>
  <si>
    <t>Spread is</t>
  </si>
  <si>
    <t>Trucking/Transp. Leasing</t>
  </si>
  <si>
    <t>Utility (Foreign)</t>
  </si>
  <si>
    <t>Do you want to compute your growth rate from fundamentals?</t>
  </si>
  <si>
    <t>Book Value of Equity =</t>
  </si>
  <si>
    <t>Steel (Integrated)</t>
  </si>
  <si>
    <t>Worksheet for normalization (Last 5 years of data)</t>
  </si>
  <si>
    <t>Output</t>
  </si>
  <si>
    <t>Insurance (Life)</t>
  </si>
  <si>
    <t>VALUING WARRANTS WHEN THERE IS DILUTION</t>
  </si>
  <si>
    <t xml:space="preserve"> -Chg. Working Capital</t>
  </si>
  <si>
    <t>Unamortized portion</t>
  </si>
  <si>
    <t>Adjusted Depreciation &amp; Amort'n =</t>
  </si>
  <si>
    <t>An apology: I apologize for the number of inputs that are required on this sheet. Many of the inputs are required only if you choose the appropriate option, though.</t>
  </si>
  <si>
    <t>Equity/ (Equity + Debt) =</t>
  </si>
  <si>
    <t>From Current Financials</t>
  </si>
  <si>
    <t>Valuation Inputs</t>
  </si>
  <si>
    <t>High Growth Period</t>
  </si>
  <si>
    <t>Current Capital Spending</t>
  </si>
  <si>
    <t>Tax Rate on Income =</t>
  </si>
  <si>
    <r>
      <t xml:space="preserve">2. If you want to normalized operating income, use the </t>
    </r>
    <r>
      <rPr>
        <sz val="10"/>
        <color indexed="10"/>
        <rFont val="Times"/>
        <family val="1"/>
      </rPr>
      <t>earnings normalizer</t>
    </r>
    <r>
      <rPr>
        <sz val="10"/>
        <rFont val="Times"/>
        <family val="1"/>
      </rPr>
      <t xml:space="preserve"> worksheet.</t>
    </r>
  </si>
  <si>
    <t>Enter the number of shares outstanding =</t>
  </si>
  <si>
    <t>Enter the current year's R&amp;D expense =</t>
  </si>
  <si>
    <t>! Year -1 is the year prior to the current year</t>
  </si>
  <si>
    <t>Return on Capital =</t>
  </si>
  <si>
    <t>Adjustment to Operating Earnings =</t>
  </si>
  <si>
    <t>Adjustment to Total Debt outstanding =</t>
  </si>
  <si>
    <t>Ratings</t>
  </si>
  <si>
    <t>Historical average pre-tax return on capital =</t>
  </si>
  <si>
    <t>If sector margin</t>
  </si>
  <si>
    <t>N (d1) =</t>
  </si>
  <si>
    <t>2 years</t>
  </si>
  <si>
    <t>Retail, Tech Service</t>
  </si>
  <si>
    <t>Retail (Special Lines)</t>
  </si>
  <si>
    <t>Retail Building Supply</t>
  </si>
  <si>
    <t>Retail Store</t>
  </si>
  <si>
    <t>! Year -2 is the two years prior to the current year</t>
  </si>
  <si>
    <t>Variance=</t>
  </si>
  <si>
    <t>Expiration (in years) =</t>
  </si>
  <si>
    <t>Enter current Earnings before interest and taxes (EBIT) =</t>
  </si>
  <si>
    <t xml:space="preserve">d2 = </t>
  </si>
  <si>
    <t>N (d2) =</t>
  </si>
  <si>
    <t>If historical average ROC,</t>
  </si>
  <si>
    <t>Value of Firm =</t>
  </si>
  <si>
    <t>(Add back only long term interest expense for financial firms)</t>
  </si>
  <si>
    <t>Electronics</t>
  </si>
  <si>
    <t>Air Transport</t>
  </si>
  <si>
    <t>Aluminum</t>
  </si>
  <si>
    <t>Apparel</t>
  </si>
  <si>
    <t>Securities Brokerage</t>
  </si>
  <si>
    <t>Year</t>
  </si>
  <si>
    <t>Tobacco</t>
  </si>
  <si>
    <t>Do you want to normalize operating income?</t>
  </si>
  <si>
    <t>Commitment</t>
  </si>
  <si>
    <t>! Year 1 is next year, ….</t>
  </si>
  <si>
    <t>Over how many years do you want to amortize R&amp;D expenses</t>
  </si>
  <si>
    <t>Pre-tax Cost of Debt =</t>
  </si>
  <si>
    <t>Revenues</t>
  </si>
  <si>
    <t>Enter the number of warrants (options) outstanding =</t>
  </si>
  <si>
    <t>R&amp;D Expense</t>
  </si>
  <si>
    <t>Growth Rate in Stable Phase =</t>
  </si>
  <si>
    <t>FCFF in Stable Phase =</t>
  </si>
  <si>
    <t>Options</t>
  </si>
  <si>
    <t>Do not input numbers in the first column (Year). It will get automatically updated  based on the input above.</t>
  </si>
  <si>
    <t>R &amp; D Converter</t>
  </si>
  <si>
    <t>Auto Parts (OEM)</t>
  </si>
  <si>
    <t>Beverage (Soft Drink)</t>
  </si>
  <si>
    <t>Building Materials</t>
  </si>
  <si>
    <t>Enter R&amp; D expenses for past years: the number of years that you will need to enter will be determined by the amortization period</t>
  </si>
  <si>
    <t>To compute the reinvestment rate in stable growth, you have two options</t>
  </si>
  <si>
    <t>EBIT * (1 - tax rate)</t>
  </si>
  <si>
    <t>Enter the current stock price =</t>
  </si>
  <si>
    <t>Enter the strike price on the option =</t>
  </si>
  <si>
    <t>NA</t>
  </si>
  <si>
    <t>Computers/Peripherals</t>
  </si>
  <si>
    <t>Long Term Riskfree rate=</t>
  </si>
  <si>
    <t>Home Appliance</t>
  </si>
  <si>
    <t>Beverage (Alcoholic)</t>
  </si>
  <si>
    <t xml:space="preserve"> - (CapEx-Depreciation)</t>
  </si>
  <si>
    <t>Cost of Capital in Stable Phase =</t>
  </si>
  <si>
    <t>Enter current interest expenses =</t>
  </si>
  <si>
    <t>Enter the annualized dividend yield on stock =</t>
  </si>
  <si>
    <t>Enter the treasury bond rate =</t>
  </si>
  <si>
    <t>The FCFF for the high growth phase are shown below (upto 10 years)</t>
  </si>
  <si>
    <t>Packaging &amp; Container</t>
  </si>
  <si>
    <t>Auto &amp; Truck</t>
  </si>
  <si>
    <t>Riskfree rate =</t>
  </si>
  <si>
    <t>Do you want to change these inputs?</t>
  </si>
  <si>
    <t>FCFF VALUATION MODEL</t>
  </si>
  <si>
    <t>Homebuilding</t>
  </si>
  <si>
    <t>Hotel/Gaming</t>
  </si>
  <si>
    <t>Adjusted Interest Expense =</t>
  </si>
  <si>
    <t>Chemical (Basic)</t>
  </si>
  <si>
    <t>Chemical (Diversified)</t>
  </si>
  <si>
    <t>Operating Lease Commitments (From footnote to financials)</t>
  </si>
  <si>
    <t>Output from the program</t>
  </si>
  <si>
    <t>Approach used to normalize earnings =</t>
  </si>
  <si>
    <t>Shoe</t>
  </si>
  <si>
    <t>Steel (General)</t>
  </si>
  <si>
    <t>Household Products</t>
  </si>
  <si>
    <t>Amortization Period</t>
  </si>
  <si>
    <t>Gold/Silver Mining</t>
  </si>
  <si>
    <t>Grocery</t>
  </si>
  <si>
    <t>Healthcare Info Systems</t>
  </si>
  <si>
    <t>R&amp; D Expenses</t>
  </si>
  <si>
    <t>Present Value</t>
  </si>
  <si>
    <t>(in percent)</t>
  </si>
  <si>
    <t>If yes, enter the number of options</t>
  </si>
  <si>
    <t xml:space="preserve">Average strike price </t>
  </si>
  <si>
    <t>Would you like to use the book value debt ratio?</t>
  </si>
  <si>
    <t>If no, enter the debt ratio to use in valuation</t>
  </si>
  <si>
    <t>Stable Growth Period</t>
  </si>
  <si>
    <t>Heavy  Manufacturing</t>
  </si>
  <si>
    <t>If no, enter the expected growth rate in operating income for high growth period</t>
  </si>
  <si>
    <t>Industrial Services</t>
  </si>
  <si>
    <r>
      <t xml:space="preserve">1. The bulk of the inputs are in the </t>
    </r>
    <r>
      <rPr>
        <sz val="10"/>
        <color indexed="10"/>
        <rFont val="Times"/>
        <family val="1"/>
      </rPr>
      <t>master inputs page</t>
    </r>
    <r>
      <rPr>
        <sz val="10"/>
        <rFont val="Times"/>
        <family val="1"/>
      </rPr>
      <t>. Here, you can input the numbers from the current</t>
    </r>
  </si>
  <si>
    <t>General Market Data</t>
  </si>
  <si>
    <t>The spreadsheet can be used to value a company, with fixed inputs for a high growth phase and different inputs</t>
  </si>
  <si>
    <t>Adjustment to Operating Income =</t>
  </si>
  <si>
    <t>EV/Sales</t>
  </si>
  <si>
    <t>Amortization this year</t>
  </si>
  <si>
    <t>Natural Gas (Distrib.)</t>
  </si>
  <si>
    <t>If no, enter the debt ratio that you would like to use in the high growth period</t>
  </si>
  <si>
    <t xml:space="preserve">To switch from one to the other, enter yes in the master input page to the question of whether you want the </t>
  </si>
  <si>
    <t>Terminal Year</t>
  </si>
  <si>
    <t>Cost of Equity in Stable Phase =</t>
  </si>
  <si>
    <t>(Use only long term interest expense for financial firms)</t>
  </si>
  <si>
    <t>Beta to use for high growth period for your firm=</t>
  </si>
  <si>
    <t>Expected Growth Rate</t>
  </si>
  <si>
    <t>AT Cost of Debt in Stable Phase =</t>
  </si>
  <si>
    <t>Unlevered Beta</t>
  </si>
  <si>
    <t>For smaller and riskier firms</t>
  </si>
  <si>
    <t>If yes, enter the return on capital that the firm will have in stable growth</t>
  </si>
  <si>
    <t>Estimated Cost of Debt =</t>
  </si>
  <si>
    <t>For large manufacturing firms</t>
  </si>
  <si>
    <t>If yes, enter the following:</t>
  </si>
  <si>
    <t>Value of Cash, Marketable Securities &amp; Non-operating assets =</t>
  </si>
  <si>
    <t>Food Processing</t>
  </si>
  <si>
    <t>Food Wholesalers</t>
  </si>
  <si>
    <t>Aerospace/Defense</t>
  </si>
  <si>
    <t>Number of shares outstanding =</t>
  </si>
  <si>
    <t>No</t>
  </si>
  <si>
    <t>Tax Effect of R&amp;D Expensing</t>
  </si>
  <si>
    <t>If yes, choose the type of firm</t>
  </si>
  <si>
    <t>! This is the EBIT reported in the current income statement</t>
  </si>
  <si>
    <t>The output is contained in the valuation model worksheet.</t>
  </si>
  <si>
    <t>Do you want to keep the existing ratio of working capital to revenue?</t>
  </si>
  <si>
    <t>If yes, the working capital as a percent of revenues will be</t>
  </si>
  <si>
    <t>Toiletries/Cosmetics</t>
  </si>
  <si>
    <t>Tire &amp; Rubber</t>
  </si>
  <si>
    <t>Maritime</t>
  </si>
  <si>
    <t>Market Value of Debt =</t>
  </si>
  <si>
    <t>Adjusted Book Value of Equity =</t>
  </si>
  <si>
    <t>Foreign Telecom.</t>
  </si>
  <si>
    <t>Furn./Home Furnishings</t>
  </si>
  <si>
    <t>Do you want me to gradually adjust your high growth inputs in the second half?</t>
  </si>
  <si>
    <t>Reinvestment Rate in Stable Phase =</t>
  </si>
  <si>
    <t>Cumulated Growth</t>
  </si>
  <si>
    <t>Textile</t>
  </si>
  <si>
    <t>Pre-tax cost of debt in stable growth period =</t>
  </si>
  <si>
    <t>If interest coverage ratio is</t>
  </si>
  <si>
    <t>Revisit input cell</t>
  </si>
  <si>
    <t>B54</t>
  </si>
  <si>
    <t>B74</t>
  </si>
  <si>
    <t>B77</t>
  </si>
  <si>
    <t>B75</t>
  </si>
  <si>
    <t>B78</t>
  </si>
  <si>
    <t>B79</t>
  </si>
  <si>
    <t>B82</t>
  </si>
  <si>
    <t>Entertainment</t>
  </si>
  <si>
    <t>Environmental</t>
  </si>
  <si>
    <t>Foreign Electron/Entertn</t>
  </si>
  <si>
    <t>! A positive number indicates an increase in operating income (add to reported EBIT)</t>
  </si>
  <si>
    <t>Bank (Foreign)</t>
  </si>
  <si>
    <t>Bank (Midwest)</t>
  </si>
  <si>
    <t>Cable TV</t>
  </si>
  <si>
    <t>Canadian Energy</t>
  </si>
  <si>
    <t>Cement &amp; Aggregates</t>
  </si>
  <si>
    <t>(volatility)</t>
  </si>
  <si>
    <t>What the model does</t>
  </si>
  <si>
    <t>Working Capital as percent of revenues =</t>
  </si>
  <si>
    <t xml:space="preserve"> (in percent)</t>
  </si>
  <si>
    <t>Do not input any numbers below this line</t>
  </si>
  <si>
    <t>If no, enter the following</t>
  </si>
  <si>
    <t>Yes/No</t>
  </si>
  <si>
    <t>If yes, please input your numbers into R&amp;D converter worksheet</t>
  </si>
  <si>
    <t>If yes, please input your numbers into operating lease worksheet</t>
  </si>
  <si>
    <t>If yes, please input your numbers into Earnings Normalizer worksheet</t>
  </si>
  <si>
    <t>Minority interests</t>
  </si>
  <si>
    <t>Current Price</t>
  </si>
  <si>
    <t>Estimated Value</t>
  </si>
  <si>
    <t>Effective tax rate (for use on operating income)</t>
  </si>
  <si>
    <t>Marginal tax rate (for use on cost of debt)</t>
  </si>
  <si>
    <t>Minority Interests</t>
  </si>
  <si>
    <t>Country</t>
  </si>
  <si>
    <t>ERP</t>
  </si>
  <si>
    <t>Weight</t>
  </si>
  <si>
    <t>Weighted ERP</t>
  </si>
  <si>
    <t>Equity</t>
  </si>
  <si>
    <t>Bolivia</t>
  </si>
  <si>
    <t>Number of Shares outstanding =</t>
  </si>
  <si>
    <t>Ecuador</t>
  </si>
  <si>
    <t>Current Market Price per share =</t>
  </si>
  <si>
    <t>Unlevered beta =</t>
  </si>
  <si>
    <t>Riskfree Rate =</t>
  </si>
  <si>
    <t>Equity Risk Premium =</t>
  </si>
  <si>
    <t>Debt</t>
  </si>
  <si>
    <t>Book Value of Straight Debt =</t>
  </si>
  <si>
    <t>Interest Expense on Debt =</t>
  </si>
  <si>
    <t>Average Maturity =</t>
  </si>
  <si>
    <t>Region</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</si>
  <si>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</si>
  <si>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</si>
  <si>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</si>
  <si>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</si>
  <si>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</si>
  <si>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</si>
  <si>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</si>
  <si>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</si>
  <si>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</si>
  <si>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Business</t>
  </si>
  <si>
    <t>Estimating Market Value of Straight Debt =</t>
  </si>
  <si>
    <t>Estimated Value of Straight Debt in Convertible =</t>
  </si>
  <si>
    <t>Value of Debt in Operating leases =</t>
  </si>
  <si>
    <t>Estimated Value of Equity in Convertible =</t>
  </si>
  <si>
    <t>Levered Beta for equity =</t>
  </si>
  <si>
    <t xml:space="preserve">Debt </t>
  </si>
  <si>
    <t>Capital</t>
  </si>
  <si>
    <t>Market Value</t>
  </si>
  <si>
    <t>Weight in Cost of Capital</t>
  </si>
  <si>
    <t>Cost of Component</t>
  </si>
  <si>
    <t>Company</t>
  </si>
  <si>
    <t>Annual Average Revenue growth - Last 5 years</t>
  </si>
  <si>
    <t>After-tax ROC</t>
  </si>
  <si>
    <t>Average effective tax rate</t>
  </si>
  <si>
    <t>Equity (Levered) Beta</t>
  </si>
  <si>
    <t>Cost of equity</t>
  </si>
  <si>
    <t>Std deviation in stock prices</t>
  </si>
  <si>
    <t>Pre-tax cost of debt</t>
  </si>
  <si>
    <t>Cost of capital</t>
  </si>
  <si>
    <t>EV/EBITDA</t>
  </si>
  <si>
    <t>EV/EBIT</t>
  </si>
  <si>
    <t>Price/Book</t>
  </si>
  <si>
    <t>Trailing PE</t>
  </si>
  <si>
    <t>Adj. Default Spread</t>
  </si>
  <si>
    <t>Country Risk Premium</t>
  </si>
  <si>
    <t>Albania</t>
  </si>
  <si>
    <t>Angola</t>
  </si>
  <si>
    <t>Africa</t>
  </si>
  <si>
    <t>Argentina</t>
  </si>
  <si>
    <t>Central and South America</t>
  </si>
  <si>
    <t>Armenia</t>
  </si>
  <si>
    <t>Australia</t>
  </si>
  <si>
    <t>Australia &amp; New Zealand</t>
  </si>
  <si>
    <t>Western Europe</t>
  </si>
  <si>
    <t>Azerbaijan</t>
  </si>
  <si>
    <t>Bahamas</t>
  </si>
  <si>
    <t>Caribbean</t>
  </si>
  <si>
    <t>Bahrain</t>
  </si>
  <si>
    <t>Middle East</t>
  </si>
  <si>
    <t>Bangladesh</t>
  </si>
  <si>
    <t>Barbados</t>
  </si>
  <si>
    <t>Belarus</t>
  </si>
  <si>
    <t>Belize</t>
  </si>
  <si>
    <t>Bermuda</t>
  </si>
  <si>
    <t>Bosnia and Herzegovina</t>
  </si>
  <si>
    <t>Botswana</t>
  </si>
  <si>
    <t>Brazil</t>
  </si>
  <si>
    <t>Bulgaria</t>
  </si>
  <si>
    <t>Cambodia</t>
  </si>
  <si>
    <t>Canada</t>
  </si>
  <si>
    <t>North America</t>
  </si>
  <si>
    <t>Cayman Islands</t>
  </si>
  <si>
    <t>Chile</t>
  </si>
  <si>
    <t>China</t>
  </si>
  <si>
    <t>Colombia</t>
  </si>
  <si>
    <t>Costa Rica</t>
  </si>
  <si>
    <t>Croatia</t>
  </si>
  <si>
    <t>Cuba</t>
  </si>
  <si>
    <t>Czech Republic</t>
  </si>
  <si>
    <t>Denmark</t>
  </si>
  <si>
    <t>Dominican Republic</t>
  </si>
  <si>
    <t>Egypt</t>
  </si>
  <si>
    <t>El Salvador</t>
  </si>
  <si>
    <t>Estonia</t>
  </si>
  <si>
    <t>Georgia</t>
  </si>
  <si>
    <t>Guatemala</t>
  </si>
  <si>
    <t>Honduras</t>
  </si>
  <si>
    <t>Hong Kong</t>
  </si>
  <si>
    <t>Hungary</t>
  </si>
  <si>
    <t>Iceland</t>
  </si>
  <si>
    <t>India</t>
  </si>
  <si>
    <t>Indonesia</t>
  </si>
  <si>
    <t>Isle of Man</t>
  </si>
  <si>
    <t>Israel</t>
  </si>
  <si>
    <t>Jamaica</t>
  </si>
  <si>
    <t>Japan</t>
  </si>
  <si>
    <t>Jordan</t>
  </si>
  <si>
    <t>Kazakhstan</t>
  </si>
  <si>
    <t>Kuwait</t>
  </si>
  <si>
    <t>Latvia</t>
  </si>
  <si>
    <t>Lebanon</t>
  </si>
  <si>
    <t>Lithuania</t>
  </si>
  <si>
    <t>Malaysia</t>
  </si>
  <si>
    <t>Mauritius</t>
  </si>
  <si>
    <t>Mexico</t>
  </si>
  <si>
    <t>Moldova</t>
  </si>
  <si>
    <t>Mongolia</t>
  </si>
  <si>
    <t>Montenegro</t>
  </si>
  <si>
    <t>Morocco</t>
  </si>
  <si>
    <t>Namibia</t>
  </si>
  <si>
    <t>New Zealand</t>
  </si>
  <si>
    <t>Nicaragua</t>
  </si>
  <si>
    <t>Norway</t>
  </si>
  <si>
    <t>Oman</t>
  </si>
  <si>
    <t>Pakistan</t>
  </si>
  <si>
    <t>Panama</t>
  </si>
  <si>
    <t>Papua New Guinea</t>
  </si>
  <si>
    <t>Paraguay</t>
  </si>
  <si>
    <t>Peru</t>
  </si>
  <si>
    <t>Philippines</t>
  </si>
  <si>
    <t>Poland</t>
  </si>
  <si>
    <t>Qatar</t>
  </si>
  <si>
    <t>Romania</t>
  </si>
  <si>
    <t>Russia</t>
  </si>
  <si>
    <t>Saudi Arabia</t>
  </si>
  <si>
    <t>Senegal</t>
  </si>
  <si>
    <t>Singapore</t>
  </si>
  <si>
    <t>Slovakia</t>
  </si>
  <si>
    <t>South Africa</t>
  </si>
  <si>
    <t>Spain</t>
  </si>
  <si>
    <t>Sri Lanka</t>
  </si>
  <si>
    <t>St. Vincent &amp; the Grenadines</t>
  </si>
  <si>
    <t>Suriname</t>
  </si>
  <si>
    <t>Sweden</t>
  </si>
  <si>
    <t>Switzerland</t>
  </si>
  <si>
    <t>Taiwan</t>
  </si>
  <si>
    <t>Thailand</t>
  </si>
  <si>
    <t>Tunisia</t>
  </si>
  <si>
    <t>Turkey</t>
  </si>
  <si>
    <t>Ukraine</t>
  </si>
  <si>
    <t>United Arab Emirates</t>
  </si>
  <si>
    <t>United Kingdom</t>
  </si>
  <si>
    <t>Uruguay</t>
  </si>
  <si>
    <t>Venezuela</t>
  </si>
  <si>
    <t>Vietnam</t>
  </si>
  <si>
    <t>You can use the cost of capital spreadsheet to compute this number</t>
  </si>
  <si>
    <t>Tax rate (for cash flow)</t>
  </si>
  <si>
    <t>Effective Tax rate (for cash flow) =</t>
  </si>
  <si>
    <t>Marginal tax rate (for cost of debt) =</t>
  </si>
  <si>
    <t>Austria</t>
  </si>
  <si>
    <t>Asia</t>
  </si>
  <si>
    <t>Belgium</t>
  </si>
  <si>
    <t>Cyprus</t>
  </si>
  <si>
    <t>Finland</t>
  </si>
  <si>
    <t>France</t>
  </si>
  <si>
    <t>Germany</t>
  </si>
  <si>
    <t>Greece</t>
  </si>
  <si>
    <t>Ireland</t>
  </si>
  <si>
    <t>Italy</t>
  </si>
  <si>
    <t>Kenya</t>
  </si>
  <si>
    <t>Luxembourg</t>
  </si>
  <si>
    <t>Malta</t>
  </si>
  <si>
    <t>Netherlands</t>
  </si>
  <si>
    <t>Nigeria</t>
  </si>
  <si>
    <t>Portugal</t>
  </si>
  <si>
    <t>Slovenia</t>
  </si>
  <si>
    <t>St. Maarten</t>
  </si>
  <si>
    <t>Zambia</t>
  </si>
  <si>
    <t>D2/D</t>
  </si>
  <si>
    <t>C2/C</t>
  </si>
  <si>
    <t>Ca2/CC</t>
  </si>
  <si>
    <t>Caa/CCC</t>
  </si>
  <si>
    <t>B3/B-</t>
  </si>
  <si>
    <t>B2/B</t>
  </si>
  <si>
    <t>B1/B+</t>
  </si>
  <si>
    <t>Ba2/BB</t>
  </si>
  <si>
    <t>Ba1/BB+</t>
  </si>
  <si>
    <t>Baa2/BBB</t>
  </si>
  <si>
    <t>A3/A-</t>
  </si>
  <si>
    <t>A2/A</t>
  </si>
  <si>
    <t>A1/A+</t>
  </si>
  <si>
    <t>Aa2/AA</t>
  </si>
  <si>
    <t>Aaa/AAA</t>
  </si>
  <si>
    <t>Burkina Faso</t>
  </si>
  <si>
    <t>Cameroon</t>
  </si>
  <si>
    <t>Cape Verde</t>
  </si>
  <si>
    <t>Gabon</t>
  </si>
  <si>
    <t>Ghana</t>
  </si>
  <si>
    <t>Mozambique</t>
  </si>
  <si>
    <t>Rwanda</t>
  </si>
  <si>
    <t>Uganda</t>
  </si>
  <si>
    <t>Fiji</t>
  </si>
  <si>
    <t>Cook Islands</t>
  </si>
  <si>
    <t>Aruba</t>
  </si>
  <si>
    <t>Montserrat</t>
  </si>
  <si>
    <t>Macedonia</t>
  </si>
  <si>
    <t>Serbia</t>
  </si>
  <si>
    <t>Abu Dhabi</t>
  </si>
  <si>
    <t>Liechtenstein</t>
  </si>
  <si>
    <t>Global</t>
  </si>
  <si>
    <t>Enter the name of the company that you are valuing</t>
  </si>
  <si>
    <t>Date of valuation</t>
  </si>
  <si>
    <t>Trailing 12 month</t>
  </si>
  <si>
    <t>Equity Risk Premium in stable growth =</t>
  </si>
  <si>
    <t>Andorra (Principality of)</t>
  </si>
  <si>
    <t>Congo (Democratic Republic of)</t>
  </si>
  <si>
    <t>Congo (Republic of)</t>
  </si>
  <si>
    <t>Ethiopia</t>
  </si>
  <si>
    <t>Ras Al Khaimah (Emirate of)</t>
  </si>
  <si>
    <t>Sharjah</t>
  </si>
  <si>
    <t>Non-cash WC as % of Revenues</t>
  </si>
  <si>
    <t>Cap Ex as % of Revenues</t>
  </si>
  <si>
    <t>Net Cap Ex as % of Revenues</t>
  </si>
  <si>
    <t>ROE</t>
  </si>
  <si>
    <t>Dividend Payout Ratio</t>
  </si>
  <si>
    <t>Equity Reinvestment Rate</t>
  </si>
  <si>
    <t>Last 10K</t>
  </si>
  <si>
    <t>First X months: Last year</t>
  </si>
  <si>
    <t>First X months: Current year</t>
  </si>
  <si>
    <t>R&amp;D expense</t>
  </si>
  <si>
    <t>Operating income or EBIT</t>
  </si>
  <si>
    <t>Interest expenses</t>
  </si>
  <si>
    <t>Book value of equity</t>
  </si>
  <si>
    <t>Book value of debt</t>
  </si>
  <si>
    <t>Do you have operating lease commitments?</t>
  </si>
  <si>
    <t>Cash and cross holdings</t>
  </si>
  <si>
    <t xml:space="preserve">Non-operating assets </t>
  </si>
  <si>
    <t>Current stock price =</t>
  </si>
  <si>
    <t>Effective tax rate =</t>
  </si>
  <si>
    <t>Marginal tax rate =</t>
  </si>
  <si>
    <t>Lease commitments</t>
  </si>
  <si>
    <t>Year 1</t>
  </si>
  <si>
    <t>Year 2</t>
  </si>
  <si>
    <t>Year 3</t>
  </si>
  <si>
    <t>Year 4</t>
  </si>
  <si>
    <t>Year 5</t>
  </si>
  <si>
    <t>Beyond year 5</t>
  </si>
  <si>
    <t>Corporate Tax Rate</t>
  </si>
  <si>
    <t>Iraq</t>
  </si>
  <si>
    <t>Kyrgyzstan</t>
  </si>
  <si>
    <t>United States</t>
  </si>
  <si>
    <t>Value of equity per share =</t>
  </si>
  <si>
    <t>Stock price =</t>
  </si>
  <si>
    <t>% Under or Over valued =</t>
  </si>
  <si>
    <t>Story to Numbers</t>
  </si>
  <si>
    <t>High growth period</t>
  </si>
  <si>
    <t>Growth rate</t>
  </si>
  <si>
    <t>ROC - Cost of capital</t>
  </si>
  <si>
    <t>High growth</t>
  </si>
  <si>
    <t>Stable growth</t>
  </si>
  <si>
    <t>Return on capital</t>
  </si>
  <si>
    <t>Company Name:</t>
  </si>
  <si>
    <t>The Story</t>
  </si>
  <si>
    <t>Valuation Output</t>
  </si>
  <si>
    <t>PV of cash flows in high growth =</t>
  </si>
  <si>
    <t>Terminal Value =</t>
  </si>
  <si>
    <t>PV of Terminal Value =</t>
  </si>
  <si>
    <t>Value of the operating assets =</t>
  </si>
  <si>
    <t xml:space="preserve"> + Cash  &amp; Cross holdings</t>
  </si>
  <si>
    <t>Value of equity =</t>
  </si>
  <si>
    <t xml:space="preserve"> - Value of employee options</t>
  </si>
  <si>
    <t>Value of equity in common stock =</t>
  </si>
  <si>
    <t>Stock Price per share =</t>
  </si>
  <si>
    <t>% Under or Over Valued =</t>
  </si>
  <si>
    <t xml:space="preserve"> - Debt &amp; Minority Interests (if any)</t>
  </si>
  <si>
    <t>Value of assets in place =</t>
  </si>
  <si>
    <t>Value created/destroyed by growth =</t>
  </si>
  <si>
    <t>$ Value</t>
  </si>
  <si>
    <t>% Value</t>
  </si>
  <si>
    <t>New Investment growth</t>
  </si>
  <si>
    <t xml:space="preserve">Effiiciency growth </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</si>
  <si>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</si>
  <si>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</si>
  <si>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</si>
  <si>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</si>
  <si>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</si>
  <si>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</si>
  <si>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</si>
  <si>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</si>
  <si>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</si>
  <si>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</si>
  <si>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</si>
  <si>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</si>
  <si>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</si>
  <si>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</si>
  <si>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</si>
  <si>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</si>
  <si>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</si>
  <si>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</si>
  <si>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</si>
  <si>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</si>
  <si>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</si>
  <si>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</si>
  <si>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</si>
  <si>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</si>
  <si>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</si>
  <si>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</si>
  <si>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</si>
  <si>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</si>
  <si>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</si>
  <si>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</si>
  <si>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</si>
  <si>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</si>
  <si>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</si>
  <si>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</si>
  <si>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</si>
  <si>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</si>
  <si>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</si>
  <si>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</si>
  <si>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</si>
  <si>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</si>
  <si>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</si>
  <si>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</si>
  <si>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</si>
  <si>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</si>
  <si>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</si>
  <si>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</si>
  <si>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</si>
  <si>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Please read the special cases worksheet (see below) before you use this spreadsheet.</t>
  </si>
  <si>
    <t>Before you use this spreadsheet, make sure that the iteration box (under calculation options in excel) is checked.</t>
  </si>
  <si>
    <t>Enter long term risk free rate  =</t>
  </si>
  <si>
    <t>Note: If you get REF! All over the place, set the operating lease commitment question in cell F5</t>
  </si>
  <si>
    <t>Estimated Company Default Spread =</t>
  </si>
  <si>
    <t>to No, and then reset it to Yes. It should work.</t>
  </si>
  <si>
    <t>Estimated County Default Spread (if any) =</t>
  </si>
  <si>
    <t xml:space="preserve"> If you want to update the spreads listed below, please visit http://www.bondsonline.com</t>
    <phoneticPr fontId="7"/>
  </si>
  <si>
    <t>Mature Market ERP +</t>
  </si>
  <si>
    <t>C</t>
  </si>
  <si>
    <t>Pre-tax Operating Margin (Unadjusted)</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</si>
  <si>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</si>
  <si>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Operating Countries ERP calculator</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</si>
  <si>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</si>
  <si>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Single Business(US)</t>
  </si>
  <si>
    <t>Operating countries</t>
  </si>
  <si>
    <t>Operating Regions ERP calculator</t>
  </si>
  <si>
    <t>Synthetic rating</t>
  </si>
  <si>
    <t>Multi Business (US Industry Averages)</t>
  </si>
  <si>
    <t>Multi Business (Global Industry Averages)</t>
  </si>
  <si>
    <t>Operating Country</t>
  </si>
  <si>
    <t>Operating Regions</t>
  </si>
  <si>
    <t>Book or Market Value</t>
  </si>
  <si>
    <t>ERP choices</t>
  </si>
  <si>
    <t>Cost of debt</t>
  </si>
  <si>
    <t>Beta</t>
  </si>
  <si>
    <t>B</t>
  </si>
  <si>
    <t>Will input</t>
  </si>
  <si>
    <t>Direct input</t>
  </si>
  <si>
    <t>V</t>
  </si>
  <si>
    <t>Country of incorporation</t>
  </si>
  <si>
    <t>Actual rating</t>
  </si>
  <si>
    <t>Single Business(Global)</t>
  </si>
  <si>
    <t>Operating regions</t>
  </si>
  <si>
    <t>Multibusiness(US)</t>
  </si>
  <si>
    <t>Multibusiness(Global)</t>
  </si>
  <si>
    <t>The last two rows in each of country/regiion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</si>
  <si>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Pre-tax Operating Margin (Lease &amp; R&amp;D adjusted)</t>
  </si>
  <si>
    <t>Laos</t>
  </si>
  <si>
    <t>Ca</t>
  </si>
  <si>
    <t>Caa3</t>
  </si>
  <si>
    <t>Current Operating Income =</t>
  </si>
  <si>
    <t>Guernsey (States of)</t>
  </si>
  <si>
    <t>Jersey (States of)</t>
  </si>
  <si>
    <t>Maldives</t>
  </si>
  <si>
    <t>Uzbekistan</t>
  </si>
  <si>
    <t>Changing this number will update all your country equity risk premiums.</t>
  </si>
  <si>
    <t>NR</t>
  </si>
  <si>
    <t>Tax Rate</t>
  </si>
  <si>
    <t>Anguilla</t>
  </si>
  <si>
    <t>Antigua &amp; Barbuda</t>
  </si>
  <si>
    <t>British Virgin Islands</t>
  </si>
  <si>
    <t>Channel Islands</t>
  </si>
  <si>
    <t>Curaçao</t>
  </si>
  <si>
    <t>Falkland Islands</t>
  </si>
  <si>
    <t>French Guiana</t>
  </si>
  <si>
    <t>Gibraltar</t>
  </si>
  <si>
    <t>Greenland</t>
  </si>
  <si>
    <t>Ivory Coast</t>
  </si>
  <si>
    <t>Macau</t>
  </si>
  <si>
    <t>Martinique</t>
  </si>
  <si>
    <t>Monaco</t>
  </si>
  <si>
    <t>Netherlands Antilles</t>
  </si>
  <si>
    <t>Palestinian Authority</t>
  </si>
  <si>
    <t>Reunion</t>
  </si>
  <si>
    <t>Saint Lucia</t>
  </si>
  <si>
    <t>South Korea</t>
  </si>
  <si>
    <t>Trinidad &amp;' Tobago</t>
  </si>
  <si>
    <t>Turks &amp; Caicos Islands</t>
  </si>
  <si>
    <t>Yemen</t>
  </si>
  <si>
    <t>Default Spread</t>
  </si>
  <si>
    <t>CRP</t>
  </si>
  <si>
    <t>Auto Parts</t>
  </si>
  <si>
    <t>Bank (Money Center)</t>
  </si>
  <si>
    <t>Banks (Regional)</t>
  </si>
  <si>
    <t>Beverage (Soft)</t>
  </si>
  <si>
    <t>Broadcasting</t>
  </si>
  <si>
    <t>Brokerage &amp; Investment Banking</t>
  </si>
  <si>
    <t>Business &amp; Consumer Services</t>
  </si>
  <si>
    <t>Coal &amp; Related Energy</t>
  </si>
  <si>
    <t>Computer Services</t>
  </si>
  <si>
    <t>Construction Supplies</t>
  </si>
  <si>
    <t>Diversified</t>
  </si>
  <si>
    <t>Drugs (Biotechnology)</t>
  </si>
  <si>
    <t>Drugs (Pharmaceutical)</t>
  </si>
  <si>
    <t>Education</t>
  </si>
  <si>
    <t>Electronics (Consumer &amp; Office)</t>
  </si>
  <si>
    <t>Electronics (General)</t>
  </si>
  <si>
    <t>Engineering/Construction</t>
  </si>
  <si>
    <t>Environmental &amp; Waste Services</t>
  </si>
  <si>
    <t>Farming/Agriculture</t>
  </si>
  <si>
    <t>Financial Svcs. (Non-bank &amp; Insurance)</t>
  </si>
  <si>
    <t>Furn/Home Furnishings</t>
  </si>
  <si>
    <t>Green &amp; Renewable Energy</t>
  </si>
  <si>
    <t>Healthcare Products</t>
  </si>
  <si>
    <t>Healthcare Support Services</t>
  </si>
  <si>
    <t>Heathcare Information and Technology</t>
  </si>
  <si>
    <t>Hospitals/Healthcare Facilities</t>
  </si>
  <si>
    <t>Information Services</t>
  </si>
  <si>
    <t>Insurance (General)</t>
  </si>
  <si>
    <t>Insurance (Prop/Cas.)</t>
  </si>
  <si>
    <t>Investments &amp; Asset Management</t>
  </si>
  <si>
    <t>Metals &amp; Mining</t>
  </si>
  <si>
    <t>Office Equipment &amp; Services</t>
  </si>
  <si>
    <t>Oil/Gas (Integrated)</t>
  </si>
  <si>
    <t>Oil/Gas (Production and Exploration)</t>
  </si>
  <si>
    <t>Oil/Gas Distribution</t>
  </si>
  <si>
    <t>Oilfield Svcs/Equip.</t>
  </si>
  <si>
    <t>Paper/Forest Products</t>
  </si>
  <si>
    <t>Power</t>
  </si>
  <si>
    <t>Precious Metals</t>
  </si>
  <si>
    <t>Publishing &amp; Newspapers</t>
  </si>
  <si>
    <t>Real Estate (Development)</t>
  </si>
  <si>
    <t>Real Estate (General/Diversified)</t>
  </si>
  <si>
    <t>Real Estate (Operations &amp; Services)</t>
  </si>
  <si>
    <t>Reinsurance</t>
  </si>
  <si>
    <t>Restaurant/Dining</t>
  </si>
  <si>
    <t>Retail (Automotive)</t>
  </si>
  <si>
    <t>Retail (Building Supply)</t>
  </si>
  <si>
    <t>Retail (Distributors)</t>
  </si>
  <si>
    <t>Retail (General)</t>
  </si>
  <si>
    <t>Retail (Grocery and Food)</t>
  </si>
  <si>
    <t>Retail (REITs)</t>
  </si>
  <si>
    <t>Rubber&amp; Tires</t>
  </si>
  <si>
    <t>Semiconductor Equip</t>
  </si>
  <si>
    <t>Shipbuilding &amp; Marine</t>
  </si>
  <si>
    <t>Software (Entertainment)</t>
  </si>
  <si>
    <t>Software (Internet)</t>
  </si>
  <si>
    <t>Software (System &amp; Application)</t>
  </si>
  <si>
    <t>Steel</t>
  </si>
  <si>
    <t>Telecom (Wireless)</t>
  </si>
  <si>
    <t>Transportation</t>
  </si>
  <si>
    <t>Transportation (Railroads)</t>
  </si>
  <si>
    <t>Trucking</t>
  </si>
  <si>
    <t>Utility (General)</t>
  </si>
  <si>
    <t>Utility (Water)</t>
  </si>
  <si>
    <t xml:space="preserve">Eli Lilly </t>
  </si>
  <si>
    <t>AAA</t>
  </si>
  <si>
    <t>Return on Invested Capital</t>
  </si>
  <si>
    <t>Transition Period</t>
  </si>
  <si>
    <t>Stable Growth</t>
  </si>
  <si>
    <t>Tiotal Market</t>
  </si>
  <si>
    <t>Total Market (without financials)</t>
  </si>
  <si>
    <t>Total Market</t>
  </si>
  <si>
    <t>Updated January 1, 2025</t>
  </si>
  <si>
    <t>Nepal</t>
  </si>
  <si>
    <t>Weighted Average: Default Spreads</t>
  </si>
  <si>
    <t>Weighted Average: CRP</t>
  </si>
  <si>
    <t>Total GDP (in $ millions)</t>
  </si>
  <si>
    <t>Eastern Europe</t>
  </si>
  <si>
    <t>Tax rate</t>
  </si>
  <si>
    <t>Africa &amp; Mid East</t>
  </si>
  <si>
    <t>Australia, NZ &amp; Canada</t>
  </si>
  <si>
    <t>Latin America &amp; Caribbean</t>
  </si>
  <si>
    <t>US</t>
  </si>
  <si>
    <t>Europe</t>
  </si>
  <si>
    <t>Emerging Markets</t>
  </si>
  <si>
    <t>Small Asia (No India, China &amp; Japan)</t>
  </si>
  <si>
    <t>For other regional groupings</t>
  </si>
  <si>
    <t>EMEA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</si>
</sst>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164" formatCode="0.0%"/>
    <numFmt numFmtId="165" formatCode="0.0000"/>
    <numFmt numFmtId="166" formatCode="&quot;$&quot;#,##0.00"/>
    <numFmt numFmtId="167" formatCode="#,##0.0000"/>
    <numFmt numFmtId="168" formatCode="0.0000%"/>
    <numFmt numFmtId="169" formatCode="_([$$-409]* #,##0.00_);_([$$-409]* \(#,##0.00\);_([$$-409]* &quot;-&quot;??_);_(@_)"/>
    <numFmt numFmtId="170" formatCode="&quot;$&quot;#,##0"/>
  </numFmts>
  <fonts count="58">
    <font>
      <sz val="10"/>
      <name val="Geneva"/>
      <charset val="1"/>
    </font>
    <font>
      <b/>
      <sz val="10"/>
      <name val="Geneva"/>
      <family val="2"/>
      <charset val="1"/>
    </font>
    <font>
      <i/>
      <sz val="10"/>
      <name val="Geneva"/>
      <family val="2"/>
      <charset val="1"/>
    </font>
    <font>
      <sz val="10"/>
      <name val="Geneva"/>
      <family val="2"/>
      <charset val="1"/>
    </font>
    <font>
      <sz val="12"/>
      <name val="Times"/>
      <family val="1"/>
    </font>
    <font>
      <sz val="10"/>
      <name val="Times"/>
      <family val="1"/>
    </font>
    <font>
      <b/>
      <i/>
      <sz val="10"/>
      <name val="Times"/>
      <family val="1"/>
    </font>
    <font>
      <b/>
      <sz val="10"/>
      <name val="Times"/>
      <family val="1"/>
    </font>
    <font>
      <i/>
      <sz val="10"/>
      <name val="Times"/>
      <family val="1"/>
    </font>
    <font>
      <sz val="9"/>
      <color indexed="81"/>
      <name val="Geneva"/>
      <family val="2"/>
      <charset val="1"/>
    </font>
    <font>
      <b/>
      <sz val="9"/>
      <color indexed="81"/>
      <name val="Geneva"/>
      <family val="2"/>
      <charset val="1"/>
    </font>
    <font>
      <b/>
      <sz val="14"/>
      <name val="Times"/>
      <family val="1"/>
    </font>
    <font>
      <b/>
      <i/>
      <sz val="9"/>
      <name val="Geneva"/>
      <family val="2"/>
      <charset val="1"/>
    </font>
    <font>
      <sz val="9"/>
      <name val="Times"/>
      <family val="1"/>
    </font>
    <font>
      <b/>
      <sz val="9"/>
      <name val="Times"/>
      <family val="1"/>
    </font>
    <font>
      <b/>
      <sz val="12"/>
      <name val="Times"/>
      <family val="1"/>
    </font>
    <font>
      <b/>
      <sz val="14"/>
      <name val="Geneva"/>
      <family val="2"/>
      <charset val="1"/>
    </font>
    <font>
      <sz val="14"/>
      <name val="Geneva"/>
      <family val="2"/>
      <charset val="1"/>
    </font>
    <font>
      <sz val="10"/>
      <color indexed="10"/>
      <name val="Times"/>
      <family val="1"/>
    </font>
    <font>
      <sz val="10"/>
      <color indexed="10"/>
      <name val="Geneva"/>
      <family val="2"/>
      <charset val="1"/>
    </font>
    <font>
      <b/>
      <sz val="14"/>
      <color indexed="10"/>
      <name val="Times"/>
      <family val="1"/>
    </font>
    <font>
      <sz val="8"/>
      <name val="Geneva"/>
      <family val="2"/>
      <charset val="1"/>
    </font>
    <font>
      <u/>
      <sz val="10"/>
      <color indexed="12"/>
      <name val="Geneva"/>
      <family val="2"/>
      <charset val="1"/>
    </font>
    <font>
      <i/>
      <sz val="9"/>
      <name val="Geneva"/>
      <family val="2"/>
      <charset val="1"/>
    </font>
    <font>
      <sz val="8"/>
      <name val="Verdana"/>
      <family val="2"/>
    </font>
    <font>
      <sz val="9"/>
      <name val="Geneva"/>
      <family val="2"/>
      <charset val="1"/>
    </font>
    <font>
      <b/>
      <i/>
      <sz val="14"/>
      <name val="Times"/>
      <family val="1"/>
    </font>
    <font>
      <b/>
      <i/>
      <sz val="12"/>
      <name val="Times"/>
      <family val="1"/>
    </font>
    <font>
      <sz val="10"/>
      <name val="Helv"/>
    </font>
    <font>
      <i/>
      <sz val="10"/>
      <name val="Helv"/>
    </font>
    <font>
      <sz val="8"/>
      <name val="Arial"/>
      <family val="2"/>
    </font>
    <font>
      <i/>
      <sz val="12"/>
      <name val="Geneva"/>
      <family val="2"/>
      <charset val="1"/>
    </font>
    <font>
      <i/>
      <sz val="12"/>
      <name val="Times"/>
      <family val="1"/>
    </font>
    <font>
      <b/>
      <sz val="9"/>
      <color indexed="8"/>
      <name val="Geneva"/>
      <family val="2"/>
      <charset val="1"/>
    </font>
    <font>
      <sz val="9"/>
      <color indexed="8"/>
      <name val="Geneva"/>
      <family val="2"/>
      <charset val="1"/>
    </font>
    <font>
      <b/>
      <sz val="9"/>
      <name val="Geneva"/>
      <family val="2"/>
      <charset val="1"/>
    </font>
    <font>
      <sz val="10"/>
      <name val="Arial"/>
      <family val="2"/>
    </font>
    <font>
      <i/>
      <sz val="9"/>
      <name val="Geneva"/>
      <family val="2"/>
      <charset val="1"/>
    </font>
    <font>
      <sz val="10"/>
      <color rgb="FFFF0000"/>
      <name val="Times"/>
      <family val="1"/>
    </font>
    <font>
      <sz val="10"/>
      <name val="Calibri"/>
      <family val="2"/>
      <scheme val="minor"/>
    </font>
    <font>
      <sz val="10"/>
      <color rgb="FFFF0000"/>
      <name val="Geneva"/>
      <family val="2"/>
      <charset val="1"/>
    </font>
    <font>
      <sz val="12"/>
      <name val="Calibri"/>
      <family val="2"/>
      <scheme val="minor"/>
    </font>
    <font>
      <sz val="12"/>
      <color indexed="10"/>
      <name val="Calibri"/>
      <family val="2"/>
      <scheme val="minor"/>
    </font>
    <font>
      <b/>
      <i/>
      <sz val="12"/>
      <name val="Calibri"/>
      <family val="2"/>
      <scheme val="minor"/>
    </font>
    <font>
      <b/>
      <sz val="12"/>
      <name val="Calibri"/>
      <family val="2"/>
      <scheme val="minor"/>
    </font>
    <font>
      <i/>
      <sz val="12"/>
      <name val="Calibri"/>
      <family val="2"/>
      <scheme val="minor"/>
    </font>
    <font>
      <b/>
      <sz val="12"/>
      <color indexed="10"/>
      <name val="Calibri"/>
      <family val="2"/>
      <scheme val="minor"/>
    </font>
    <font>
      <sz val="10"/>
      <name val="Cambria"/>
      <family val="1"/>
      <scheme val="major"/>
    </font>
    <font>
      <b/>
      <i/>
      <sz val="12"/>
      <color indexed="10"/>
      <name val="Calibri"/>
      <family val="2"/>
      <scheme val="minor"/>
    </font>
    <font>
      <sz val="12"/>
      <color theme="1"/>
      <name val="Calibri"/>
      <family val="2"/>
      <scheme val="minor"/>
    </font>
    <font>
      <sz val="12"/>
      <color theme="1"/>
      <name val="Arial"/>
      <family val="2"/>
    </font>
    <font>
      <sz val="10"/>
      <color rgb="FF000000"/>
      <name val="Tahoma"/>
      <family val="2"/>
    </font>
    <font>
      <b/>
      <sz val="10"/>
      <color rgb="FF000000"/>
      <name val="Tahoma"/>
      <family val="2"/>
    </font>
    <font>
      <sz val="10"/>
      <name val="Geneva"/>
      <family val="2"/>
    </font>
    <font>
      <b/>
      <sz val="9"/>
      <color rgb="FF000000"/>
      <name val="Geneva"/>
      <family val="2"/>
      <charset val="1"/>
    </font>
    <font>
      <sz val="9"/>
      <color rgb="FF000000"/>
      <name val="Geneva"/>
      <family val="2"/>
      <charset val="1"/>
    </font>
    <font>
      <sz val="10"/>
      <color rgb="FF000000"/>
      <name val="Helvetica"/>
      <family val="2"/>
    </font>
    <font>
      <sz val="12"/>
      <name val="Helvetica"/>
      <family val="2"/>
    </font>
  </fonts>
  <fills count="10">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theme="2"/>
        <bgColor indexed="64"/>
      </patternFill>
    </fill>
    <fill>
      <patternFill patternType="solid">
        <fgColor theme="0" tint="-0.14999847407452621"/>
        <bgColor indexed="64"/>
      </patternFill>
    </fill>
    <fill>
      <patternFill patternType="solid">
        <fgColor theme="2"/>
        <bgColor theme="0" tint="-0.14999847407452621"/>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top style="thin">
        <color theme="6" tint="0.79998168889431442"/>
      </top>
      <bottom style="thin">
        <color theme="6" tint="0.79998168889431442"/>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5">
    <xf numFmtId="0" fontId="0" fillId="0" borderId="0"/>
    <xf numFmtId="4" fontId="3" fillId="0" borderId="0" applyFont="0" applyFill="0" applyBorder="0" applyAlignment="0" applyProtection="0"/>
    <xf numFmtId="8" fontId="3" fillId="0" borderId="0" applyFont="0" applyFill="0" applyBorder="0" applyAlignment="0" applyProtection="0"/>
    <xf numFmtId="0" fontId="22" fillId="0" borderId="0" applyNumberFormat="0" applyFill="0" applyBorder="0" applyAlignment="0" applyProtection="0">
      <alignment vertical="top"/>
      <protection locked="0"/>
    </xf>
    <xf numFmtId="9" fontId="3" fillId="0" borderId="0" applyFont="0" applyFill="0" applyBorder="0" applyAlignment="0" applyProtection="0"/>
  </cellStyleXfs>
  <cellXfs count="270">
    <xf numFmtId="0" fontId="0" fillId="0" borderId="0" xfId="0"/>
    <xf numFmtId="0" fontId="5" fillId="0" borderId="0" xfId="0" applyFont="1"/>
    <xf numFmtId="0" fontId="6" fillId="0" borderId="0" xfId="0" applyFont="1"/>
    <xf numFmtId="0" fontId="7" fillId="0" borderId="0" xfId="0" applyFont="1"/>
    <xf numFmtId="0" fontId="8" fillId="0" borderId="0" xfId="0" applyFont="1"/>
    <xf numFmtId="0" fontId="5" fillId="0" borderId="0" xfId="0" applyFont="1" applyAlignment="1">
      <alignment horizontal="center"/>
    </xf>
    <xf numFmtId="8" fontId="5" fillId="0" borderId="0" xfId="2" applyFont="1" applyBorder="1" applyAlignment="1">
      <alignment horizontal="center"/>
    </xf>
    <xf numFmtId="0" fontId="5" fillId="0" borderId="1" xfId="0" applyFont="1" applyBorder="1"/>
    <xf numFmtId="0" fontId="5" fillId="0" borderId="1" xfId="0" applyFont="1" applyBorder="1" applyAlignment="1">
      <alignment horizontal="center"/>
    </xf>
    <xf numFmtId="0" fontId="7" fillId="0" borderId="0" xfId="0" applyFont="1" applyAlignment="1">
      <alignment horizontal="center"/>
    </xf>
    <xf numFmtId="0" fontId="8" fillId="0" borderId="0" xfId="0" applyFont="1" applyAlignment="1">
      <alignment horizontal="center"/>
    </xf>
    <xf numFmtId="0" fontId="5" fillId="0" borderId="0" xfId="0" applyFont="1" applyAlignment="1">
      <alignment horizontal="left"/>
    </xf>
    <xf numFmtId="0" fontId="11" fillId="0" borderId="0" xfId="0" applyFont="1" applyAlignment="1">
      <alignment horizontal="centerContinuous"/>
    </xf>
    <xf numFmtId="2" fontId="5" fillId="0" borderId="0" xfId="0" applyNumberFormat="1" applyFont="1"/>
    <xf numFmtId="0" fontId="11" fillId="0" borderId="0" xfId="0" applyFont="1"/>
    <xf numFmtId="0" fontId="5" fillId="0" borderId="2" xfId="0" applyFont="1" applyBorder="1"/>
    <xf numFmtId="0" fontId="3" fillId="0" borderId="0" xfId="0" applyFont="1"/>
    <xf numFmtId="0" fontId="8" fillId="0" borderId="1" xfId="0" applyFont="1" applyBorder="1" applyAlignment="1">
      <alignment horizontal="centerContinuous"/>
    </xf>
    <xf numFmtId="8" fontId="5" fillId="0" borderId="2" xfId="0" applyNumberFormat="1" applyFont="1" applyBorder="1"/>
    <xf numFmtId="10" fontId="5" fillId="0" borderId="1" xfId="4" applyNumberFormat="1" applyFont="1" applyBorder="1"/>
    <xf numFmtId="10" fontId="5" fillId="0" borderId="1" xfId="0" applyNumberFormat="1" applyFont="1" applyBorder="1"/>
    <xf numFmtId="8" fontId="5" fillId="0" borderId="0" xfId="2" applyFont="1" applyBorder="1"/>
    <xf numFmtId="0" fontId="5" fillId="0" borderId="3" xfId="0" applyFont="1" applyBorder="1"/>
    <xf numFmtId="0" fontId="12" fillId="0" borderId="0" xfId="0" applyFont="1"/>
    <xf numFmtId="166" fontId="5" fillId="0" borderId="2" xfId="0" applyNumberFormat="1" applyFont="1" applyBorder="1"/>
    <xf numFmtId="2" fontId="13" fillId="0" borderId="1" xfId="0" applyNumberFormat="1" applyFont="1" applyBorder="1" applyAlignment="1">
      <alignment horizontal="center"/>
    </xf>
    <xf numFmtId="2" fontId="13" fillId="0" borderId="0" xfId="0" applyNumberFormat="1" applyFont="1"/>
    <xf numFmtId="1" fontId="13" fillId="0" borderId="1" xfId="0" applyNumberFormat="1" applyFont="1" applyBorder="1" applyAlignment="1">
      <alignment horizontal="center"/>
    </xf>
    <xf numFmtId="2" fontId="14" fillId="0" borderId="0" xfId="0" applyNumberFormat="1" applyFont="1"/>
    <xf numFmtId="2" fontId="13" fillId="0" borderId="4" xfId="0" applyNumberFormat="1" applyFont="1" applyBorder="1" applyAlignment="1">
      <alignment horizontal="centerContinuous"/>
    </xf>
    <xf numFmtId="2" fontId="13" fillId="0" borderId="5" xfId="0" applyNumberFormat="1" applyFont="1" applyBorder="1" applyAlignment="1">
      <alignment horizontal="centerContinuous"/>
    </xf>
    <xf numFmtId="2" fontId="13" fillId="0" borderId="3" xfId="0" applyNumberFormat="1" applyFont="1" applyBorder="1" applyAlignment="1">
      <alignment horizontal="center"/>
    </xf>
    <xf numFmtId="0" fontId="15" fillId="0" borderId="0" xfId="0" applyFont="1"/>
    <xf numFmtId="0" fontId="11" fillId="0" borderId="0" xfId="0" applyFont="1" applyAlignment="1">
      <alignment horizontal="center"/>
    </xf>
    <xf numFmtId="0" fontId="0" fillId="0" borderId="0" xfId="0" applyAlignment="1">
      <alignment horizontal="center"/>
    </xf>
    <xf numFmtId="0" fontId="16" fillId="0" borderId="0" xfId="0" applyFont="1"/>
    <xf numFmtId="0" fontId="2" fillId="0" borderId="0" xfId="0" applyFont="1"/>
    <xf numFmtId="0" fontId="7" fillId="0" borderId="1" xfId="0" applyFont="1" applyBorder="1"/>
    <xf numFmtId="10" fontId="7" fillId="0" borderId="0" xfId="0" applyNumberFormat="1" applyFont="1"/>
    <xf numFmtId="3" fontId="5" fillId="0" borderId="1" xfId="0" applyNumberFormat="1" applyFont="1" applyBorder="1"/>
    <xf numFmtId="10" fontId="7" fillId="0" borderId="1" xfId="0" applyNumberFormat="1" applyFont="1" applyBorder="1"/>
    <xf numFmtId="167" fontId="7" fillId="0" borderId="1" xfId="1" applyNumberFormat="1" applyFont="1" applyBorder="1"/>
    <xf numFmtId="166" fontId="5" fillId="0" borderId="6" xfId="0" applyNumberFormat="1" applyFont="1" applyBorder="1"/>
    <xf numFmtId="6" fontId="5" fillId="0" borderId="1" xfId="2" applyNumberFormat="1" applyFont="1" applyBorder="1"/>
    <xf numFmtId="8" fontId="5" fillId="0" borderId="0" xfId="0" applyNumberFormat="1" applyFont="1"/>
    <xf numFmtId="8" fontId="5" fillId="0" borderId="0" xfId="2" applyFont="1"/>
    <xf numFmtId="10" fontId="5" fillId="2" borderId="2" xfId="0" applyNumberFormat="1" applyFont="1" applyFill="1" applyBorder="1" applyAlignment="1">
      <alignment horizontal="center"/>
    </xf>
    <xf numFmtId="8" fontId="5" fillId="2" borderId="1" xfId="2" applyFont="1" applyFill="1" applyBorder="1"/>
    <xf numFmtId="0" fontId="5" fillId="2" borderId="1" xfId="0" applyFont="1" applyFill="1" applyBorder="1" applyAlignment="1">
      <alignment horizontal="center"/>
    </xf>
    <xf numFmtId="44" fontId="5" fillId="2" borderId="1" xfId="0" applyNumberFormat="1" applyFont="1" applyFill="1" applyBorder="1"/>
    <xf numFmtId="44" fontId="5" fillId="2" borderId="3" xfId="0" applyNumberFormat="1" applyFont="1" applyFill="1" applyBorder="1"/>
    <xf numFmtId="8" fontId="5" fillId="2" borderId="3" xfId="2" applyFont="1" applyFill="1" applyBorder="1"/>
    <xf numFmtId="0" fontId="5" fillId="2" borderId="2" xfId="0" applyFont="1" applyFill="1" applyBorder="1"/>
    <xf numFmtId="44" fontId="5" fillId="2" borderId="2" xfId="0" applyNumberFormat="1" applyFont="1" applyFill="1" applyBorder="1"/>
    <xf numFmtId="8" fontId="5" fillId="2" borderId="7" xfId="0" applyNumberFormat="1" applyFont="1" applyFill="1" applyBorder="1"/>
    <xf numFmtId="44" fontId="5" fillId="2" borderId="7" xfId="0" applyNumberFormat="1" applyFont="1" applyFill="1" applyBorder="1"/>
    <xf numFmtId="8" fontId="5" fillId="3" borderId="1" xfId="2" applyFont="1" applyFill="1" applyBorder="1" applyAlignment="1">
      <alignment horizontal="center"/>
    </xf>
    <xf numFmtId="10" fontId="5" fillId="3" borderId="1" xfId="2" applyNumberFormat="1" applyFont="1" applyFill="1" applyBorder="1" applyAlignment="1">
      <alignment horizontal="center"/>
    </xf>
    <xf numFmtId="0" fontId="5" fillId="3" borderId="1" xfId="0" applyFont="1" applyFill="1" applyBorder="1"/>
    <xf numFmtId="0" fontId="5" fillId="3" borderId="1" xfId="0" applyFont="1" applyFill="1" applyBorder="1" applyAlignment="1">
      <alignment horizontal="center"/>
    </xf>
    <xf numFmtId="4" fontId="5" fillId="3" borderId="1" xfId="1" applyFont="1" applyFill="1" applyBorder="1" applyAlignment="1">
      <alignment horizontal="center"/>
    </xf>
    <xf numFmtId="10" fontId="5" fillId="3" borderId="1" xfId="0" applyNumberFormat="1" applyFont="1" applyFill="1" applyBorder="1" applyAlignment="1">
      <alignment horizontal="center"/>
    </xf>
    <xf numFmtId="8" fontId="5" fillId="0" borderId="0" xfId="2" applyFont="1" applyFill="1" applyBorder="1" applyAlignment="1">
      <alignment horizontal="center"/>
    </xf>
    <xf numFmtId="9" fontId="5" fillId="3" borderId="1" xfId="0" applyNumberFormat="1" applyFont="1" applyFill="1" applyBorder="1" applyAlignment="1">
      <alignment horizontal="center"/>
    </xf>
    <xf numFmtId="8" fontId="5" fillId="3" borderId="1" xfId="2" applyFont="1" applyFill="1" applyBorder="1"/>
    <xf numFmtId="2" fontId="13" fillId="3" borderId="1" xfId="0" applyNumberFormat="1" applyFont="1" applyFill="1" applyBorder="1" applyAlignment="1">
      <alignment horizontal="center"/>
    </xf>
    <xf numFmtId="44" fontId="5" fillId="3" borderId="1" xfId="2" applyNumberFormat="1" applyFont="1" applyFill="1" applyBorder="1"/>
    <xf numFmtId="2" fontId="5" fillId="3" borderId="1" xfId="0" applyNumberFormat="1" applyFont="1" applyFill="1" applyBorder="1" applyAlignment="1">
      <alignment horizontal="center"/>
    </xf>
    <xf numFmtId="8" fontId="7" fillId="0" borderId="0" xfId="2" applyFont="1" applyFill="1" applyBorder="1" applyAlignment="1">
      <alignment horizontal="center"/>
    </xf>
    <xf numFmtId="8" fontId="8" fillId="0" borderId="0" xfId="2" applyFont="1" applyFill="1" applyBorder="1" applyAlignment="1">
      <alignment horizontal="center"/>
    </xf>
    <xf numFmtId="8" fontId="5" fillId="2" borderId="1" xfId="0" applyNumberFormat="1" applyFont="1" applyFill="1" applyBorder="1"/>
    <xf numFmtId="10" fontId="5" fillId="2" borderId="1" xfId="4" applyNumberFormat="1" applyFont="1" applyFill="1" applyBorder="1" applyAlignment="1">
      <alignment horizontal="center"/>
    </xf>
    <xf numFmtId="10" fontId="5" fillId="3" borderId="1" xfId="4" applyNumberFormat="1" applyFont="1" applyFill="1" applyBorder="1" applyAlignment="1">
      <alignment horizontal="center"/>
    </xf>
    <xf numFmtId="10" fontId="5" fillId="3" borderId="1" xfId="4" applyNumberFormat="1" applyFont="1" applyFill="1" applyBorder="1"/>
    <xf numFmtId="0" fontId="17" fillId="0" borderId="0" xfId="0" applyFont="1"/>
    <xf numFmtId="0" fontId="5" fillId="2" borderId="1" xfId="0" applyFont="1" applyFill="1" applyBorder="1"/>
    <xf numFmtId="10" fontId="5" fillId="2" borderId="1" xfId="4" applyNumberFormat="1" applyFont="1" applyFill="1" applyBorder="1"/>
    <xf numFmtId="10" fontId="5" fillId="2" borderId="1" xfId="0" applyNumberFormat="1" applyFont="1" applyFill="1" applyBorder="1"/>
    <xf numFmtId="2" fontId="5" fillId="2" borderId="1" xfId="0" applyNumberFormat="1" applyFont="1" applyFill="1" applyBorder="1"/>
    <xf numFmtId="4" fontId="5" fillId="2" borderId="1" xfId="0" applyNumberFormat="1" applyFont="1" applyFill="1" applyBorder="1"/>
    <xf numFmtId="10" fontId="5" fillId="0" borderId="0" xfId="0" applyNumberFormat="1" applyFont="1" applyAlignment="1">
      <alignment horizontal="center"/>
    </xf>
    <xf numFmtId="0" fontId="18" fillId="0" borderId="0" xfId="0" applyFont="1"/>
    <xf numFmtId="8" fontId="5" fillId="0" borderId="2" xfId="2" applyFont="1" applyBorder="1"/>
    <xf numFmtId="0" fontId="19" fillId="0" borderId="0" xfId="0" applyFont="1"/>
    <xf numFmtId="8" fontId="13" fillId="0" borderId="1" xfId="2" applyFont="1" applyBorder="1"/>
    <xf numFmtId="8" fontId="13" fillId="0" borderId="3" xfId="2" applyFont="1" applyBorder="1"/>
    <xf numFmtId="9" fontId="5" fillId="3" borderId="1" xfId="4" applyFont="1" applyFill="1" applyBorder="1" applyAlignment="1">
      <alignment horizontal="center"/>
    </xf>
    <xf numFmtId="0" fontId="22" fillId="0" borderId="0" xfId="3" applyAlignment="1" applyProtection="1"/>
    <xf numFmtId="0" fontId="38" fillId="0" borderId="0" xfId="0" applyFont="1"/>
    <xf numFmtId="166" fontId="5" fillId="3" borderId="1" xfId="0" applyNumberFormat="1" applyFont="1" applyFill="1" applyBorder="1"/>
    <xf numFmtId="0" fontId="5" fillId="4" borderId="1" xfId="0" applyFont="1" applyFill="1" applyBorder="1"/>
    <xf numFmtId="166" fontId="5" fillId="4" borderId="1" xfId="0" applyNumberFormat="1" applyFont="1" applyFill="1" applyBorder="1"/>
    <xf numFmtId="0" fontId="5" fillId="5" borderId="0" xfId="0" applyFont="1" applyFill="1" applyAlignment="1">
      <alignment horizontal="center"/>
    </xf>
    <xf numFmtId="0" fontId="26" fillId="0" borderId="0" xfId="0" applyFont="1"/>
    <xf numFmtId="0" fontId="27" fillId="0" borderId="0" xfId="0" applyFont="1"/>
    <xf numFmtId="0" fontId="6" fillId="0" borderId="1" xfId="0" applyFont="1" applyBorder="1"/>
    <xf numFmtId="10" fontId="5" fillId="6" borderId="1" xfId="4" applyNumberFormat="1" applyFont="1" applyFill="1" applyBorder="1"/>
    <xf numFmtId="2" fontId="5" fillId="6" borderId="1" xfId="0" applyNumberFormat="1" applyFont="1" applyFill="1" applyBorder="1"/>
    <xf numFmtId="44" fontId="5" fillId="6" borderId="1" xfId="0" applyNumberFormat="1" applyFont="1" applyFill="1" applyBorder="1"/>
    <xf numFmtId="0" fontId="5" fillId="6" borderId="1" xfId="0" applyFont="1" applyFill="1" applyBorder="1"/>
    <xf numFmtId="2" fontId="5" fillId="3" borderId="1" xfId="0" applyNumberFormat="1" applyFont="1" applyFill="1" applyBorder="1"/>
    <xf numFmtId="10" fontId="5" fillId="6" borderId="1" xfId="0" applyNumberFormat="1" applyFont="1" applyFill="1" applyBorder="1"/>
    <xf numFmtId="168" fontId="5" fillId="6" borderId="1" xfId="4" applyNumberFormat="1" applyFont="1" applyFill="1" applyBorder="1"/>
    <xf numFmtId="168" fontId="5" fillId="6" borderId="1" xfId="0" applyNumberFormat="1" applyFont="1" applyFill="1" applyBorder="1"/>
    <xf numFmtId="169" fontId="5" fillId="4" borderId="1" xfId="2" applyNumberFormat="1" applyFont="1" applyFill="1" applyBorder="1"/>
    <xf numFmtId="165" fontId="5" fillId="6" borderId="1" xfId="0" applyNumberFormat="1" applyFont="1" applyFill="1" applyBorder="1"/>
    <xf numFmtId="169" fontId="5" fillId="6" borderId="1" xfId="0" applyNumberFormat="1" applyFont="1" applyFill="1" applyBorder="1"/>
    <xf numFmtId="8" fontId="5" fillId="6" borderId="1" xfId="2" applyFont="1" applyFill="1" applyBorder="1"/>
    <xf numFmtId="2" fontId="5" fillId="6" borderId="1" xfId="2" applyNumberFormat="1" applyFont="1" applyFill="1" applyBorder="1"/>
    <xf numFmtId="0" fontId="8" fillId="0" borderId="1" xfId="0" applyFont="1" applyBorder="1" applyAlignment="1">
      <alignment horizontal="center"/>
    </xf>
    <xf numFmtId="10" fontId="5" fillId="6" borderId="3" xfId="0" applyNumberFormat="1" applyFont="1" applyFill="1" applyBorder="1"/>
    <xf numFmtId="10" fontId="5" fillId="6" borderId="4" xfId="4" applyNumberFormat="1" applyFont="1" applyFill="1" applyBorder="1"/>
    <xf numFmtId="10" fontId="5" fillId="6" borderId="2" xfId="4" applyNumberFormat="1" applyFont="1" applyFill="1" applyBorder="1"/>
    <xf numFmtId="0" fontId="0" fillId="6" borderId="1" xfId="0" applyFill="1" applyBorder="1"/>
    <xf numFmtId="169" fontId="25" fillId="6" borderId="1" xfId="2" applyNumberFormat="1" applyFont="1" applyFill="1" applyBorder="1"/>
    <xf numFmtId="165" fontId="0" fillId="6" borderId="1" xfId="0" applyNumberFormat="1" applyFill="1" applyBorder="1"/>
    <xf numFmtId="0" fontId="23" fillId="0" borderId="0" xfId="0" applyFont="1"/>
    <xf numFmtId="0" fontId="0" fillId="0" borderId="1" xfId="0" applyBorder="1"/>
    <xf numFmtId="0" fontId="39" fillId="0" borderId="1" xfId="0" applyFont="1" applyBorder="1" applyAlignment="1">
      <alignment horizontal="center"/>
    </xf>
    <xf numFmtId="0" fontId="5" fillId="4" borderId="1" xfId="0" applyFont="1" applyFill="1" applyBorder="1" applyAlignment="1">
      <alignment horizontal="center"/>
    </xf>
    <xf numFmtId="15" fontId="5" fillId="4" borderId="1" xfId="0" applyNumberFormat="1" applyFont="1" applyFill="1" applyBorder="1" applyAlignment="1">
      <alignment horizontal="center"/>
    </xf>
    <xf numFmtId="10" fontId="0" fillId="0" borderId="1" xfId="0" applyNumberFormat="1" applyBorder="1" applyAlignment="1">
      <alignment horizontal="center"/>
    </xf>
    <xf numFmtId="0" fontId="23" fillId="0" borderId="1" xfId="0" applyFont="1" applyBorder="1" applyAlignment="1">
      <alignment horizontal="center" wrapText="1"/>
    </xf>
    <xf numFmtId="0" fontId="0" fillId="0" borderId="1" xfId="0" applyBorder="1" applyAlignment="1">
      <alignment horizontal="center"/>
    </xf>
    <xf numFmtId="0" fontId="28" fillId="0" borderId="1" xfId="0" applyFont="1" applyBorder="1"/>
    <xf numFmtId="0" fontId="29" fillId="0" borderId="0" xfId="0" applyFont="1"/>
    <xf numFmtId="166" fontId="23" fillId="0" borderId="0" xfId="0" applyNumberFormat="1" applyFont="1" applyAlignment="1">
      <alignment horizontal="center"/>
    </xf>
    <xf numFmtId="166" fontId="23" fillId="0" borderId="0" xfId="0" applyNumberFormat="1" applyFont="1"/>
    <xf numFmtId="0" fontId="28" fillId="0" borderId="0" xfId="0" applyFont="1"/>
    <xf numFmtId="166" fontId="0" fillId="0" borderId="0" xfId="0" applyNumberFormat="1" applyAlignment="1">
      <alignment horizontal="center"/>
    </xf>
    <xf numFmtId="166" fontId="0" fillId="0" borderId="0" xfId="0" applyNumberFormat="1"/>
    <xf numFmtId="166" fontId="0" fillId="4" borderId="1" xfId="0" applyNumberFormat="1" applyFill="1" applyBorder="1" applyAlignment="1">
      <alignment horizontal="center"/>
    </xf>
    <xf numFmtId="166" fontId="3" fillId="4" borderId="1" xfId="4" applyNumberFormat="1" applyFont="1" applyFill="1" applyBorder="1" applyAlignment="1">
      <alignment horizontal="center"/>
    </xf>
    <xf numFmtId="10" fontId="3" fillId="4" borderId="1" xfId="4" applyNumberFormat="1" applyFont="1" applyFill="1" applyBorder="1" applyAlignment="1">
      <alignment horizontal="center"/>
    </xf>
    <xf numFmtId="0" fontId="0" fillId="4" borderId="1" xfId="0" applyFill="1" applyBorder="1" applyAlignment="1">
      <alignment horizontal="center"/>
    </xf>
    <xf numFmtId="166" fontId="0" fillId="6" borderId="1" xfId="0" applyNumberFormat="1" applyFill="1" applyBorder="1"/>
    <xf numFmtId="166" fontId="0" fillId="4" borderId="0" xfId="0" applyNumberFormat="1" applyFill="1" applyAlignment="1">
      <alignment horizontal="center"/>
    </xf>
    <xf numFmtId="0" fontId="0" fillId="4" borderId="1" xfId="0" applyFill="1" applyBorder="1"/>
    <xf numFmtId="10" fontId="5" fillId="4" borderId="1" xfId="0" applyNumberFormat="1" applyFont="1" applyFill="1" applyBorder="1"/>
    <xf numFmtId="10" fontId="0" fillId="0" borderId="1" xfId="4" applyNumberFormat="1" applyFont="1" applyBorder="1" applyAlignment="1">
      <alignment horizontal="center"/>
    </xf>
    <xf numFmtId="0" fontId="0" fillId="0" borderId="4" xfId="0" applyBorder="1"/>
    <xf numFmtId="0" fontId="0" fillId="0" borderId="5" xfId="0" applyBorder="1"/>
    <xf numFmtId="0" fontId="0" fillId="0" borderId="5" xfId="0" applyBorder="1" applyAlignment="1">
      <alignment horizontal="center"/>
    </xf>
    <xf numFmtId="8" fontId="0" fillId="7" borderId="1" xfId="0" applyNumberFormat="1" applyFill="1" applyBorder="1" applyAlignment="1">
      <alignment horizontal="center"/>
    </xf>
    <xf numFmtId="10" fontId="3" fillId="7" borderId="1" xfId="4" applyNumberFormat="1" applyFont="1" applyFill="1" applyBorder="1" applyAlignment="1">
      <alignment horizontal="center"/>
    </xf>
    <xf numFmtId="0" fontId="0" fillId="7" borderId="1" xfId="0" applyFill="1" applyBorder="1" applyAlignment="1">
      <alignment wrapText="1"/>
    </xf>
    <xf numFmtId="8" fontId="0" fillId="7" borderId="4" xfId="0" applyNumberFormat="1" applyFill="1" applyBorder="1" applyAlignment="1">
      <alignment horizontal="center"/>
    </xf>
    <xf numFmtId="164" fontId="0" fillId="0" borderId="4" xfId="0" applyNumberFormat="1" applyBorder="1" applyAlignment="1">
      <alignment horizontal="center"/>
    </xf>
    <xf numFmtId="10" fontId="40" fillId="0" borderId="1" xfId="0" applyNumberFormat="1" applyFont="1" applyBorder="1" applyAlignment="1">
      <alignment horizontal="center"/>
    </xf>
    <xf numFmtId="0" fontId="30" fillId="0" borderId="1" xfId="0" applyFont="1" applyBorder="1" applyAlignment="1">
      <alignment horizontal="center"/>
    </xf>
    <xf numFmtId="10" fontId="39" fillId="0" borderId="8" xfId="4" applyNumberFormat="1" applyFont="1" applyBorder="1" applyAlignment="1">
      <alignment horizontal="center"/>
    </xf>
    <xf numFmtId="0" fontId="31" fillId="0" borderId="0" xfId="0" applyFont="1"/>
    <xf numFmtId="166" fontId="5" fillId="6" borderId="2" xfId="0" applyNumberFormat="1" applyFont="1" applyFill="1" applyBorder="1"/>
    <xf numFmtId="10" fontId="5" fillId="6" borderId="2" xfId="0" applyNumberFormat="1" applyFont="1" applyFill="1" applyBorder="1"/>
    <xf numFmtId="2" fontId="7" fillId="6" borderId="2" xfId="0" applyNumberFormat="1" applyFont="1" applyFill="1" applyBorder="1" applyAlignment="1">
      <alignment horizontal="center"/>
    </xf>
    <xf numFmtId="0" fontId="1" fillId="6" borderId="7" xfId="0" applyFont="1" applyFill="1" applyBorder="1" applyAlignment="1">
      <alignment horizontal="center"/>
    </xf>
    <xf numFmtId="10" fontId="7" fillId="6" borderId="2" xfId="4" applyNumberFormat="1" applyFont="1" applyFill="1" applyBorder="1" applyAlignment="1">
      <alignment horizontal="center"/>
    </xf>
    <xf numFmtId="10" fontId="7" fillId="6" borderId="2" xfId="0" applyNumberFormat="1" applyFont="1" applyFill="1" applyBorder="1" applyAlignment="1">
      <alignment horizontal="center"/>
    </xf>
    <xf numFmtId="10" fontId="7" fillId="0" borderId="0" xfId="0" applyNumberFormat="1" applyFont="1" applyAlignment="1">
      <alignment horizontal="center"/>
    </xf>
    <xf numFmtId="10" fontId="6" fillId="0" borderId="0" xfId="0" applyNumberFormat="1" applyFont="1" applyAlignment="1">
      <alignment horizontal="center"/>
    </xf>
    <xf numFmtId="0" fontId="8" fillId="0" borderId="1" xfId="0" applyFont="1" applyBorder="1"/>
    <xf numFmtId="2" fontId="5" fillId="0" borderId="1" xfId="0" applyNumberFormat="1" applyFont="1" applyBorder="1" applyAlignment="1">
      <alignment horizontal="center"/>
    </xf>
    <xf numFmtId="0" fontId="5" fillId="0" borderId="1" xfId="0" applyFont="1" applyBorder="1" applyAlignment="1">
      <alignment horizontal="centerContinuous"/>
    </xf>
    <xf numFmtId="10" fontId="0" fillId="4" borderId="1" xfId="0" applyNumberFormat="1" applyFill="1" applyBorder="1"/>
    <xf numFmtId="0" fontId="26" fillId="0" borderId="0" xfId="0" applyFont="1" applyAlignment="1">
      <alignment horizontal="left"/>
    </xf>
    <xf numFmtId="8" fontId="5" fillId="6" borderId="1" xfId="0" applyNumberFormat="1" applyFont="1" applyFill="1" applyBorder="1"/>
    <xf numFmtId="0" fontId="35" fillId="0" borderId="0" xfId="0" applyFont="1"/>
    <xf numFmtId="10" fontId="5" fillId="3" borderId="1" xfId="0" applyNumberFormat="1" applyFont="1" applyFill="1" applyBorder="1"/>
    <xf numFmtId="9" fontId="5" fillId="6" borderId="1" xfId="0" applyNumberFormat="1" applyFont="1" applyFill="1" applyBorder="1"/>
    <xf numFmtId="0" fontId="5" fillId="4" borderId="2" xfId="0" applyFont="1" applyFill="1" applyBorder="1" applyAlignment="1">
      <alignment horizontal="center"/>
    </xf>
    <xf numFmtId="0" fontId="36" fillId="0" borderId="0" xfId="0" applyFont="1" applyAlignment="1">
      <alignment horizontal="left"/>
    </xf>
    <xf numFmtId="0" fontId="36" fillId="0" borderId="0" xfId="0" applyFont="1"/>
    <xf numFmtId="10" fontId="36" fillId="0" borderId="0" xfId="0" applyNumberFormat="1" applyFont="1"/>
    <xf numFmtId="2" fontId="36" fillId="0" borderId="0" xfId="0" applyNumberFormat="1" applyFont="1"/>
    <xf numFmtId="10" fontId="30" fillId="0" borderId="0" xfId="0" applyNumberFormat="1" applyFont="1"/>
    <xf numFmtId="0" fontId="42" fillId="0" borderId="9" xfId="0" applyFont="1" applyBorder="1"/>
    <xf numFmtId="0" fontId="42" fillId="0" borderId="10" xfId="0" applyFont="1" applyBorder="1" applyAlignment="1">
      <alignment horizontal="center"/>
    </xf>
    <xf numFmtId="10" fontId="42" fillId="0" borderId="11" xfId="0" applyNumberFormat="1" applyFont="1" applyBorder="1"/>
    <xf numFmtId="0" fontId="42" fillId="0" borderId="1" xfId="0" applyFont="1" applyBorder="1" applyAlignment="1">
      <alignment horizontal="center"/>
    </xf>
    <xf numFmtId="0" fontId="41" fillId="0" borderId="0" xfId="0" applyFont="1"/>
    <xf numFmtId="0" fontId="41" fillId="0" borderId="0" xfId="0" applyFont="1" applyAlignment="1">
      <alignment horizontal="center"/>
    </xf>
    <xf numFmtId="8" fontId="41" fillId="0" borderId="1" xfId="0" applyNumberFormat="1" applyFont="1" applyBorder="1" applyAlignment="1">
      <alignment horizontal="center"/>
    </xf>
    <xf numFmtId="0" fontId="41" fillId="0" borderId="0" xfId="0" applyFont="1" applyAlignment="1">
      <alignment horizontal="centerContinuous"/>
    </xf>
    <xf numFmtId="0" fontId="41" fillId="0" borderId="0" xfId="0" applyFont="1" applyAlignment="1">
      <alignment horizontal="left"/>
    </xf>
    <xf numFmtId="8" fontId="41" fillId="2" borderId="1" xfId="2" applyFont="1" applyFill="1" applyBorder="1" applyAlignment="1">
      <alignment horizontal="center"/>
    </xf>
    <xf numFmtId="10" fontId="41" fillId="2" borderId="1" xfId="2" applyNumberFormat="1" applyFont="1" applyFill="1" applyBorder="1" applyAlignment="1">
      <alignment horizontal="center"/>
    </xf>
    <xf numFmtId="8" fontId="41" fillId="0" borderId="0" xfId="2" applyFont="1" applyAlignment="1">
      <alignment horizontal="center"/>
    </xf>
    <xf numFmtId="0" fontId="42" fillId="0" borderId="12" xfId="0" applyFont="1" applyBorder="1" applyAlignment="1">
      <alignment horizontal="center"/>
    </xf>
    <xf numFmtId="0" fontId="43" fillId="0" borderId="0" xfId="0" applyFont="1"/>
    <xf numFmtId="0" fontId="41" fillId="2" borderId="1" xfId="0" applyFont="1" applyFill="1" applyBorder="1" applyAlignment="1">
      <alignment horizontal="center"/>
    </xf>
    <xf numFmtId="0" fontId="41" fillId="2" borderId="4" xfId="0" applyFont="1" applyFill="1" applyBorder="1" applyAlignment="1">
      <alignment horizontal="center"/>
    </xf>
    <xf numFmtId="10" fontId="41" fillId="2" borderId="1" xfId="4" applyNumberFormat="1" applyFont="1" applyFill="1" applyBorder="1" applyAlignment="1">
      <alignment horizontal="center"/>
    </xf>
    <xf numFmtId="10" fontId="41" fillId="2" borderId="4" xfId="0" applyNumberFormat="1" applyFont="1" applyFill="1" applyBorder="1" applyAlignment="1">
      <alignment horizontal="center"/>
    </xf>
    <xf numFmtId="4" fontId="41" fillId="2" borderId="1" xfId="1" applyFont="1" applyFill="1" applyBorder="1" applyAlignment="1">
      <alignment horizontal="center"/>
    </xf>
    <xf numFmtId="2" fontId="41" fillId="2" borderId="4" xfId="0" applyNumberFormat="1" applyFont="1" applyFill="1" applyBorder="1" applyAlignment="1">
      <alignment horizontal="center"/>
    </xf>
    <xf numFmtId="10" fontId="41" fillId="2" borderId="4" xfId="4" applyNumberFormat="1" applyFont="1" applyFill="1" applyBorder="1" applyAlignment="1">
      <alignment horizontal="center"/>
    </xf>
    <xf numFmtId="0" fontId="41" fillId="0" borderId="13" xfId="0" applyFont="1" applyBorder="1"/>
    <xf numFmtId="10" fontId="42" fillId="0" borderId="13" xfId="0" applyNumberFormat="1" applyFont="1" applyBorder="1"/>
    <xf numFmtId="0" fontId="44" fillId="0" borderId="0" xfId="0" applyFont="1" applyAlignment="1">
      <alignment horizontal="centerContinuous"/>
    </xf>
    <xf numFmtId="10" fontId="41" fillId="2" borderId="1" xfId="0" applyNumberFormat="1" applyFont="1" applyFill="1" applyBorder="1" applyAlignment="1">
      <alignment horizontal="center"/>
    </xf>
    <xf numFmtId="10" fontId="41" fillId="2" borderId="14" xfId="0" applyNumberFormat="1" applyFont="1" applyFill="1" applyBorder="1" applyAlignment="1">
      <alignment horizontal="center"/>
    </xf>
    <xf numFmtId="0" fontId="45" fillId="0" borderId="0" xfId="0" applyFont="1"/>
    <xf numFmtId="0" fontId="45" fillId="0" borderId="0" xfId="0" applyFont="1" applyAlignment="1">
      <alignment horizontal="center"/>
    </xf>
    <xf numFmtId="10" fontId="41" fillId="0" borderId="0" xfId="0" applyNumberFormat="1" applyFont="1" applyAlignment="1">
      <alignment horizontal="center"/>
    </xf>
    <xf numFmtId="0" fontId="45" fillId="2" borderId="1" xfId="0" applyFont="1" applyFill="1" applyBorder="1" applyAlignment="1">
      <alignment horizontal="center"/>
    </xf>
    <xf numFmtId="0" fontId="41" fillId="2" borderId="1" xfId="0" applyFont="1" applyFill="1" applyBorder="1"/>
    <xf numFmtId="0" fontId="41" fillId="2" borderId="1" xfId="0" applyFont="1" applyFill="1" applyBorder="1" applyAlignment="1">
      <alignment horizontal="left"/>
    </xf>
    <xf numFmtId="6" fontId="41" fillId="2" borderId="1" xfId="0" applyNumberFormat="1" applyFont="1" applyFill="1" applyBorder="1" applyAlignment="1">
      <alignment horizontal="center"/>
    </xf>
    <xf numFmtId="6" fontId="41" fillId="2" borderId="1" xfId="4" applyNumberFormat="1" applyFont="1" applyFill="1" applyBorder="1" applyAlignment="1">
      <alignment horizontal="center"/>
    </xf>
    <xf numFmtId="10" fontId="45" fillId="2" borderId="1" xfId="0" applyNumberFormat="1" applyFont="1" applyFill="1" applyBorder="1" applyAlignment="1">
      <alignment horizontal="center"/>
    </xf>
    <xf numFmtId="6" fontId="41" fillId="2" borderId="1" xfId="2" applyNumberFormat="1" applyFont="1" applyFill="1" applyBorder="1" applyAlignment="1">
      <alignment horizontal="center"/>
    </xf>
    <xf numFmtId="8" fontId="41" fillId="2" borderId="1" xfId="0" applyNumberFormat="1" applyFont="1" applyFill="1" applyBorder="1" applyAlignment="1">
      <alignment horizontal="center"/>
    </xf>
    <xf numFmtId="165" fontId="41" fillId="2" borderId="1" xfId="4" applyNumberFormat="1" applyFont="1" applyFill="1" applyBorder="1" applyAlignment="1">
      <alignment horizontal="center"/>
    </xf>
    <xf numFmtId="8" fontId="44" fillId="2" borderId="1" xfId="2" applyFont="1" applyFill="1" applyBorder="1" applyAlignment="1">
      <alignment horizontal="center"/>
    </xf>
    <xf numFmtId="6" fontId="44" fillId="2" borderId="1" xfId="2" applyNumberFormat="1" applyFont="1" applyFill="1" applyBorder="1" applyAlignment="1">
      <alignment horizontal="center"/>
    </xf>
    <xf numFmtId="10" fontId="41" fillId="0" borderId="0" xfId="4" applyNumberFormat="1" applyFont="1" applyAlignment="1">
      <alignment horizontal="center"/>
    </xf>
    <xf numFmtId="10" fontId="41" fillId="0" borderId="0" xfId="4" applyNumberFormat="1" applyFont="1"/>
    <xf numFmtId="0" fontId="44" fillId="0" borderId="0" xfId="0" applyFont="1"/>
    <xf numFmtId="0" fontId="44" fillId="0" borderId="0" xfId="0" applyFont="1" applyAlignment="1">
      <alignment horizontal="center"/>
    </xf>
    <xf numFmtId="8" fontId="46" fillId="0" borderId="1" xfId="2" applyFont="1" applyBorder="1" applyAlignment="1">
      <alignment horizontal="center"/>
    </xf>
    <xf numFmtId="8" fontId="41" fillId="0" borderId="0" xfId="0" applyNumberFormat="1" applyFont="1"/>
    <xf numFmtId="8" fontId="46" fillId="0" borderId="14" xfId="2" applyFont="1" applyBorder="1" applyAlignment="1">
      <alignment horizontal="center"/>
    </xf>
    <xf numFmtId="10" fontId="41" fillId="4" borderId="1" xfId="4" applyNumberFormat="1" applyFont="1" applyFill="1" applyBorder="1" applyAlignment="1">
      <alignment horizontal="center"/>
    </xf>
    <xf numFmtId="0" fontId="47" fillId="4" borderId="1" xfId="0" applyFont="1" applyFill="1" applyBorder="1" applyAlignment="1">
      <alignment horizontal="center"/>
    </xf>
    <xf numFmtId="0" fontId="23" fillId="0" borderId="1" xfId="0" applyFont="1" applyBorder="1" applyAlignment="1">
      <alignment wrapText="1"/>
    </xf>
    <xf numFmtId="10" fontId="23" fillId="0" borderId="1" xfId="0" applyNumberFormat="1" applyFont="1" applyBorder="1" applyAlignment="1">
      <alignment horizontal="center" wrapText="1"/>
    </xf>
    <xf numFmtId="2" fontId="23" fillId="0" borderId="1" xfId="0" applyNumberFormat="1" applyFont="1" applyBorder="1" applyAlignment="1">
      <alignment horizontal="center" wrapText="1"/>
    </xf>
    <xf numFmtId="10" fontId="0" fillId="0" borderId="0" xfId="0" applyNumberFormat="1" applyAlignment="1">
      <alignment horizontal="center"/>
    </xf>
    <xf numFmtId="0" fontId="37" fillId="0" borderId="0" xfId="0" applyFont="1" applyAlignment="1">
      <alignment wrapText="1"/>
    </xf>
    <xf numFmtId="0" fontId="37" fillId="0" borderId="1" xfId="0" applyFont="1" applyBorder="1" applyAlignment="1">
      <alignment horizontal="center" wrapText="1"/>
    </xf>
    <xf numFmtId="0" fontId="32" fillId="7" borderId="1" xfId="0" applyFont="1" applyFill="1" applyBorder="1"/>
    <xf numFmtId="0" fontId="4" fillId="7" borderId="1" xfId="0" applyFont="1" applyFill="1" applyBorder="1" applyAlignment="1">
      <alignment horizontal="center"/>
    </xf>
    <xf numFmtId="0" fontId="32" fillId="7" borderId="1" xfId="0" applyFont="1" applyFill="1" applyBorder="1" applyAlignment="1">
      <alignment horizontal="center"/>
    </xf>
    <xf numFmtId="0" fontId="4" fillId="7" borderId="1" xfId="0" applyFont="1" applyFill="1" applyBorder="1"/>
    <xf numFmtId="0" fontId="41" fillId="0" borderId="1" xfId="0" applyFont="1" applyBorder="1" applyAlignment="1">
      <alignment horizontal="center"/>
    </xf>
    <xf numFmtId="10" fontId="41" fillId="0" borderId="1" xfId="0" applyNumberFormat="1" applyFont="1" applyBorder="1" applyAlignment="1">
      <alignment horizontal="center"/>
    </xf>
    <xf numFmtId="0" fontId="49" fillId="9" borderId="1" xfId="0" applyFont="1" applyFill="1" applyBorder="1"/>
    <xf numFmtId="0" fontId="49" fillId="7" borderId="1" xfId="0" applyFont="1" applyFill="1" applyBorder="1"/>
    <xf numFmtId="0" fontId="50" fillId="7" borderId="18" xfId="0" applyFont="1" applyFill="1" applyBorder="1" applyAlignment="1">
      <alignment horizontal="left"/>
    </xf>
    <xf numFmtId="0" fontId="50" fillId="0" borderId="18" xfId="0" applyFont="1" applyBorder="1" applyAlignment="1">
      <alignment horizontal="left"/>
    </xf>
    <xf numFmtId="0" fontId="0" fillId="0" borderId="14" xfId="0" applyBorder="1"/>
    <xf numFmtId="0" fontId="0" fillId="0" borderId="14" xfId="0" applyBorder="1" applyAlignment="1">
      <alignment horizontal="center"/>
    </xf>
    <xf numFmtId="0" fontId="53" fillId="0" borderId="0" xfId="0" applyFont="1"/>
    <xf numFmtId="10" fontId="0" fillId="0" borderId="0" xfId="0" applyNumberFormat="1"/>
    <xf numFmtId="0" fontId="20" fillId="0" borderId="0" xfId="0" applyFont="1" applyAlignment="1">
      <alignment horizontal="center"/>
    </xf>
    <xf numFmtId="0" fontId="44" fillId="0" borderId="0" xfId="0" applyFont="1" applyAlignment="1">
      <alignment horizontal="center"/>
    </xf>
    <xf numFmtId="0" fontId="42" fillId="0" borderId="0" xfId="0" applyFont="1" applyAlignment="1">
      <alignment horizontal="center"/>
    </xf>
    <xf numFmtId="0" fontId="48" fillId="0" borderId="15" xfId="0" applyFont="1" applyBorder="1" applyAlignment="1">
      <alignment horizontal="center"/>
    </xf>
    <xf numFmtId="0" fontId="41" fillId="0" borderId="16" xfId="0" applyFont="1" applyBorder="1" applyAlignment="1">
      <alignment horizontal="center"/>
    </xf>
    <xf numFmtId="0" fontId="41" fillId="0" borderId="17" xfId="0" applyFont="1" applyBorder="1" applyAlignment="1">
      <alignment horizontal="center"/>
    </xf>
    <xf numFmtId="0" fontId="0" fillId="7" borderId="0" xfId="0" applyFill="1" applyAlignment="1">
      <alignment horizontal="center"/>
    </xf>
    <xf numFmtId="0" fontId="2" fillId="0" borderId="0" xfId="0" applyFont="1" applyAlignment="1">
      <alignment horizontal="center"/>
    </xf>
    <xf numFmtId="0" fontId="0" fillId="7" borderId="15" xfId="0" applyFill="1" applyBorder="1" applyAlignment="1">
      <alignment horizontal="center"/>
    </xf>
    <xf numFmtId="0" fontId="0" fillId="7" borderId="16" xfId="0" applyFill="1" applyBorder="1" applyAlignment="1">
      <alignment horizontal="center"/>
    </xf>
    <xf numFmtId="0" fontId="0" fillId="7" borderId="19" xfId="0" applyFill="1" applyBorder="1" applyAlignment="1">
      <alignment horizontal="center"/>
    </xf>
    <xf numFmtId="0" fontId="0" fillId="7" borderId="9" xfId="0" applyFill="1" applyBorder="1" applyAlignment="1">
      <alignment horizontal="center"/>
    </xf>
    <xf numFmtId="0" fontId="0" fillId="7" borderId="20" xfId="0" applyFill="1" applyBorder="1" applyAlignment="1">
      <alignment horizontal="center"/>
    </xf>
    <xf numFmtId="0" fontId="0" fillId="7" borderId="11" xfId="0" applyFill="1" applyBorder="1" applyAlignment="1">
      <alignment horizontal="center"/>
    </xf>
    <xf numFmtId="0" fontId="0" fillId="7" borderId="13" xfId="0" applyFill="1" applyBorder="1" applyAlignment="1">
      <alignment horizontal="center"/>
    </xf>
    <xf numFmtId="0" fontId="0" fillId="7" borderId="21" xfId="0" applyFill="1" applyBorder="1" applyAlignment="1">
      <alignment horizontal="center"/>
    </xf>
    <xf numFmtId="0" fontId="1" fillId="0" borderId="0" xfId="0" applyFont="1" applyAlignment="1">
      <alignment horizontal="center"/>
    </xf>
    <xf numFmtId="0" fontId="23" fillId="7" borderId="1" xfId="0" applyFont="1" applyFill="1" applyBorder="1" applyAlignment="1">
      <alignment horizontal="left" vertical="top" wrapText="1"/>
    </xf>
    <xf numFmtId="0" fontId="5" fillId="8" borderId="0" xfId="0" applyFont="1" applyFill="1" applyAlignment="1">
      <alignment horizontal="center" vertical="center" wrapText="1"/>
    </xf>
    <xf numFmtId="2" fontId="0" fillId="0" borderId="0" xfId="0" applyNumberFormat="1"/>
    <xf numFmtId="0" fontId="23" fillId="0" borderId="1" xfId="0" applyFont="1" applyBorder="1"/>
    <xf numFmtId="0" fontId="23" fillId="0" borderId="1" xfId="0" applyFont="1" applyBorder="1" applyAlignment="1">
      <alignment horizontal="center"/>
    </xf>
    <xf numFmtId="170" fontId="0" fillId="0" borderId="1" xfId="0" applyNumberFormat="1" applyBorder="1" applyAlignment="1">
      <alignment horizontal="center"/>
    </xf>
    <xf numFmtId="0" fontId="23" fillId="0" borderId="0" xfId="0" applyFont="1" applyAlignment="1">
      <alignment horizontal="center"/>
    </xf>
    <xf numFmtId="10" fontId="56" fillId="0" borderId="1" xfId="4" applyNumberFormat="1" applyFont="1" applyBorder="1" applyAlignment="1">
      <alignment horizontal="center"/>
    </xf>
    <xf numFmtId="10" fontId="57" fillId="0" borderId="8" xfId="4" applyNumberFormat="1" applyFont="1" applyBorder="1" applyAlignment="1">
      <alignment horizontal="center"/>
    </xf>
  </cellXfs>
  <cellStyles count="5">
    <cellStyle name="Comma" xfId="1" builtinId="3"/>
    <cellStyle name="Currency" xfId="2" builtinId="4"/>
    <cellStyle name="Hyperlink" xfId="3" builtinId="8"/>
    <cellStyle name="Normal" xfId="0" builtinId="0"/>
    <cellStyle name="Percent" xfId="4"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workbookViewId="0">
      <selection activeCell="B62" sqref="B62"/>
    </sheetView>
  </sheetViews>
  <sheetFormatPr baseColWidth="10" defaultRowHeight="14"/>
  <cols>
    <col min="1" max="1" width="12.85546875" style="81" bestFit="1" customWidth="1"/>
    <col min="2" max="2" width="65.140625" style="1" bestFit="1" customWidth="1"/>
  </cols>
  <sheetData>
    <row r="1" spans="1:6" s="74" customFormat="1" ht="19">
      <c r="A1" s="244" t="s">
        <v>300</v>
      </c>
      <c r="B1" s="244"/>
      <c r="C1" s="244"/>
      <c r="D1" s="244"/>
      <c r="E1" s="244"/>
      <c r="F1" s="244"/>
    </row>
    <row r="2" spans="1:6">
      <c r="A2" s="81" t="s">
        <v>30</v>
      </c>
      <c r="B2" s="1" t="s">
        <v>75</v>
      </c>
    </row>
    <row r="3" spans="1:6">
      <c r="B3" s="1" t="s">
        <v>76</v>
      </c>
    </row>
    <row r="4" spans="1:6">
      <c r="A4" s="81" t="s">
        <v>391</v>
      </c>
      <c r="B4" s="1" t="s">
        <v>181</v>
      </c>
    </row>
    <row r="5" spans="1:6">
      <c r="B5" s="1" t="s">
        <v>20</v>
      </c>
    </row>
    <row r="6" spans="1:6">
      <c r="A6" s="81" t="s">
        <v>11</v>
      </c>
      <c r="B6" s="1" t="s">
        <v>21</v>
      </c>
    </row>
    <row r="7" spans="1:6">
      <c r="B7" s="1" t="s">
        <v>327</v>
      </c>
    </row>
    <row r="8" spans="1:6">
      <c r="B8" s="1" t="s">
        <v>13</v>
      </c>
    </row>
    <row r="9" spans="1:6">
      <c r="B9" s="1" t="s">
        <v>232</v>
      </c>
    </row>
    <row r="10" spans="1:6">
      <c r="B10" s="1" t="s">
        <v>166</v>
      </c>
    </row>
    <row r="11" spans="1:6">
      <c r="B11" s="1" t="s">
        <v>39</v>
      </c>
    </row>
    <row r="12" spans="1:6">
      <c r="A12" s="81" t="s">
        <v>274</v>
      </c>
      <c r="B12" s="1" t="s">
        <v>329</v>
      </c>
    </row>
    <row r="13" spans="1:6">
      <c r="B13" s="1" t="s">
        <v>55</v>
      </c>
    </row>
    <row r="14" spans="1:6">
      <c r="B14" s="1" t="s">
        <v>335</v>
      </c>
    </row>
    <row r="15" spans="1:6">
      <c r="B15" s="1" t="s">
        <v>29</v>
      </c>
    </row>
    <row r="16" spans="1:6">
      <c r="B16" s="1" t="s">
        <v>193</v>
      </c>
    </row>
    <row r="17" spans="1:2">
      <c r="A17" s="81" t="s">
        <v>167</v>
      </c>
      <c r="B17" s="1" t="s">
        <v>63</v>
      </c>
    </row>
    <row r="18" spans="1:2">
      <c r="B18" s="1" t="s">
        <v>110</v>
      </c>
    </row>
    <row r="19" spans="1:2">
      <c r="B19" s="1" t="s">
        <v>111</v>
      </c>
    </row>
    <row r="20" spans="1:2">
      <c r="B20" s="1" t="s">
        <v>60</v>
      </c>
    </row>
    <row r="21" spans="1:2">
      <c r="B21" s="1" t="s">
        <v>104</v>
      </c>
    </row>
    <row r="22" spans="1:2">
      <c r="A22" s="81" t="s">
        <v>219</v>
      </c>
      <c r="B22" s="1" t="s">
        <v>357</v>
      </c>
    </row>
  </sheetData>
  <mergeCells count="1">
    <mergeCell ref="A1:F1"/>
  </mergeCells>
  <phoneticPr fontId="24"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64"/>
  <sheetViews>
    <sheetView workbookViewId="0">
      <selection activeCell="G7" sqref="G7:G15"/>
    </sheetView>
  </sheetViews>
  <sheetFormatPr baseColWidth="10" defaultRowHeight="14"/>
  <cols>
    <col min="1" max="1" width="32" bestFit="1" customWidth="1"/>
    <col min="7" max="7" width="16.7109375" bestFit="1" customWidth="1"/>
    <col min="8" max="8" width="14" customWidth="1"/>
    <col min="11" max="11" width="15.5703125" bestFit="1" customWidth="1"/>
  </cols>
  <sheetData>
    <row r="1" spans="1:17" s="93" customFormat="1" ht="18">
      <c r="A1" s="261" t="s">
        <v>742</v>
      </c>
      <c r="B1" s="261"/>
      <c r="C1" s="261"/>
      <c r="D1" s="261"/>
      <c r="E1" s="261"/>
      <c r="F1" s="261"/>
      <c r="G1" s="261"/>
      <c r="H1" s="261"/>
      <c r="I1" s="261"/>
      <c r="J1" s="261"/>
      <c r="K1" s="261"/>
      <c r="L1"/>
      <c r="M1"/>
      <c r="N1"/>
      <c r="O1"/>
      <c r="P1"/>
      <c r="Q1"/>
    </row>
    <row r="2" spans="1:17" s="2" customFormat="1" ht="15" customHeight="1">
      <c r="A2" s="261"/>
      <c r="B2" s="261"/>
      <c r="C2" s="261"/>
      <c r="D2" s="261"/>
      <c r="E2" s="261"/>
      <c r="F2" s="261"/>
      <c r="G2" s="261"/>
      <c r="H2" s="261"/>
      <c r="I2" s="261"/>
      <c r="J2" s="261"/>
      <c r="K2" s="261"/>
      <c r="L2"/>
      <c r="M2"/>
      <c r="N2"/>
      <c r="O2"/>
      <c r="P2"/>
      <c r="Q2"/>
    </row>
    <row r="3" spans="1:17" s="1" customFormat="1" ht="15" customHeight="1">
      <c r="A3" s="3" t="s">
        <v>410</v>
      </c>
      <c r="G3" s="94" t="s">
        <v>743</v>
      </c>
      <c r="H3" s="93"/>
      <c r="I3" s="93"/>
      <c r="J3" s="93"/>
      <c r="K3" s="93"/>
      <c r="L3" s="93"/>
      <c r="M3" s="93"/>
      <c r="N3" s="93"/>
      <c r="O3" s="93"/>
      <c r="P3" s="93"/>
      <c r="Q3" s="93"/>
    </row>
    <row r="4" spans="1:17" s="1" customFormat="1" ht="15" customHeight="1">
      <c r="A4" s="1" t="s">
        <v>412</v>
      </c>
      <c r="B4" s="97">
        <f>'Master Inputs Start here'!B32</f>
        <v>950.41</v>
      </c>
      <c r="D4" s="262" t="s">
        <v>767</v>
      </c>
      <c r="E4" s="262"/>
      <c r="F4" s="262"/>
      <c r="G4" s="95" t="s">
        <v>406</v>
      </c>
      <c r="H4" s="95" t="s">
        <v>269</v>
      </c>
      <c r="I4" s="95" t="s">
        <v>407</v>
      </c>
      <c r="J4" s="95" t="s">
        <v>408</v>
      </c>
      <c r="K4" s="95" t="s">
        <v>409</v>
      </c>
      <c r="L4" s="2"/>
      <c r="M4" s="2"/>
      <c r="N4" s="2"/>
      <c r="O4" s="2"/>
      <c r="P4" s="2"/>
      <c r="Q4" s="2"/>
    </row>
    <row r="5" spans="1:17" s="1" customFormat="1" ht="15" customHeight="1">
      <c r="A5" s="1" t="s">
        <v>414</v>
      </c>
      <c r="B5" s="165">
        <f>'Master Inputs Start here'!B31</f>
        <v>804.14</v>
      </c>
      <c r="D5" s="262"/>
      <c r="E5" s="262"/>
      <c r="F5" s="262"/>
      <c r="G5" s="90" t="s">
        <v>486</v>
      </c>
      <c r="H5" s="90">
        <v>48421</v>
      </c>
      <c r="I5" s="96">
        <f>IF(H5=0,0,VLOOKUP(G5,'Country ERP'!$A$5:$F$195,4))</f>
        <v>5.2715839731572595E-2</v>
      </c>
      <c r="J5" s="96">
        <f t="shared" ref="J5:J12" si="0">IF(H5&gt;0,H5/$H$18,)</f>
        <v>1</v>
      </c>
      <c r="K5" s="96">
        <f t="shared" ref="K5:K12" si="1">IF(J5=0,0,I5*J5)</f>
        <v>5.2715839731572595E-2</v>
      </c>
      <c r="M5" s="262" t="s">
        <v>744</v>
      </c>
      <c r="N5" s="262"/>
      <c r="O5" s="262"/>
      <c r="P5" s="262"/>
      <c r="Q5" s="262"/>
    </row>
    <row r="6" spans="1:17" s="1" customFormat="1" ht="15" customHeight="1">
      <c r="D6" s="262"/>
      <c r="E6" s="262"/>
      <c r="F6" s="262"/>
      <c r="G6" s="90"/>
      <c r="H6" s="90"/>
      <c r="I6" s="96">
        <f>IF(H6=0,0,VLOOKUP(G6,'Country ERP'!$A$5:$F$195,4))</f>
        <v>0</v>
      </c>
      <c r="J6" s="96">
        <f t="shared" si="0"/>
        <v>0</v>
      </c>
      <c r="K6" s="96">
        <f t="shared" si="1"/>
        <v>0</v>
      </c>
      <c r="M6" s="262"/>
      <c r="N6" s="262"/>
      <c r="O6" s="262"/>
      <c r="P6" s="262"/>
      <c r="Q6" s="262"/>
    </row>
    <row r="7" spans="1:17" s="1" customFormat="1" ht="15" customHeight="1">
      <c r="A7" s="1" t="s">
        <v>415</v>
      </c>
      <c r="B7" s="100">
        <f>K48</f>
        <v>0.9833609439300397</v>
      </c>
      <c r="D7" s="262"/>
      <c r="E7" s="262"/>
      <c r="F7" s="262"/>
      <c r="G7" s="90"/>
      <c r="H7" s="90"/>
      <c r="I7" s="96">
        <f>IF(H7=0,0,VLOOKUP(G7,'Country ERP'!$A$5:$F$195,4))</f>
        <v>0</v>
      </c>
      <c r="J7" s="96">
        <f t="shared" si="0"/>
        <v>0</v>
      </c>
      <c r="K7" s="96">
        <f t="shared" si="1"/>
        <v>0</v>
      </c>
      <c r="M7" s="262"/>
      <c r="N7" s="262"/>
      <c r="O7" s="262"/>
      <c r="P7" s="262"/>
      <c r="Q7" s="262"/>
    </row>
    <row r="8" spans="1:17" s="1" customFormat="1" ht="15" customHeight="1">
      <c r="A8" s="1" t="s">
        <v>416</v>
      </c>
      <c r="B8" s="101">
        <f>'Master Inputs Start here'!B39</f>
        <v>4.4999999999999998E-2</v>
      </c>
      <c r="D8" s="262"/>
      <c r="E8" s="262"/>
      <c r="F8" s="262"/>
      <c r="G8" s="90"/>
      <c r="H8" s="90"/>
      <c r="I8" s="96">
        <f>IF(H8=0,0,VLOOKUP(G8,'Country ERP'!$A$5:$F$195,4))</f>
        <v>0</v>
      </c>
      <c r="J8" s="96">
        <f t="shared" si="0"/>
        <v>0</v>
      </c>
      <c r="K8" s="96">
        <f t="shared" si="1"/>
        <v>0</v>
      </c>
      <c r="M8" s="262"/>
      <c r="N8" s="262"/>
      <c r="O8" s="262"/>
      <c r="P8" s="262"/>
      <c r="Q8" s="262"/>
    </row>
    <row r="9" spans="1:17" s="1" customFormat="1" ht="15" customHeight="1">
      <c r="A9" s="1" t="s">
        <v>417</v>
      </c>
      <c r="B9" s="167">
        <f>K32</f>
        <v>4.9131247136618365E-2</v>
      </c>
      <c r="D9" s="262"/>
      <c r="E9" s="262"/>
      <c r="F9" s="262"/>
      <c r="G9" s="90"/>
      <c r="H9" s="90"/>
      <c r="I9" s="96">
        <f>IF(H9=0,0,VLOOKUP(G9,'Country ERP'!$A$5:$F$195,4))</f>
        <v>0</v>
      </c>
      <c r="J9" s="96">
        <f t="shared" si="0"/>
        <v>0</v>
      </c>
      <c r="K9" s="96">
        <f t="shared" si="1"/>
        <v>0</v>
      </c>
      <c r="M9" s="262"/>
      <c r="N9" s="262"/>
      <c r="O9" s="262"/>
      <c r="P9" s="262"/>
      <c r="Q9" s="262"/>
    </row>
    <row r="10" spans="1:17" s="1" customFormat="1" ht="15" customHeight="1">
      <c r="D10" s="262"/>
      <c r="E10" s="262"/>
      <c r="F10" s="262"/>
      <c r="G10" s="90"/>
      <c r="H10" s="90"/>
      <c r="I10" s="96">
        <f>IF(H10=0,0,VLOOKUP(G10,'Country ERP'!$A$5:$F$195,4))</f>
        <v>0</v>
      </c>
      <c r="J10" s="96">
        <f t="shared" si="0"/>
        <v>0</v>
      </c>
      <c r="K10" s="96">
        <f t="shared" si="1"/>
        <v>0</v>
      </c>
      <c r="M10" s="262"/>
      <c r="N10" s="262"/>
      <c r="O10" s="262"/>
      <c r="P10" s="262"/>
      <c r="Q10" s="262"/>
    </row>
    <row r="11" spans="1:17" s="1" customFormat="1" ht="15" customHeight="1">
      <c r="A11" s="3" t="s">
        <v>418</v>
      </c>
      <c r="D11" s="262"/>
      <c r="E11" s="262"/>
      <c r="F11" s="262"/>
      <c r="G11" s="90"/>
      <c r="H11" s="90"/>
      <c r="I11" s="96">
        <f>IF(H11=0,0,VLOOKUP(G11,'Country ERP'!$A$5:$F$195,4))</f>
        <v>0</v>
      </c>
      <c r="J11" s="96">
        <f t="shared" si="0"/>
        <v>0</v>
      </c>
      <c r="K11" s="96">
        <f t="shared" si="1"/>
        <v>0</v>
      </c>
      <c r="M11" s="262"/>
      <c r="N11" s="262"/>
      <c r="O11" s="262"/>
      <c r="P11" s="262"/>
      <c r="Q11" s="262"/>
    </row>
    <row r="12" spans="1:17" s="1" customFormat="1" ht="15" customHeight="1">
      <c r="A12" s="1" t="s">
        <v>419</v>
      </c>
      <c r="B12" s="165">
        <f>'Master Inputs Start here'!B21</f>
        <v>25226</v>
      </c>
      <c r="D12" s="262"/>
      <c r="E12" s="262"/>
      <c r="F12" s="262"/>
      <c r="G12" s="90"/>
      <c r="H12" s="90"/>
      <c r="I12" s="96">
        <f>IF(H12=0,0,VLOOKUP(G12,'Country ERP'!$A$5:$F$195,4))</f>
        <v>0</v>
      </c>
      <c r="J12" s="96">
        <f t="shared" si="0"/>
        <v>0</v>
      </c>
      <c r="K12" s="96">
        <f t="shared" si="1"/>
        <v>0</v>
      </c>
      <c r="M12" s="262"/>
      <c r="N12" s="262"/>
      <c r="O12" s="262"/>
      <c r="P12" s="262"/>
      <c r="Q12" s="262"/>
    </row>
    <row r="13" spans="1:17" s="1" customFormat="1" ht="15" customHeight="1">
      <c r="A13" s="1" t="s">
        <v>420</v>
      </c>
      <c r="B13" s="165">
        <f>'Master Inputs Start here'!B13</f>
        <v>486</v>
      </c>
      <c r="D13" s="262"/>
      <c r="E13" s="262"/>
      <c r="F13" s="262"/>
      <c r="G13" s="90"/>
      <c r="H13" s="90"/>
      <c r="I13" s="96">
        <f>IF(H13=0,0,VLOOKUP(G13,'Country ERP'!$A$5:$F$195,4))</f>
        <v>0</v>
      </c>
      <c r="J13" s="96">
        <f>IF(H13&gt;0,H13/$H$18,)</f>
        <v>0</v>
      </c>
      <c r="K13" s="96">
        <f>IF(J13=0,0,I13*J13)</f>
        <v>0</v>
      </c>
      <c r="M13" s="262"/>
      <c r="N13" s="262"/>
      <c r="O13" s="262"/>
      <c r="P13" s="262"/>
      <c r="Q13" s="262"/>
    </row>
    <row r="14" spans="1:17" s="1" customFormat="1" ht="15" customHeight="1">
      <c r="A14" s="1" t="s">
        <v>421</v>
      </c>
      <c r="B14" s="58">
        <v>3</v>
      </c>
      <c r="D14" s="262"/>
      <c r="E14" s="262"/>
      <c r="F14" s="262"/>
      <c r="G14" s="90"/>
      <c r="H14" s="90"/>
      <c r="I14" s="96">
        <f>IF(H14=0,0,VLOOKUP(G14,'Country ERP'!$A$5:$F$195,4))</f>
        <v>0</v>
      </c>
      <c r="J14" s="96">
        <f>IF(H14&gt;0,H14/$H$18,)</f>
        <v>0</v>
      </c>
      <c r="K14" s="96">
        <f>IF(J14=0,0,I14*J14)</f>
        <v>0</v>
      </c>
      <c r="M14" s="262"/>
      <c r="N14" s="262"/>
      <c r="O14" s="262"/>
      <c r="P14" s="262"/>
      <c r="Q14" s="262"/>
    </row>
    <row r="15" spans="1:17" s="1" customFormat="1" ht="15" customHeight="1">
      <c r="A15" s="1" t="s">
        <v>268</v>
      </c>
      <c r="B15" s="167">
        <v>3.6499999999999998E-2</v>
      </c>
      <c r="D15" s="262"/>
      <c r="E15" s="262"/>
      <c r="F15" s="262"/>
      <c r="G15" s="90"/>
      <c r="H15" s="90"/>
      <c r="I15" s="96">
        <f>IF(H15=0,0,VLOOKUP(G15,'Country ERP'!$A$5:$F$195,4))</f>
        <v>0</v>
      </c>
      <c r="J15" s="96">
        <f>IF(H15&gt;0,H15/$H$18,)</f>
        <v>0</v>
      </c>
      <c r="K15" s="96">
        <f>IF(J15=0,0,I15*J15)</f>
        <v>0</v>
      </c>
      <c r="M15" s="262"/>
      <c r="N15" s="262"/>
      <c r="O15" s="262"/>
      <c r="P15" s="262"/>
      <c r="Q15" s="262"/>
    </row>
    <row r="16" spans="1:17" s="1" customFormat="1" ht="15" customHeight="1">
      <c r="A16" s="1" t="s">
        <v>37</v>
      </c>
      <c r="B16" s="168">
        <f>'Master Inputs Start here'!B17</f>
        <v>0.25</v>
      </c>
      <c r="D16" s="262"/>
      <c r="E16" s="262"/>
      <c r="F16" s="262"/>
      <c r="G16" s="137"/>
      <c r="H16" s="90"/>
      <c r="I16" s="137"/>
      <c r="J16" s="96">
        <f>IF(H16&gt;0,H16/$H$18,)</f>
        <v>0</v>
      </c>
      <c r="K16" s="96">
        <f>IF(J16=0,0,I16*J16)</f>
        <v>0</v>
      </c>
      <c r="M16" s="262"/>
      <c r="N16" s="262"/>
      <c r="O16" s="262"/>
      <c r="P16" s="262"/>
      <c r="Q16" s="262"/>
    </row>
    <row r="17" spans="1:17" s="1" customFormat="1" ht="15" customHeight="1">
      <c r="D17" s="262"/>
      <c r="E17" s="262"/>
      <c r="F17" s="262"/>
      <c r="G17" s="137"/>
      <c r="H17" s="90"/>
      <c r="I17" s="137"/>
      <c r="J17" s="96">
        <f>IF(H17&gt;0,H17/$H$18,)</f>
        <v>0</v>
      </c>
      <c r="K17" s="96">
        <f>IF(J17=0,0,I17*J17)</f>
        <v>0</v>
      </c>
      <c r="M17" s="262"/>
      <c r="N17" s="262"/>
      <c r="O17" s="262"/>
      <c r="P17" s="262"/>
      <c r="Q17" s="262"/>
    </row>
    <row r="18" spans="1:17" s="1" customFormat="1" ht="15" customHeight="1">
      <c r="A18" s="1" t="s">
        <v>423</v>
      </c>
      <c r="B18" s="58">
        <v>0</v>
      </c>
      <c r="D18" s="262"/>
      <c r="E18" s="262"/>
      <c r="F18" s="262"/>
      <c r="G18" s="99" t="s">
        <v>36</v>
      </c>
      <c r="H18" s="99">
        <f>SUM(H5:H17)</f>
        <v>48421</v>
      </c>
      <c r="I18" s="99"/>
      <c r="J18" s="96">
        <f>SUM(J5:J17)</f>
        <v>1</v>
      </c>
      <c r="K18" s="96">
        <f>SUM(K5:K17)</f>
        <v>5.2715839731572595E-2</v>
      </c>
      <c r="M18" s="262"/>
      <c r="N18" s="262"/>
      <c r="O18" s="262"/>
      <c r="P18" s="262"/>
      <c r="Q18" s="262"/>
    </row>
    <row r="19" spans="1:17" s="1" customFormat="1" ht="15" customHeight="1">
      <c r="A19" s="1" t="s">
        <v>424</v>
      </c>
      <c r="B19" s="58">
        <v>0</v>
      </c>
      <c r="D19" s="262"/>
      <c r="E19" s="262"/>
      <c r="F19" s="262"/>
      <c r="G19" s="94" t="s">
        <v>747</v>
      </c>
      <c r="M19" s="262"/>
      <c r="N19" s="262"/>
      <c r="O19" s="262"/>
      <c r="P19" s="262"/>
      <c r="Q19" s="262"/>
    </row>
    <row r="20" spans="1:17" s="1" customFormat="1" ht="15" customHeight="1">
      <c r="A20" s="1" t="s">
        <v>425</v>
      </c>
      <c r="B20" s="58">
        <v>0</v>
      </c>
      <c r="D20" s="262"/>
      <c r="E20" s="262"/>
      <c r="F20" s="262"/>
      <c r="G20" s="7" t="s">
        <v>422</v>
      </c>
      <c r="H20" s="7" t="s">
        <v>269</v>
      </c>
      <c r="I20" s="7" t="s">
        <v>407</v>
      </c>
      <c r="J20" s="7" t="s">
        <v>408</v>
      </c>
      <c r="K20" s="7" t="s">
        <v>409</v>
      </c>
    </row>
    <row r="21" spans="1:17" s="1" customFormat="1" ht="15" customHeight="1">
      <c r="A21" s="1" t="s">
        <v>426</v>
      </c>
      <c r="B21" s="58">
        <v>0</v>
      </c>
      <c r="D21" s="262"/>
      <c r="E21" s="262"/>
      <c r="F21" s="262"/>
      <c r="G21" s="7" t="str">
        <f>'Country ERP'!A201</f>
        <v>Africa</v>
      </c>
      <c r="H21" s="90">
        <v>0</v>
      </c>
      <c r="I21" s="20">
        <f>'Country ERP'!B201</f>
        <v>0.12636516288511693</v>
      </c>
      <c r="J21" s="96">
        <f t="shared" ref="J21:J29" si="2">H21/$H$32</f>
        <v>0</v>
      </c>
      <c r="K21" s="102">
        <f>I21*J21</f>
        <v>0</v>
      </c>
    </row>
    <row r="22" spans="1:17" s="1" customFormat="1" ht="15" customHeight="1">
      <c r="D22" s="262"/>
      <c r="E22" s="262"/>
      <c r="F22" s="262"/>
      <c r="G22" s="7" t="str">
        <f>'Country ERP'!A202</f>
        <v>Asia</v>
      </c>
      <c r="H22" s="90">
        <f>3159+4281</f>
        <v>7440</v>
      </c>
      <c r="I22" s="20">
        <f>'Country ERP'!B202</f>
        <v>5.8700000000000002E-2</v>
      </c>
      <c r="J22" s="96">
        <f t="shared" si="2"/>
        <v>0.19265128563660375</v>
      </c>
      <c r="K22" s="102">
        <f t="shared" ref="K22:K29" si="3">I22*J22</f>
        <v>1.1308630466868641E-2</v>
      </c>
    </row>
    <row r="23" spans="1:17" s="1" customFormat="1" ht="15" customHeight="1">
      <c r="A23" s="1" t="s">
        <v>427</v>
      </c>
      <c r="B23" s="98">
        <f>IF('Master Inputs Start here'!B7="Yes",'Operating lease converter'!C30,0)</f>
        <v>0</v>
      </c>
      <c r="G23" s="7" t="str">
        <f>'Country ERP'!A203</f>
        <v>Australia &amp; New Zealand</v>
      </c>
      <c r="H23" s="90"/>
      <c r="I23" s="20">
        <f>'Country ERP'!B203</f>
        <v>4.3342933242096059E-2</v>
      </c>
      <c r="J23" s="96">
        <f t="shared" si="2"/>
        <v>0</v>
      </c>
      <c r="K23" s="102">
        <f t="shared" si="3"/>
        <v>0</v>
      </c>
    </row>
    <row r="24" spans="1:17" s="1" customFormat="1" ht="15" customHeight="1">
      <c r="G24" s="7" t="str">
        <f>'Country ERP'!A204</f>
        <v>Caribbean</v>
      </c>
      <c r="H24" s="90">
        <v>0</v>
      </c>
      <c r="I24" s="20">
        <f>'Country ERP'!B204</f>
        <v>0.12432073131656701</v>
      </c>
      <c r="J24" s="96">
        <f t="shared" si="2"/>
        <v>0</v>
      </c>
      <c r="K24" s="102">
        <f t="shared" si="3"/>
        <v>0</v>
      </c>
    </row>
    <row r="25" spans="1:17" s="1" customFormat="1" ht="15" customHeight="1">
      <c r="A25" s="3" t="s">
        <v>428</v>
      </c>
      <c r="G25" s="7" t="str">
        <f>'Country ERP'!A205</f>
        <v>Central and South America</v>
      </c>
      <c r="H25" s="90">
        <v>0</v>
      </c>
      <c r="I25" s="20">
        <f>'Country ERP'!B205</f>
        <v>9.1502494977120707E-2</v>
      </c>
      <c r="J25" s="96">
        <f t="shared" si="2"/>
        <v>0</v>
      </c>
      <c r="K25" s="102">
        <f t="shared" si="3"/>
        <v>0</v>
      </c>
    </row>
    <row r="26" spans="1:17" s="1" customFormat="1" ht="15" customHeight="1">
      <c r="A26" s="1" t="s">
        <v>429</v>
      </c>
      <c r="B26" s="58">
        <v>0</v>
      </c>
      <c r="G26" s="7" t="str">
        <f>'Country ERP'!A206</f>
        <v>Eastern Europe</v>
      </c>
      <c r="H26" s="90"/>
      <c r="I26" s="20">
        <f>'Country ERP'!B206</f>
        <v>7.7277034566536854E-2</v>
      </c>
      <c r="J26" s="96">
        <f t="shared" si="2"/>
        <v>0</v>
      </c>
      <c r="K26" s="102">
        <f t="shared" si="3"/>
        <v>0</v>
      </c>
    </row>
    <row r="27" spans="1:17" s="1" customFormat="1" ht="15" customHeight="1">
      <c r="A27" s="1" t="s">
        <v>430</v>
      </c>
      <c r="B27" s="58">
        <v>70</v>
      </c>
      <c r="G27" s="7" t="str">
        <f>'Country ERP'!A207</f>
        <v>Middle East</v>
      </c>
      <c r="H27" s="90">
        <v>0</v>
      </c>
      <c r="I27" s="20">
        <f>'Country ERP'!B207</f>
        <v>6.42857466003489E-2</v>
      </c>
      <c r="J27" s="96">
        <f t="shared" si="2"/>
        <v>0</v>
      </c>
      <c r="K27" s="102">
        <f t="shared" si="3"/>
        <v>0</v>
      </c>
    </row>
    <row r="28" spans="1:17" s="1" customFormat="1" ht="15" customHeight="1">
      <c r="A28" s="1" t="s">
        <v>431</v>
      </c>
      <c r="B28" s="58">
        <v>5</v>
      </c>
      <c r="G28" s="7" t="str">
        <f>'Country ERP'!A208</f>
        <v>North America</v>
      </c>
      <c r="H28" s="90">
        <v>21791</v>
      </c>
      <c r="I28" s="20">
        <f>'Country ERP'!B208</f>
        <v>4.3299999999999998E-2</v>
      </c>
      <c r="J28" s="96">
        <f t="shared" si="2"/>
        <v>0.5642559361972086</v>
      </c>
      <c r="K28" s="102">
        <f t="shared" si="3"/>
        <v>2.4432282037339131E-2</v>
      </c>
    </row>
    <row r="29" spans="1:17" s="1" customFormat="1" ht="15" customHeight="1">
      <c r="G29" s="7" t="str">
        <f>'Country ERP'!A209</f>
        <v>Western Europe</v>
      </c>
      <c r="H29" s="90">
        <v>6175</v>
      </c>
      <c r="I29" s="20">
        <f>'Country ERP'!B209</f>
        <v>5.4450110634666364E-2</v>
      </c>
      <c r="J29" s="96">
        <f t="shared" si="2"/>
        <v>0.15989538828038014</v>
      </c>
      <c r="K29" s="102">
        <f t="shared" si="3"/>
        <v>8.7063215818396333E-3</v>
      </c>
    </row>
    <row r="30" spans="1:17" s="1" customFormat="1" ht="15" customHeight="1">
      <c r="A30" s="2" t="s">
        <v>219</v>
      </c>
      <c r="G30" s="90" t="s">
        <v>508</v>
      </c>
      <c r="H30" s="90">
        <v>1673</v>
      </c>
      <c r="I30" s="138">
        <v>5.6300000000000003E-2</v>
      </c>
      <c r="J30" s="96">
        <f>H30/$H$32</f>
        <v>4.3320645278230922E-2</v>
      </c>
      <c r="K30" s="102">
        <f>I30*J30</f>
        <v>2.4389523291644009E-3</v>
      </c>
    </row>
    <row r="31" spans="1:17" s="1" customFormat="1" ht="15" customHeight="1">
      <c r="A31" s="7" t="s">
        <v>433</v>
      </c>
      <c r="B31" s="7"/>
      <c r="C31" s="107">
        <f>B13*(1-(1+B15)^(-B14))/B15+B12/(1+B15)^B14</f>
        <v>24011.472745307412</v>
      </c>
      <c r="G31" s="90" t="s">
        <v>486</v>
      </c>
      <c r="H31" s="90">
        <v>1540</v>
      </c>
      <c r="I31" s="138">
        <v>5.6300000000000003E-2</v>
      </c>
      <c r="J31" s="96">
        <f>H31/$H$32</f>
        <v>3.9876744607576578E-2</v>
      </c>
      <c r="K31" s="102">
        <f>I31*J31</f>
        <v>2.2450607214065613E-3</v>
      </c>
    </row>
    <row r="32" spans="1:17" s="1" customFormat="1" ht="15" customHeight="1">
      <c r="A32" s="7" t="s">
        <v>434</v>
      </c>
      <c r="B32" s="7"/>
      <c r="C32" s="107">
        <f>B19*(1-(1+B15)^(-B20))/B15+B18/(1+B15)^B20</f>
        <v>0</v>
      </c>
      <c r="G32" s="99" t="s">
        <v>36</v>
      </c>
      <c r="H32" s="99">
        <f>SUM(H21:H31)</f>
        <v>38619</v>
      </c>
      <c r="I32" s="101"/>
      <c r="J32" s="96">
        <f>SUM(J21:J31)</f>
        <v>0.99999999999999989</v>
      </c>
      <c r="K32" s="103">
        <f>SUM(K21:K31)</f>
        <v>4.9131247136618365E-2</v>
      </c>
    </row>
    <row r="33" spans="1:17" s="1" customFormat="1" ht="15" customHeight="1">
      <c r="A33" s="7" t="s">
        <v>435</v>
      </c>
      <c r="B33" s="7"/>
      <c r="C33" s="107">
        <f>B23</f>
        <v>0</v>
      </c>
    </row>
    <row r="34" spans="1:17" s="1" customFormat="1" ht="15" customHeight="1">
      <c r="A34" s="7" t="s">
        <v>436</v>
      </c>
      <c r="B34" s="7"/>
      <c r="C34" s="107">
        <f>B21-C32</f>
        <v>0</v>
      </c>
      <c r="G34" s="93" t="s">
        <v>749</v>
      </c>
    </row>
    <row r="35" spans="1:17" s="1" customFormat="1" ht="15" customHeight="1">
      <c r="A35" s="7" t="s">
        <v>437</v>
      </c>
      <c r="B35" s="7"/>
      <c r="C35" s="108">
        <f>B7*(1+(1-B16)*(C38/B38))</f>
        <v>1.0065322414933349</v>
      </c>
      <c r="G35" s="7" t="s">
        <v>432</v>
      </c>
      <c r="H35" s="7" t="s">
        <v>269</v>
      </c>
      <c r="I35" s="7" t="s">
        <v>331</v>
      </c>
      <c r="J35" s="7" t="s">
        <v>402</v>
      </c>
      <c r="K35" s="7" t="s">
        <v>342</v>
      </c>
    </row>
    <row r="36" spans="1:17" s="1" customFormat="1" ht="15" customHeight="1">
      <c r="G36" s="90" t="s">
        <v>815</v>
      </c>
      <c r="H36" s="104">
        <v>84</v>
      </c>
      <c r="I36" s="105">
        <f>IF(G36=0,,VLOOKUP(G36,'US Industry averages'!$A$2:$Z$95,15))</f>
        <v>5.4837121023102311</v>
      </c>
      <c r="J36" s="106">
        <f>H36*I36</f>
        <v>460.63181659405939</v>
      </c>
      <c r="K36" s="105">
        <f>IF(I36=0,0,VLOOKUP(G36,'US Industry averages'!$A$2:$Z$95,7))</f>
        <v>0.9833609439300397</v>
      </c>
    </row>
    <row r="37" spans="1:17" s="10" customFormat="1" ht="15" customHeight="1">
      <c r="B37" s="109" t="s">
        <v>410</v>
      </c>
      <c r="C37" s="109" t="s">
        <v>438</v>
      </c>
      <c r="D37" s="109" t="s">
        <v>428</v>
      </c>
      <c r="E37" s="109" t="s">
        <v>439</v>
      </c>
      <c r="G37" s="90"/>
      <c r="H37" s="104"/>
      <c r="I37" s="105">
        <f>IF(G37=0,,VLOOKUP(G37,'US Industry averages'!$A$2:$Z$95,15))</f>
        <v>0</v>
      </c>
      <c r="J37" s="106">
        <f>H37*I37</f>
        <v>0</v>
      </c>
      <c r="K37" s="105">
        <f>IF(I37=0,0,VLOOKUP(G37,'US Industry averages'!$A$2:$Z$95,7))</f>
        <v>0</v>
      </c>
      <c r="L37" s="1"/>
      <c r="M37" s="1"/>
      <c r="N37" s="1"/>
      <c r="O37" s="1"/>
      <c r="P37" s="1"/>
      <c r="Q37" s="1"/>
    </row>
    <row r="38" spans="1:17" s="1" customFormat="1" ht="15" customHeight="1">
      <c r="A38" s="7" t="s">
        <v>440</v>
      </c>
      <c r="B38" s="107">
        <f>B4*B5</f>
        <v>764262.69739999995</v>
      </c>
      <c r="C38" s="107">
        <f>C31+C32+C33</f>
        <v>24011.472745307412</v>
      </c>
      <c r="D38" s="107">
        <f>B26*B27</f>
        <v>0</v>
      </c>
      <c r="E38" s="98">
        <f>SUM(B38:D38)</f>
        <v>788274.17014530732</v>
      </c>
      <c r="G38" s="90"/>
      <c r="H38" s="104"/>
      <c r="I38" s="105">
        <f>IF(G38=0,,VLOOKUP(G38,'US Industry averages'!$A$2:$Z$95,15))</f>
        <v>0</v>
      </c>
      <c r="J38" s="106">
        <f t="shared" ref="J38:J47" si="4">H38*I38</f>
        <v>0</v>
      </c>
      <c r="K38" s="105">
        <f>IF(I38=0,0,VLOOKUP(G38,'US Industry averages'!$A$2:$Z$95,7))</f>
        <v>0</v>
      </c>
    </row>
    <row r="39" spans="1:17" s="1" customFormat="1" ht="15" customHeight="1" thickBot="1">
      <c r="A39" s="7" t="s">
        <v>441</v>
      </c>
      <c r="B39" s="96">
        <f>B38/$E$38</f>
        <v>0.9695391861680801</v>
      </c>
      <c r="C39" s="96">
        <f>C38/$E$38</f>
        <v>3.046081383191997E-2</v>
      </c>
      <c r="D39" s="96">
        <f>D38/$E$38</f>
        <v>0</v>
      </c>
      <c r="E39" s="110">
        <f>SUM(B39:D39)</f>
        <v>1</v>
      </c>
      <c r="G39" s="90"/>
      <c r="H39" s="104"/>
      <c r="I39" s="105">
        <f>IF(G39=0,,VLOOKUP(G39,'US Industry averages'!$A$2:$Z$95,15))</f>
        <v>0</v>
      </c>
      <c r="J39" s="106">
        <f t="shared" si="4"/>
        <v>0</v>
      </c>
      <c r="K39" s="105">
        <f>IF(I39=0,0,VLOOKUP(G39,'US Industry averages'!$A$2:$Z$95,7))</f>
        <v>0</v>
      </c>
    </row>
    <row r="40" spans="1:17" s="1" customFormat="1" ht="15" customHeight="1" thickBot="1">
      <c r="A40" s="7" t="s">
        <v>442</v>
      </c>
      <c r="B40" s="101">
        <f>B8+C35*B9</f>
        <v>9.4452184307783474E-2</v>
      </c>
      <c r="C40" s="96">
        <f>B15*(1-B16)</f>
        <v>2.7374999999999997E-2</v>
      </c>
      <c r="D40" s="111">
        <f>B28/B27</f>
        <v>7.1428571428571425E-2</v>
      </c>
      <c r="E40" s="112">
        <f>B39*B40+C39*C40+D39*D40</f>
        <v>9.2408958684214712E-2</v>
      </c>
      <c r="G40" s="90"/>
      <c r="H40" s="104"/>
      <c r="I40" s="105">
        <f>IF(G40=0,,VLOOKUP(G40,'US Industry averages'!$A$2:$Z$95,15))</f>
        <v>0</v>
      </c>
      <c r="J40" s="106">
        <f t="shared" si="4"/>
        <v>0</v>
      </c>
      <c r="K40" s="105">
        <f>IF(I40=0,0,VLOOKUP(G40,'US Industry averages'!$A$2:$Z$95,7))</f>
        <v>0</v>
      </c>
      <c r="L40" s="10"/>
      <c r="M40" s="10"/>
      <c r="N40" s="10"/>
      <c r="O40" s="10"/>
      <c r="P40" s="10"/>
      <c r="Q40" s="10"/>
    </row>
    <row r="41" spans="1:17">
      <c r="G41" s="90"/>
      <c r="H41" s="104"/>
      <c r="I41" s="105">
        <f>IF(G41=0,,VLOOKUP(G41,'US Industry averages'!$A$2:$Z$95,15))</f>
        <v>0</v>
      </c>
      <c r="J41" s="106">
        <f t="shared" si="4"/>
        <v>0</v>
      </c>
      <c r="K41" s="105">
        <f>IF(I41=0,0,VLOOKUP(G41,'US Industry averages'!$A$2:$Z$95,7))</f>
        <v>0</v>
      </c>
      <c r="L41" s="1"/>
      <c r="M41" s="1"/>
      <c r="N41" s="1"/>
      <c r="O41" s="1"/>
      <c r="P41" s="1"/>
      <c r="Q41" s="1"/>
    </row>
    <row r="42" spans="1:17">
      <c r="G42" s="90"/>
      <c r="H42" s="104"/>
      <c r="I42" s="105">
        <f>IF(G42=0,,VLOOKUP(G42,'US Industry averages'!$A$2:$Z$95,15))</f>
        <v>0</v>
      </c>
      <c r="J42" s="106">
        <f t="shared" si="4"/>
        <v>0</v>
      </c>
      <c r="K42" s="105">
        <f>IF(I42=0,0,VLOOKUP(G42,'US Industry averages'!$A$2:$Z$95,7))</f>
        <v>0</v>
      </c>
      <c r="L42" s="1"/>
      <c r="M42" s="1"/>
      <c r="N42" s="1"/>
      <c r="O42" s="1"/>
      <c r="P42" s="1"/>
      <c r="Q42" s="1"/>
    </row>
    <row r="43" spans="1:17">
      <c r="G43" s="90"/>
      <c r="H43" s="104"/>
      <c r="I43" s="105">
        <f>IF(G43=0,,VLOOKUP(G43,'US Industry averages'!$A$2:$Z$95,15))</f>
        <v>0</v>
      </c>
      <c r="J43" s="106">
        <f t="shared" si="4"/>
        <v>0</v>
      </c>
      <c r="K43" s="105">
        <f>IF(I43=0,0,VLOOKUP(G43,'US Industry averages'!$A$2:$Z$95,7))</f>
        <v>0</v>
      </c>
      <c r="L43" s="1"/>
      <c r="M43" s="1"/>
      <c r="N43" s="1"/>
      <c r="O43" s="1"/>
      <c r="P43" s="1"/>
      <c r="Q43" s="1"/>
    </row>
    <row r="44" spans="1:17">
      <c r="G44" s="90"/>
      <c r="H44" s="104"/>
      <c r="I44" s="105">
        <f>IF(G44=0,,VLOOKUP(G44,'US Industry averages'!$A$2:$Z$95,15))</f>
        <v>0</v>
      </c>
      <c r="J44" s="106">
        <f t="shared" si="4"/>
        <v>0</v>
      </c>
      <c r="K44" s="105">
        <f>IF(I44=0,0,VLOOKUP(G44,'US Industry averages'!$A$2:$Z$95,7))</f>
        <v>0</v>
      </c>
    </row>
    <row r="45" spans="1:17">
      <c r="G45" s="90"/>
      <c r="H45" s="104"/>
      <c r="I45" s="105">
        <f>IF(G45=0,,VLOOKUP(G45,'US Industry averages'!$A$2:$Z$95,15))</f>
        <v>0</v>
      </c>
      <c r="J45" s="106">
        <f t="shared" si="4"/>
        <v>0</v>
      </c>
      <c r="K45" s="105">
        <f>IF(I45=0,0,VLOOKUP(G45,'US Industry averages'!$A$2:$Z$95,7))</f>
        <v>0</v>
      </c>
    </row>
    <row r="46" spans="1:17">
      <c r="G46" s="90"/>
      <c r="H46" s="104"/>
      <c r="I46" s="105">
        <f>IF(G46=0,,VLOOKUP(G46,'US Industry averages'!$A$2:$Z$95,15))</f>
        <v>0</v>
      </c>
      <c r="J46" s="106">
        <f t="shared" si="4"/>
        <v>0</v>
      </c>
      <c r="K46" s="105">
        <f>IF(I46=0,0,VLOOKUP(G46,'US Industry averages'!$A$2:$Z$95,7))</f>
        <v>0</v>
      </c>
    </row>
    <row r="47" spans="1:17">
      <c r="G47" s="90"/>
      <c r="H47" s="104"/>
      <c r="I47" s="105">
        <f>IF(G47=0,,VLOOKUP(G47,'US Industry averages'!$A$2:$Z$95,15))</f>
        <v>0</v>
      </c>
      <c r="J47" s="106">
        <f t="shared" si="4"/>
        <v>0</v>
      </c>
      <c r="K47" s="105">
        <f>IF(I47=0,0,VLOOKUP(G47,'US Industry averages'!$A$2:$Z$95,7))</f>
        <v>0</v>
      </c>
    </row>
    <row r="48" spans="1:17">
      <c r="G48" s="113" t="s">
        <v>443</v>
      </c>
      <c r="H48" s="114">
        <f>SUM(H36:H47)</f>
        <v>84</v>
      </c>
      <c r="I48" s="115"/>
      <c r="J48" s="106">
        <f>SUM(J36:J47)</f>
        <v>460.63181659405939</v>
      </c>
      <c r="K48" s="115">
        <f>K36*(J36/J48)+K37*J37/J48+K38*J38/J48+K39*J39/J48+K40*J40/J48+K41*J41/J48+K42*J42/J48+K43*J43/J48+K44*J44/J48+K45*J45/J48+K46*J46/J48+K47*J47/J48</f>
        <v>0.9833609439300397</v>
      </c>
    </row>
    <row r="50" spans="7:11" ht="18">
      <c r="G50" s="164" t="s">
        <v>750</v>
      </c>
    </row>
    <row r="51" spans="7:11">
      <c r="G51" s="7" t="s">
        <v>432</v>
      </c>
      <c r="H51" s="7" t="s">
        <v>269</v>
      </c>
      <c r="I51" s="7" t="s">
        <v>331</v>
      </c>
      <c r="J51" s="7" t="s">
        <v>402</v>
      </c>
      <c r="K51" s="7" t="s">
        <v>342</v>
      </c>
    </row>
    <row r="52" spans="7:11">
      <c r="G52" s="90" t="s">
        <v>170</v>
      </c>
      <c r="H52" s="104">
        <f>25471+10067</f>
        <v>35538</v>
      </c>
      <c r="I52" s="105">
        <f>IF(G52=0,,VLOOKUP(G52,'Global Industry averages'!$A$2:$Z$95,15))</f>
        <v>1.6457239785378095</v>
      </c>
      <c r="J52" s="106">
        <f>H52*I52</f>
        <v>58485.738749276672</v>
      </c>
      <c r="K52" s="105">
        <f>IF(G52=0,,VLOOKUP(G52,'Global Industry averages'!$A$2:$Z$95,7))</f>
        <v>1.1531366444558786</v>
      </c>
    </row>
    <row r="53" spans="7:11">
      <c r="G53" s="90"/>
      <c r="H53" s="104"/>
      <c r="I53" s="105">
        <f>IF(G53=0,,VLOOKUP(G53,'Global Industry averages'!$A$2:$Z$95,15))</f>
        <v>0</v>
      </c>
      <c r="J53" s="106">
        <f>H53*I53</f>
        <v>0</v>
      </c>
      <c r="K53" s="105">
        <f>IF(G53=0,,VLOOKUP(G53,'Global Industry averages'!$A$2:$Z$95,7))</f>
        <v>0</v>
      </c>
    </row>
    <row r="54" spans="7:11">
      <c r="G54" s="90"/>
      <c r="H54" s="104"/>
      <c r="I54" s="105">
        <f>IF(G54=0,,VLOOKUP(G54,'Global Industry averages'!$A$2:$Z$95,15))</f>
        <v>0</v>
      </c>
      <c r="J54" s="106">
        <f t="shared" ref="J54:J63" si="5">H54*I54</f>
        <v>0</v>
      </c>
      <c r="K54" s="105">
        <f>IF(G54=0,,VLOOKUP(G54,'Global Industry averages'!$A$2:$Z$95,7))</f>
        <v>0</v>
      </c>
    </row>
    <row r="55" spans="7:11">
      <c r="G55" s="90"/>
      <c r="H55" s="104"/>
      <c r="I55" s="105">
        <f>IF(G55=0,,VLOOKUP(G55,'Global Industry averages'!$A$2:$Z$95,15))</f>
        <v>0</v>
      </c>
      <c r="J55" s="106">
        <f t="shared" si="5"/>
        <v>0</v>
      </c>
      <c r="K55" s="105">
        <f>IF(G55=0,,VLOOKUP(G55,'Global Industry averages'!$A$2:$Z$95,7))</f>
        <v>0</v>
      </c>
    </row>
    <row r="56" spans="7:11">
      <c r="G56" s="90"/>
      <c r="H56" s="104"/>
      <c r="I56" s="105">
        <f>IF(G56=0,,VLOOKUP(G56,'Global Industry averages'!$A$2:$Z$95,15))</f>
        <v>0</v>
      </c>
      <c r="J56" s="106">
        <f t="shared" si="5"/>
        <v>0</v>
      </c>
      <c r="K56" s="105">
        <f>IF(G56=0,,VLOOKUP(G56,'Global Industry averages'!$A$2:$Z$95,7))</f>
        <v>0</v>
      </c>
    </row>
    <row r="57" spans="7:11">
      <c r="G57" s="90"/>
      <c r="H57" s="104"/>
      <c r="I57" s="105">
        <f>IF(G57=0,,VLOOKUP(G57,'Global Industry averages'!$A$2:$Z$95,15))</f>
        <v>0</v>
      </c>
      <c r="J57" s="106">
        <f t="shared" si="5"/>
        <v>0</v>
      </c>
      <c r="K57" s="105">
        <f>IF(G57=0,,VLOOKUP(G57,'Global Industry averages'!$A$2:$Z$95,7))</f>
        <v>0</v>
      </c>
    </row>
    <row r="58" spans="7:11">
      <c r="G58" s="90"/>
      <c r="H58" s="104"/>
      <c r="I58" s="105">
        <f>IF(G58=0,,VLOOKUP(G58,'Global Industry averages'!$A$2:$Z$95,15))</f>
        <v>0</v>
      </c>
      <c r="J58" s="106">
        <f t="shared" si="5"/>
        <v>0</v>
      </c>
      <c r="K58" s="105">
        <f>IF(G58=0,,VLOOKUP(G58,'Global Industry averages'!$A$2:$Z$95,7))</f>
        <v>0</v>
      </c>
    </row>
    <row r="59" spans="7:11">
      <c r="G59" s="90"/>
      <c r="H59" s="104"/>
      <c r="I59" s="105">
        <f>IF(G59=0,,VLOOKUP(G59,'Global Industry averages'!$A$2:$Z$95,15))</f>
        <v>0</v>
      </c>
      <c r="J59" s="106">
        <f t="shared" si="5"/>
        <v>0</v>
      </c>
      <c r="K59" s="105">
        <f>IF(G59=0,,VLOOKUP(G59,'Global Industry averages'!$A$2:$Z$95,7))</f>
        <v>0</v>
      </c>
    </row>
    <row r="60" spans="7:11">
      <c r="G60" s="90"/>
      <c r="H60" s="104"/>
      <c r="I60" s="105">
        <f>IF(G60=0,,VLOOKUP(G60,'Global Industry averages'!$A$2:$Z$95,15))</f>
        <v>0</v>
      </c>
      <c r="J60" s="106">
        <f t="shared" si="5"/>
        <v>0</v>
      </c>
      <c r="K60" s="105">
        <f>IF(G60=0,,VLOOKUP(G60,'Global Industry averages'!$A$2:$Z$95,7))</f>
        <v>0</v>
      </c>
    </row>
    <row r="61" spans="7:11">
      <c r="G61" s="90"/>
      <c r="H61" s="104"/>
      <c r="I61" s="105">
        <f>IF(G61=0,,VLOOKUP(G61,'Global Industry averages'!$A$2:$Z$95,15))</f>
        <v>0</v>
      </c>
      <c r="J61" s="106">
        <f t="shared" si="5"/>
        <v>0</v>
      </c>
      <c r="K61" s="105">
        <f>IF(G61=0,,VLOOKUP(G61,'Global Industry averages'!$A$2:$Z$95,7))</f>
        <v>0</v>
      </c>
    </row>
    <row r="62" spans="7:11">
      <c r="G62" s="90"/>
      <c r="H62" s="104"/>
      <c r="I62" s="105">
        <f>IF(G62=0,,VLOOKUP(G62,'Global Industry averages'!$A$2:$Z$95,15))</f>
        <v>0</v>
      </c>
      <c r="J62" s="106">
        <f t="shared" si="5"/>
        <v>0</v>
      </c>
      <c r="K62" s="105">
        <f>IF(G62=0,,VLOOKUP(G62,'Global Industry averages'!$A$2:$Z$95,7))</f>
        <v>0</v>
      </c>
    </row>
    <row r="63" spans="7:11">
      <c r="G63" s="90"/>
      <c r="H63" s="104"/>
      <c r="I63" s="105">
        <f>IF(G63=0,,VLOOKUP(G63,'Global Industry averages'!$A$2:$Z$95,15))</f>
        <v>0</v>
      </c>
      <c r="J63" s="106">
        <f t="shared" si="5"/>
        <v>0</v>
      </c>
      <c r="K63" s="105">
        <f>IF(G63=0,,VLOOKUP(G63,'Global Industry averages'!$A$2:$Z$95,7))</f>
        <v>0</v>
      </c>
    </row>
    <row r="64" spans="7:11">
      <c r="G64" s="113" t="s">
        <v>443</v>
      </c>
      <c r="H64" s="114">
        <f>SUM(H52:H63)</f>
        <v>35538</v>
      </c>
      <c r="I64" s="115"/>
      <c r="J64" s="106">
        <f>SUM(J52:J63)</f>
        <v>58485.738749276672</v>
      </c>
      <c r="K64" s="115">
        <f>K52*(J52/J64)+K53*J53/J64+K54*J54/J64+K55*J55/J64+K56*J56/J64+K57*J57/J64+K58*J58/J64+K59*J59/J64+K60*J60/J64+K61*J61/J64+K62*J62/J64+K63*J63/J64</f>
        <v>1.1531366444558786</v>
      </c>
    </row>
  </sheetData>
  <mergeCells count="3">
    <mergeCell ref="A1:K2"/>
    <mergeCell ref="M5:Q19"/>
    <mergeCell ref="D4:F22"/>
  </mergeCells>
  <phoneticPr fontId="24"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1000000}">
          <x14:formula1>
            <xm:f>'US Industry averages'!$A$2:$A$95</xm:f>
          </x14:formula1>
          <xm:sqref>G36:G47 G52:G63</xm:sqref>
        </x14:dataValidation>
        <x14:dataValidation type="list" allowBlank="1" showInputMessage="1" showErrorMessage="1" xr:uid="{2B809A13-BC2C-6F4F-8031-F048F45B7500}">
          <x14:formula1>
            <xm:f>'Country ERP'!$A$5:$A$196</xm:f>
          </x14:formula1>
          <xm:sqref>G5:G15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53"/>
  <sheetViews>
    <sheetView workbookViewId="0">
      <selection activeCell="H39" sqref="H39:H53"/>
    </sheetView>
  </sheetViews>
  <sheetFormatPr baseColWidth="10" defaultRowHeight="14"/>
  <sheetData>
    <row r="1" spans="1:16" ht="18">
      <c r="A1" s="14" t="s">
        <v>95</v>
      </c>
    </row>
    <row r="2" spans="1:16" s="16" customFormat="1" ht="18">
      <c r="A2" s="14" t="s">
        <v>731</v>
      </c>
      <c r="B2"/>
      <c r="C2"/>
      <c r="D2"/>
      <c r="E2"/>
      <c r="F2"/>
      <c r="G2"/>
      <c r="H2"/>
      <c r="I2"/>
      <c r="J2"/>
      <c r="K2"/>
      <c r="L2"/>
      <c r="M2"/>
      <c r="N2"/>
      <c r="O2"/>
      <c r="P2"/>
    </row>
    <row r="3" spans="1:16" s="16" customFormat="1" ht="17" thickBot="1">
      <c r="A3" s="94" t="s">
        <v>732</v>
      </c>
      <c r="B3" s="151"/>
      <c r="C3" s="151"/>
      <c r="D3" s="151"/>
      <c r="E3" s="151"/>
      <c r="F3" s="151"/>
      <c r="G3" s="151"/>
      <c r="H3" s="151"/>
      <c r="I3" s="151"/>
      <c r="J3" s="151"/>
      <c r="K3" s="151"/>
      <c r="L3" s="151"/>
      <c r="M3"/>
      <c r="N3"/>
      <c r="O3"/>
      <c r="P3"/>
    </row>
    <row r="4" spans="1:16" s="16" customFormat="1" ht="15" thickBot="1">
      <c r="A4" s="1" t="s">
        <v>52</v>
      </c>
      <c r="B4" s="1"/>
      <c r="C4" s="169">
        <v>1</v>
      </c>
      <c r="D4" s="1"/>
      <c r="E4" s="1"/>
      <c r="F4" s="1"/>
      <c r="G4" s="1"/>
      <c r="H4" s="1"/>
      <c r="I4" s="1"/>
      <c r="J4" s="1"/>
      <c r="M4"/>
      <c r="N4"/>
      <c r="O4"/>
      <c r="P4"/>
    </row>
    <row r="5" spans="1:16" s="16" customFormat="1" ht="15" thickBot="1">
      <c r="A5" s="1" t="s">
        <v>251</v>
      </c>
      <c r="B5" s="1"/>
      <c r="C5" s="1"/>
      <c r="D5" s="1"/>
      <c r="E5" s="1"/>
      <c r="F5" s="165">
        <f>IF('Master Inputs Start here'!B7="No",'Master Inputs Start here'!B12,'Master Inputs Start here'!B12+'Operating lease converter'!F34)</f>
        <v>7040</v>
      </c>
      <c r="G5" s="1" t="s">
        <v>256</v>
      </c>
      <c r="H5" s="1"/>
      <c r="I5" s="1"/>
      <c r="J5" s="1"/>
      <c r="M5"/>
      <c r="N5"/>
      <c r="O5"/>
      <c r="P5"/>
    </row>
    <row r="6" spans="1:16" s="16" customFormat="1" ht="15" thickBot="1">
      <c r="A6" s="1" t="s">
        <v>292</v>
      </c>
      <c r="B6" s="1"/>
      <c r="C6" s="1"/>
      <c r="D6" s="1"/>
      <c r="E6" s="1"/>
      <c r="F6" s="152">
        <f>IF('Master Inputs Start here'!B7="Yes",('Master Inputs Start here'!B13+'Operating lease converter'!C30*'Operating lease converter'!C14),'Master Inputs Start here'!B13)</f>
        <v>486</v>
      </c>
      <c r="G6" s="1" t="s">
        <v>338</v>
      </c>
      <c r="H6" s="1"/>
      <c r="I6" s="1"/>
      <c r="J6" s="1"/>
      <c r="M6"/>
      <c r="N6"/>
      <c r="O6"/>
      <c r="P6"/>
    </row>
    <row r="7" spans="1:16" s="16" customFormat="1" ht="15" thickBot="1">
      <c r="A7" s="1" t="s">
        <v>733</v>
      </c>
      <c r="B7" s="1"/>
      <c r="C7" s="1"/>
      <c r="D7" s="1"/>
      <c r="E7" s="1"/>
      <c r="F7" s="153">
        <f>'Master Inputs Start here'!B39</f>
        <v>4.4999999999999998E-2</v>
      </c>
      <c r="G7" s="1"/>
      <c r="H7" s="1"/>
      <c r="I7" s="1"/>
      <c r="J7" s="1"/>
      <c r="M7"/>
      <c r="N7"/>
      <c r="O7"/>
      <c r="P7"/>
    </row>
    <row r="8" spans="1:16" s="16" customFormat="1" ht="15" thickBot="1">
      <c r="A8" s="3" t="s">
        <v>219</v>
      </c>
      <c r="B8" s="1"/>
      <c r="C8" s="1"/>
      <c r="D8" s="1"/>
      <c r="E8" s="1"/>
      <c r="F8" s="1"/>
      <c r="G8" s="1"/>
      <c r="H8" s="1"/>
      <c r="I8" s="1"/>
      <c r="J8" s="1"/>
      <c r="M8"/>
      <c r="N8"/>
      <c r="O8"/>
      <c r="P8"/>
    </row>
    <row r="9" spans="1:16" s="16" customFormat="1" ht="15" thickBot="1">
      <c r="A9" s="1" t="s">
        <v>2</v>
      </c>
      <c r="B9" s="1"/>
      <c r="C9" s="1"/>
      <c r="D9" s="154">
        <f>IF(F6=0,1000000,IF(F5&lt;0,-100000,F5/F6))</f>
        <v>14.48559670781893</v>
      </c>
      <c r="E9" s="1"/>
      <c r="F9" s="1"/>
      <c r="G9" s="1"/>
      <c r="H9" s="1"/>
      <c r="I9" s="1"/>
      <c r="J9" s="1"/>
      <c r="M9"/>
      <c r="N9"/>
      <c r="O9"/>
      <c r="P9"/>
    </row>
    <row r="10" spans="1:16" s="1" customFormat="1" ht="15" thickBot="1">
      <c r="A10" s="1" t="s">
        <v>117</v>
      </c>
      <c r="B10" s="16"/>
      <c r="C10" s="16"/>
      <c r="D10" s="155" t="str">
        <f>IF(C4=1,VLOOKUP(D9,A19:D33,3),(IF(C4=2,VLOOKUP(D9,A38:D52,3),VLOOKUP(D9,F19:I33,3))))</f>
        <v>Aaa/AAA</v>
      </c>
      <c r="E10" s="16"/>
      <c r="F10" s="36" t="s">
        <v>734</v>
      </c>
      <c r="G10" s="16"/>
      <c r="H10" s="16"/>
      <c r="I10" s="16"/>
      <c r="J10" s="16"/>
      <c r="K10" s="16"/>
      <c r="L10" s="16"/>
      <c r="M10"/>
      <c r="N10"/>
      <c r="O10"/>
      <c r="P10"/>
    </row>
    <row r="11" spans="1:16" s="1" customFormat="1" ht="15" thickBot="1">
      <c r="A11" s="1" t="s">
        <v>735</v>
      </c>
      <c r="B11" s="16"/>
      <c r="C11" s="16"/>
      <c r="D11" s="156">
        <f>IF(C4=1,VLOOKUP(D9,A19:D33,4),(IF(C4=2,VLOOKUP(D9,A38:D52,4),VLOOKUP(D9,F19:I33,4))))</f>
        <v>4.4999999999999997E-3</v>
      </c>
      <c r="E11" s="16"/>
      <c r="F11" s="36" t="s">
        <v>736</v>
      </c>
      <c r="G11" s="16"/>
      <c r="H11" s="16"/>
      <c r="I11" s="16"/>
      <c r="J11" s="16"/>
      <c r="K11" s="16"/>
      <c r="L11" s="16"/>
      <c r="M11"/>
      <c r="N11"/>
      <c r="O11"/>
      <c r="P11"/>
    </row>
    <row r="12" spans="1:16" s="16" customFormat="1" ht="15" thickBot="1">
      <c r="A12" s="1" t="s">
        <v>737</v>
      </c>
      <c r="D12" s="156">
        <f>VLOOKUP('Master Inputs Start here'!B9,'Country ERP'!A5:F195,3)</f>
        <v>0</v>
      </c>
      <c r="F12" s="36"/>
      <c r="M12"/>
      <c r="N12"/>
      <c r="O12"/>
      <c r="P12"/>
    </row>
    <row r="13" spans="1:16" s="16" customFormat="1" ht="15" thickBot="1">
      <c r="A13" s="1" t="s">
        <v>345</v>
      </c>
      <c r="B13" s="1"/>
      <c r="C13" s="1"/>
      <c r="D13" s="157">
        <f>F7+D11+D12</f>
        <v>4.9499999999999995E-2</v>
      </c>
      <c r="E13" s="1"/>
      <c r="F13" s="1"/>
      <c r="G13" s="1"/>
      <c r="H13" s="1"/>
      <c r="I13" s="1"/>
      <c r="J13" s="1"/>
      <c r="K13" s="1"/>
      <c r="L13" s="1"/>
      <c r="M13"/>
      <c r="N13"/>
      <c r="O13"/>
      <c r="P13"/>
    </row>
    <row r="14" spans="1:16" s="16" customFormat="1">
      <c r="A14" s="1"/>
      <c r="B14" s="1"/>
      <c r="C14" s="1"/>
      <c r="D14" s="158"/>
      <c r="E14" s="1"/>
      <c r="F14" s="1"/>
      <c r="G14" s="1"/>
      <c r="H14" s="1"/>
      <c r="I14" s="1"/>
      <c r="J14" s="1"/>
      <c r="K14" s="1"/>
      <c r="L14" s="1"/>
      <c r="M14"/>
      <c r="N14"/>
      <c r="O14"/>
      <c r="P14"/>
    </row>
    <row r="15" spans="1:16" s="16" customFormat="1">
      <c r="A15" s="4" t="s">
        <v>738</v>
      </c>
      <c r="B15" s="4"/>
      <c r="C15" s="4"/>
      <c r="D15" s="159"/>
      <c r="E15" s="4"/>
      <c r="F15" s="4"/>
      <c r="G15" s="4"/>
      <c r="H15" s="4"/>
      <c r="I15" s="4"/>
      <c r="J15" s="4"/>
      <c r="K15" s="4"/>
      <c r="L15" s="4"/>
      <c r="M15"/>
      <c r="N15"/>
      <c r="O15"/>
      <c r="P15"/>
    </row>
    <row r="16" spans="1:16" s="16" customFormat="1">
      <c r="A16" s="3" t="s">
        <v>346</v>
      </c>
      <c r="F16"/>
      <c r="G16"/>
      <c r="H16"/>
      <c r="I16"/>
      <c r="M16"/>
      <c r="N16"/>
      <c r="O16"/>
      <c r="P16"/>
    </row>
    <row r="17" spans="1:16" s="16" customFormat="1">
      <c r="A17" s="17" t="s">
        <v>372</v>
      </c>
      <c r="B17" s="17"/>
      <c r="C17" s="160"/>
      <c r="D17" s="160"/>
      <c r="F17"/>
      <c r="G17"/>
      <c r="H17"/>
      <c r="I17"/>
      <c r="J17" s="1"/>
      <c r="M17"/>
      <c r="N17"/>
      <c r="O17"/>
      <c r="P17"/>
    </row>
    <row r="18" spans="1:16" s="16" customFormat="1">
      <c r="A18" s="109" t="s">
        <v>160</v>
      </c>
      <c r="B18" s="109" t="s">
        <v>161</v>
      </c>
      <c r="C18" s="109" t="s">
        <v>211</v>
      </c>
      <c r="D18" s="109" t="s">
        <v>212</v>
      </c>
      <c r="F18"/>
      <c r="G18"/>
      <c r="H18"/>
      <c r="I18"/>
      <c r="M18"/>
      <c r="N18"/>
      <c r="O18"/>
      <c r="P18"/>
    </row>
    <row r="19" spans="1:16" s="16" customFormat="1" ht="16">
      <c r="A19" s="8">
        <v>-100000</v>
      </c>
      <c r="B19" s="8">
        <v>0.19999900000000001</v>
      </c>
      <c r="C19" s="118" t="s">
        <v>581</v>
      </c>
      <c r="D19" s="269">
        <v>0.19</v>
      </c>
      <c r="F19"/>
      <c r="G19"/>
      <c r="H19"/>
      <c r="I19"/>
      <c r="M19"/>
      <c r="N19"/>
      <c r="O19"/>
      <c r="P19"/>
    </row>
    <row r="20" spans="1:16" s="16" customFormat="1" ht="16">
      <c r="A20" s="8">
        <v>0.2</v>
      </c>
      <c r="B20" s="8">
        <v>0.64999899999999999</v>
      </c>
      <c r="C20" s="118" t="s">
        <v>584</v>
      </c>
      <c r="D20" s="269">
        <v>0.155</v>
      </c>
      <c r="F20"/>
      <c r="G20"/>
      <c r="H20"/>
      <c r="I20"/>
      <c r="M20"/>
      <c r="N20"/>
      <c r="O20"/>
      <c r="P20"/>
    </row>
    <row r="21" spans="1:16" s="16" customFormat="1" ht="16">
      <c r="A21" s="8">
        <v>0.65</v>
      </c>
      <c r="B21" s="8">
        <v>0.79999900000000002</v>
      </c>
      <c r="C21" s="118" t="s">
        <v>583</v>
      </c>
      <c r="D21" s="269">
        <v>0.10100000000000001</v>
      </c>
      <c r="F21"/>
      <c r="G21"/>
      <c r="H21"/>
      <c r="I21"/>
      <c r="M21"/>
      <c r="N21"/>
      <c r="O21"/>
      <c r="P21"/>
    </row>
    <row r="22" spans="1:16" s="16" customFormat="1" ht="16">
      <c r="A22" s="8">
        <v>0.8</v>
      </c>
      <c r="B22" s="8">
        <v>1.2499990000000001</v>
      </c>
      <c r="C22" s="118" t="s">
        <v>582</v>
      </c>
      <c r="D22" s="269">
        <v>7.2800000000000004E-2</v>
      </c>
      <c r="F22"/>
      <c r="G22"/>
      <c r="H22"/>
      <c r="I22"/>
      <c r="M22"/>
      <c r="N22"/>
      <c r="O22"/>
      <c r="P22"/>
    </row>
    <row r="23" spans="1:16" s="16" customFormat="1" ht="16">
      <c r="A23" s="8">
        <v>1.25</v>
      </c>
      <c r="B23" s="8">
        <v>1.4999990000000001</v>
      </c>
      <c r="C23" s="118" t="s">
        <v>585</v>
      </c>
      <c r="D23" s="269">
        <v>4.4200000000000003E-2</v>
      </c>
      <c r="F23"/>
      <c r="G23"/>
      <c r="H23"/>
      <c r="I23"/>
      <c r="M23"/>
      <c r="N23"/>
      <c r="O23"/>
      <c r="P23"/>
    </row>
    <row r="24" spans="1:16" s="16" customFormat="1" ht="16">
      <c r="A24" s="8">
        <v>1.5</v>
      </c>
      <c r="B24" s="8">
        <v>1.7499990000000001</v>
      </c>
      <c r="C24" s="118" t="s">
        <v>586</v>
      </c>
      <c r="D24" s="269">
        <v>0.03</v>
      </c>
      <c r="F24"/>
      <c r="G24"/>
      <c r="H24"/>
      <c r="I24"/>
      <c r="M24"/>
      <c r="N24"/>
      <c r="O24"/>
      <c r="P24"/>
    </row>
    <row r="25" spans="1:16" s="16" customFormat="1" ht="16">
      <c r="A25" s="8">
        <v>1.75</v>
      </c>
      <c r="B25" s="8">
        <v>1.9999990000000001</v>
      </c>
      <c r="C25" s="118" t="s">
        <v>587</v>
      </c>
      <c r="D25" s="269">
        <v>2.6100000000000002E-2</v>
      </c>
      <c r="F25"/>
      <c r="G25"/>
      <c r="H25"/>
      <c r="I25"/>
      <c r="M25"/>
      <c r="N25"/>
      <c r="O25"/>
      <c r="P25"/>
    </row>
    <row r="26" spans="1:16" s="16" customFormat="1" ht="16">
      <c r="A26" s="8">
        <v>2</v>
      </c>
      <c r="B26" s="8">
        <v>2.2499999000000002</v>
      </c>
      <c r="C26" s="118" t="s">
        <v>588</v>
      </c>
      <c r="D26" s="269">
        <v>1.83E-2</v>
      </c>
      <c r="F26"/>
      <c r="G26"/>
      <c r="H26"/>
      <c r="I26"/>
      <c r="M26"/>
      <c r="N26"/>
      <c r="O26"/>
      <c r="P26"/>
    </row>
    <row r="27" spans="1:16" s="16" customFormat="1" ht="16">
      <c r="A27" s="8">
        <v>2.25</v>
      </c>
      <c r="B27" s="8">
        <v>2.4999899999999999</v>
      </c>
      <c r="C27" s="118" t="s">
        <v>589</v>
      </c>
      <c r="D27" s="269">
        <v>1.55E-2</v>
      </c>
      <c r="F27"/>
      <c r="G27"/>
      <c r="H27"/>
      <c r="I27"/>
      <c r="M27"/>
      <c r="N27"/>
      <c r="O27"/>
      <c r="P27"/>
    </row>
    <row r="28" spans="1:16" s="16" customFormat="1" ht="16">
      <c r="A28" s="8">
        <v>2.5</v>
      </c>
      <c r="B28" s="8">
        <v>2.9999989999999999</v>
      </c>
      <c r="C28" s="118" t="s">
        <v>590</v>
      </c>
      <c r="D28" s="269">
        <v>1.2E-2</v>
      </c>
      <c r="F28"/>
      <c r="G28"/>
      <c r="H28"/>
      <c r="I28"/>
      <c r="M28"/>
      <c r="N28"/>
      <c r="O28"/>
      <c r="P28"/>
    </row>
    <row r="29" spans="1:16" s="16" customFormat="1" ht="16">
      <c r="A29" s="8">
        <v>3</v>
      </c>
      <c r="B29" s="8">
        <v>4.2499989999999999</v>
      </c>
      <c r="C29" s="118" t="s">
        <v>591</v>
      </c>
      <c r="D29" s="269">
        <v>9.4999999999999998E-3</v>
      </c>
      <c r="F29"/>
      <c r="G29"/>
      <c r="H29"/>
      <c r="I29"/>
      <c r="M29"/>
      <c r="N29"/>
      <c r="O29"/>
      <c r="P29"/>
    </row>
    <row r="30" spans="1:16" s="16" customFormat="1" ht="16">
      <c r="A30" s="8">
        <v>4.25</v>
      </c>
      <c r="B30" s="8">
        <v>5.4999989999999999</v>
      </c>
      <c r="C30" s="118" t="s">
        <v>592</v>
      </c>
      <c r="D30" s="269">
        <v>8.5000000000000006E-3</v>
      </c>
      <c r="F30"/>
      <c r="G30"/>
      <c r="H30"/>
      <c r="I30"/>
      <c r="M30"/>
      <c r="N30"/>
      <c r="O30"/>
      <c r="P30"/>
    </row>
    <row r="31" spans="1:16" s="16" customFormat="1" ht="16">
      <c r="A31" s="8">
        <v>5.5</v>
      </c>
      <c r="B31" s="8">
        <v>6.4999989999999999</v>
      </c>
      <c r="C31" s="118" t="s">
        <v>593</v>
      </c>
      <c r="D31" s="269">
        <v>7.7000000000000002E-3</v>
      </c>
      <c r="F31"/>
      <c r="G31"/>
      <c r="H31"/>
      <c r="I31"/>
      <c r="M31"/>
      <c r="N31"/>
      <c r="O31"/>
      <c r="P31"/>
    </row>
    <row r="32" spans="1:16" s="16" customFormat="1" ht="16">
      <c r="A32" s="8">
        <v>6.5</v>
      </c>
      <c r="B32" s="8">
        <v>8.4999990000000007</v>
      </c>
      <c r="C32" s="118" t="s">
        <v>594</v>
      </c>
      <c r="D32" s="269">
        <v>6.0000000000000001E-3</v>
      </c>
      <c r="F32"/>
      <c r="G32"/>
      <c r="H32"/>
      <c r="I32"/>
      <c r="M32"/>
      <c r="N32"/>
      <c r="O32"/>
      <c r="P32"/>
    </row>
    <row r="33" spans="1:16" s="16" customFormat="1" ht="16">
      <c r="A33" s="161">
        <v>8.5</v>
      </c>
      <c r="B33" s="8">
        <v>100000</v>
      </c>
      <c r="C33" s="118" t="s">
        <v>595</v>
      </c>
      <c r="D33" s="269">
        <v>4.4999999999999997E-3</v>
      </c>
      <c r="F33"/>
      <c r="G33"/>
      <c r="H33"/>
      <c r="I33"/>
      <c r="M33"/>
      <c r="N33"/>
      <c r="O33"/>
      <c r="P33"/>
    </row>
    <row r="34" spans="1:16" s="16" customFormat="1">
      <c r="M34"/>
      <c r="N34"/>
      <c r="O34"/>
      <c r="P34"/>
    </row>
    <row r="35" spans="1:16" s="16" customFormat="1">
      <c r="A35" s="3" t="s">
        <v>343</v>
      </c>
      <c r="M35"/>
      <c r="N35"/>
      <c r="O35"/>
      <c r="P35"/>
    </row>
    <row r="36" spans="1:16" s="16" customFormat="1">
      <c r="A36" s="17" t="s">
        <v>372</v>
      </c>
      <c r="B36" s="162"/>
      <c r="C36" s="8"/>
      <c r="D36" s="8"/>
      <c r="M36"/>
      <c r="N36"/>
      <c r="O36"/>
      <c r="P36"/>
    </row>
    <row r="37" spans="1:16" s="16" customFormat="1">
      <c r="A37" s="8" t="s">
        <v>49</v>
      </c>
      <c r="B37" s="8" t="s">
        <v>161</v>
      </c>
      <c r="C37" s="8" t="s">
        <v>211</v>
      </c>
      <c r="D37" s="8" t="s">
        <v>212</v>
      </c>
      <c r="M37"/>
      <c r="N37"/>
      <c r="O37"/>
      <c r="P37"/>
    </row>
    <row r="38" spans="1:16" s="16" customFormat="1" ht="16">
      <c r="A38" s="8">
        <v>-100000</v>
      </c>
      <c r="B38" s="8">
        <v>0.49999900000000003</v>
      </c>
      <c r="C38" s="118" t="s">
        <v>581</v>
      </c>
      <c r="D38" s="269">
        <v>0.19</v>
      </c>
      <c r="G38" s="109" t="s">
        <v>211</v>
      </c>
      <c r="H38" s="109" t="s">
        <v>212</v>
      </c>
      <c r="K38"/>
      <c r="L38"/>
      <c r="M38"/>
      <c r="N38"/>
      <c r="O38"/>
      <c r="P38"/>
    </row>
    <row r="39" spans="1:16" s="16" customFormat="1" ht="16">
      <c r="A39" s="8">
        <v>0.5</v>
      </c>
      <c r="B39" s="8">
        <v>0.79999900000000002</v>
      </c>
      <c r="C39" s="118" t="s">
        <v>584</v>
      </c>
      <c r="D39" s="269">
        <v>0.155</v>
      </c>
      <c r="G39" s="118" t="s">
        <v>593</v>
      </c>
      <c r="H39" s="150">
        <v>7.7000000000000002E-3</v>
      </c>
      <c r="K39"/>
      <c r="L39"/>
      <c r="M39"/>
      <c r="N39"/>
      <c r="O39"/>
      <c r="P39"/>
    </row>
    <row r="40" spans="1:16" s="16" customFormat="1" ht="16">
      <c r="A40" s="8">
        <v>0.8</v>
      </c>
      <c r="B40" s="8">
        <v>1.2499990000000001</v>
      </c>
      <c r="C40" s="118" t="s">
        <v>583</v>
      </c>
      <c r="D40" s="269">
        <v>0.10100000000000001</v>
      </c>
      <c r="G40" s="118" t="s">
        <v>592</v>
      </c>
      <c r="H40" s="150">
        <v>8.5000000000000006E-3</v>
      </c>
      <c r="K40"/>
      <c r="L40"/>
      <c r="M40"/>
      <c r="N40"/>
      <c r="O40"/>
      <c r="P40"/>
    </row>
    <row r="41" spans="1:16" s="16" customFormat="1" ht="16">
      <c r="A41" s="8">
        <v>1.25</v>
      </c>
      <c r="B41" s="8">
        <v>1.4999990000000001</v>
      </c>
      <c r="C41" s="118" t="s">
        <v>582</v>
      </c>
      <c r="D41" s="269">
        <v>7.2800000000000004E-2</v>
      </c>
      <c r="G41" s="118" t="s">
        <v>591</v>
      </c>
      <c r="H41" s="150">
        <v>9.4999999999999998E-3</v>
      </c>
      <c r="K41"/>
      <c r="L41"/>
      <c r="M41"/>
      <c r="N41"/>
      <c r="O41"/>
      <c r="P41"/>
    </row>
    <row r="42" spans="1:16" s="16" customFormat="1" ht="16">
      <c r="A42" s="8">
        <v>1.5</v>
      </c>
      <c r="B42" s="8">
        <v>1.9999990000000001</v>
      </c>
      <c r="C42" s="118" t="s">
        <v>585</v>
      </c>
      <c r="D42" s="269">
        <v>4.4200000000000003E-2</v>
      </c>
      <c r="G42" s="118" t="s">
        <v>594</v>
      </c>
      <c r="H42" s="150">
        <v>6.0000000000000001E-3</v>
      </c>
      <c r="K42"/>
      <c r="L42"/>
      <c r="M42"/>
      <c r="N42"/>
      <c r="O42"/>
      <c r="P42"/>
    </row>
    <row r="43" spans="1:16" s="16" customFormat="1" ht="16">
      <c r="A43" s="8">
        <v>2</v>
      </c>
      <c r="B43" s="8">
        <v>2.4999989999999999</v>
      </c>
      <c r="C43" s="118" t="s">
        <v>586</v>
      </c>
      <c r="D43" s="269">
        <v>0.03</v>
      </c>
      <c r="G43" s="118" t="s">
        <v>595</v>
      </c>
      <c r="H43" s="150">
        <v>4.4999999999999997E-3</v>
      </c>
      <c r="K43"/>
      <c r="L43"/>
      <c r="M43"/>
      <c r="N43"/>
      <c r="O43"/>
      <c r="P43"/>
    </row>
    <row r="44" spans="1:16" s="16" customFormat="1" ht="16">
      <c r="A44" s="8">
        <v>2.5</v>
      </c>
      <c r="B44" s="8">
        <v>2.9999989999999999</v>
      </c>
      <c r="C44" s="118" t="s">
        <v>587</v>
      </c>
      <c r="D44" s="269">
        <v>2.6100000000000002E-2</v>
      </c>
      <c r="G44" s="118" t="s">
        <v>587</v>
      </c>
      <c r="H44" s="150">
        <v>2.6100000000000002E-2</v>
      </c>
      <c r="K44"/>
      <c r="L44"/>
      <c r="M44"/>
      <c r="N44"/>
      <c r="O44"/>
      <c r="P44"/>
    </row>
    <row r="45" spans="1:16" s="16" customFormat="1" ht="16">
      <c r="A45" s="8">
        <v>3</v>
      </c>
      <c r="B45" s="8">
        <v>3.4999989999999999</v>
      </c>
      <c r="C45" s="118" t="s">
        <v>588</v>
      </c>
      <c r="D45" s="269">
        <v>1.83E-2</v>
      </c>
      <c r="G45" s="118" t="s">
        <v>586</v>
      </c>
      <c r="H45" s="150">
        <v>0.03</v>
      </c>
      <c r="K45"/>
      <c r="L45"/>
      <c r="M45"/>
      <c r="N45"/>
      <c r="O45"/>
      <c r="P45"/>
    </row>
    <row r="46" spans="1:16" s="16" customFormat="1" ht="16">
      <c r="A46" s="8">
        <v>3.5</v>
      </c>
      <c r="B46" s="8">
        <v>3.9999999000000002</v>
      </c>
      <c r="C46" s="118" t="s">
        <v>589</v>
      </c>
      <c r="D46" s="269">
        <v>1.55E-2</v>
      </c>
      <c r="G46" s="118" t="s">
        <v>585</v>
      </c>
      <c r="H46" s="150">
        <v>4.4200000000000003E-2</v>
      </c>
      <c r="K46"/>
      <c r="L46"/>
      <c r="M46"/>
      <c r="N46"/>
      <c r="O46"/>
      <c r="P46"/>
    </row>
    <row r="47" spans="1:16" ht="16">
      <c r="A47" s="8">
        <v>4</v>
      </c>
      <c r="B47" s="8">
        <v>4.4999989999999999</v>
      </c>
      <c r="C47" s="118" t="s">
        <v>590</v>
      </c>
      <c r="D47" s="269">
        <v>1.2E-2</v>
      </c>
      <c r="E47" s="16"/>
      <c r="F47" s="16"/>
      <c r="G47" s="118" t="s">
        <v>589</v>
      </c>
      <c r="H47" s="150">
        <v>1.55E-2</v>
      </c>
      <c r="I47" s="16"/>
      <c r="J47" s="16"/>
    </row>
    <row r="48" spans="1:16" ht="16">
      <c r="A48" s="8">
        <v>4.5</v>
      </c>
      <c r="B48" s="8">
        <v>5.9999989999999999</v>
      </c>
      <c r="C48" s="118" t="s">
        <v>591</v>
      </c>
      <c r="D48" s="269">
        <v>9.4999999999999998E-3</v>
      </c>
      <c r="E48" s="16"/>
      <c r="F48" s="16"/>
      <c r="G48" s="118" t="s">
        <v>588</v>
      </c>
      <c r="H48" s="150">
        <v>1.83E-2</v>
      </c>
      <c r="I48" s="16"/>
      <c r="J48" s="16"/>
    </row>
    <row r="49" spans="1:10" ht="16">
      <c r="A49" s="8">
        <v>6</v>
      </c>
      <c r="B49" s="8">
        <v>7.4999989999999999</v>
      </c>
      <c r="C49" s="118" t="s">
        <v>592</v>
      </c>
      <c r="D49" s="269">
        <v>8.5000000000000006E-3</v>
      </c>
      <c r="E49" s="16"/>
      <c r="F49" s="16"/>
      <c r="G49" s="118" t="s">
        <v>590</v>
      </c>
      <c r="H49" s="150">
        <v>1.2E-2</v>
      </c>
      <c r="I49" s="16"/>
      <c r="J49" s="16"/>
    </row>
    <row r="50" spans="1:10" ht="16">
      <c r="A50" s="8">
        <v>7.5</v>
      </c>
      <c r="B50" s="8">
        <v>9.4999990000000007</v>
      </c>
      <c r="C50" s="118" t="s">
        <v>593</v>
      </c>
      <c r="D50" s="269">
        <v>7.7000000000000002E-3</v>
      </c>
      <c r="E50" s="16"/>
      <c r="F50" s="16"/>
      <c r="G50" s="118" t="s">
        <v>582</v>
      </c>
      <c r="H50" s="150">
        <v>0.155</v>
      </c>
      <c r="I50" s="16"/>
      <c r="J50" s="16"/>
    </row>
    <row r="51" spans="1:10" ht="16">
      <c r="A51" s="8">
        <v>9.5</v>
      </c>
      <c r="B51" s="8">
        <v>12.499999000000001</v>
      </c>
      <c r="C51" s="118" t="s">
        <v>594</v>
      </c>
      <c r="D51" s="269">
        <v>6.0000000000000001E-3</v>
      </c>
      <c r="F51" s="16"/>
      <c r="G51" s="118" t="s">
        <v>583</v>
      </c>
      <c r="H51" s="150">
        <v>0.10100000000000001</v>
      </c>
      <c r="I51" s="16"/>
      <c r="J51" s="16"/>
    </row>
    <row r="52" spans="1:10" ht="16">
      <c r="A52" s="8">
        <v>12.5</v>
      </c>
      <c r="B52" s="8">
        <v>100000</v>
      </c>
      <c r="C52" s="118" t="s">
        <v>595</v>
      </c>
      <c r="D52" s="269">
        <v>4.4999999999999997E-3</v>
      </c>
      <c r="G52" s="118" t="s">
        <v>584</v>
      </c>
      <c r="H52" s="150">
        <v>7.2800000000000004E-2</v>
      </c>
    </row>
    <row r="53" spans="1:10">
      <c r="G53" s="118" t="s">
        <v>581</v>
      </c>
      <c r="H53" s="150">
        <v>0.19</v>
      </c>
    </row>
  </sheetData>
  <phoneticPr fontId="21"/>
  <pageMargins left="0.75" right="0.75" top="1" bottom="1" header="0.5" footer="0.5"/>
  <pageSetup orientation="portrait" horizontalDpi="4294967292" verticalDpi="4294967292"/>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97"/>
  <sheetViews>
    <sheetView workbookViewId="0">
      <selection sqref="A1:AA1048576"/>
    </sheetView>
  </sheetViews>
  <sheetFormatPr baseColWidth="10" defaultRowHeight="14"/>
  <cols>
    <col min="1" max="1" width="17.42578125" bestFit="1" customWidth="1"/>
    <col min="2" max="2" width="9.85546875" bestFit="1" customWidth="1"/>
    <col min="3" max="3" width="8.140625" bestFit="1" customWidth="1"/>
    <col min="4" max="4" width="10.140625" bestFit="1" customWidth="1"/>
    <col min="5" max="5" width="10.7109375" customWidth="1"/>
    <col min="6" max="6" width="9" bestFit="1" customWidth="1"/>
    <col min="7" max="7" width="9.85546875" bestFit="1" customWidth="1"/>
    <col min="8" max="8" width="19.28515625" bestFit="1" customWidth="1"/>
    <col min="9" max="23" width="9.28515625" customWidth="1"/>
  </cols>
  <sheetData>
    <row r="1" spans="1:27" s="228" customFormat="1" ht="84">
      <c r="A1" s="224" t="s">
        <v>169</v>
      </c>
      <c r="B1" s="122" t="s">
        <v>69</v>
      </c>
      <c r="C1" s="225" t="s">
        <v>444</v>
      </c>
      <c r="D1" s="225" t="s">
        <v>741</v>
      </c>
      <c r="E1" s="225" t="s">
        <v>445</v>
      </c>
      <c r="F1" s="122" t="s">
        <v>446</v>
      </c>
      <c r="G1" s="122" t="s">
        <v>342</v>
      </c>
      <c r="H1" s="122" t="s">
        <v>447</v>
      </c>
      <c r="I1" s="122" t="s">
        <v>448</v>
      </c>
      <c r="J1" s="122" t="s">
        <v>449</v>
      </c>
      <c r="K1" s="122" t="s">
        <v>450</v>
      </c>
      <c r="L1" s="122" t="s">
        <v>122</v>
      </c>
      <c r="M1" s="122" t="s">
        <v>451</v>
      </c>
      <c r="N1" s="226" t="s">
        <v>131</v>
      </c>
      <c r="O1" s="122" t="s">
        <v>331</v>
      </c>
      <c r="P1" s="122" t="s">
        <v>452</v>
      </c>
      <c r="Q1" s="122" t="s">
        <v>453</v>
      </c>
      <c r="R1" s="122" t="s">
        <v>454</v>
      </c>
      <c r="S1" s="122" t="s">
        <v>455</v>
      </c>
      <c r="T1" s="122" t="s">
        <v>623</v>
      </c>
      <c r="U1" s="122" t="s">
        <v>624</v>
      </c>
      <c r="V1" s="122" t="s">
        <v>625</v>
      </c>
      <c r="W1" s="122" t="s">
        <v>27</v>
      </c>
      <c r="X1" s="224" t="s">
        <v>626</v>
      </c>
      <c r="Y1" s="224" t="s">
        <v>627</v>
      </c>
      <c r="Z1" s="224" t="s">
        <v>628</v>
      </c>
      <c r="AA1" s="122" t="s">
        <v>768</v>
      </c>
    </row>
    <row r="2" spans="1:27">
      <c r="A2" s="170" t="s">
        <v>170</v>
      </c>
      <c r="B2" s="171">
        <v>54</v>
      </c>
      <c r="C2" s="172">
        <v>-1.6176666669999999E-2</v>
      </c>
      <c r="D2" s="172">
        <v>0.10900602210262404</v>
      </c>
      <c r="E2" s="172">
        <v>0.34913076808783805</v>
      </c>
      <c r="F2" s="172">
        <v>0.29273674538791877</v>
      </c>
      <c r="G2" s="173">
        <v>1.1961570326525681</v>
      </c>
      <c r="H2" s="173">
        <v>1.3372940529999999</v>
      </c>
      <c r="I2" s="172">
        <v>0.10370483249489999</v>
      </c>
      <c r="J2" s="172">
        <v>0.67185666700000002</v>
      </c>
      <c r="K2" s="172">
        <v>6.4100000000000004E-2</v>
      </c>
      <c r="L2" s="172">
        <v>0.20758669213753542</v>
      </c>
      <c r="M2" s="172">
        <v>9.2156819583118513E-2</v>
      </c>
      <c r="N2" s="173">
        <v>4.1947708837323034</v>
      </c>
      <c r="O2" s="173">
        <v>2.7530320630511635</v>
      </c>
      <c r="P2" s="173">
        <v>15.557572543531982</v>
      </c>
      <c r="Q2" s="173">
        <v>24.270404651523627</v>
      </c>
      <c r="R2" s="173">
        <v>6.9766570013205431</v>
      </c>
      <c r="S2" s="173">
        <v>291.27017899999998</v>
      </c>
      <c r="T2" s="172">
        <v>3.2307738027417987E-2</v>
      </c>
      <c r="U2" s="172">
        <v>1.8063081232134088E-2</v>
      </c>
      <c r="V2" s="172">
        <v>7.0344211638214407E-3</v>
      </c>
      <c r="W2" s="172">
        <v>0.16148108503414008</v>
      </c>
      <c r="X2" s="172">
        <v>0.11852693534291847</v>
      </c>
      <c r="Y2" s="172">
        <v>0.83363167176376884</v>
      </c>
      <c r="Z2" s="172">
        <v>0.83363167176376884</v>
      </c>
      <c r="AA2" s="174">
        <v>0.11395905036151344</v>
      </c>
    </row>
    <row r="3" spans="1:27">
      <c r="A3" s="170" t="s">
        <v>351</v>
      </c>
      <c r="B3" s="171">
        <v>67</v>
      </c>
      <c r="C3" s="172">
        <v>8.2055365850000006E-2</v>
      </c>
      <c r="D3" s="172">
        <v>7.5864631373680672E-2</v>
      </c>
      <c r="E3" s="172">
        <v>0.14025351122178831</v>
      </c>
      <c r="F3" s="172">
        <v>0.16478876335049891</v>
      </c>
      <c r="G3" s="173">
        <v>0.80089257897562605</v>
      </c>
      <c r="H3" s="173">
        <v>0.90155312799999998</v>
      </c>
      <c r="I3" s="172">
        <v>8.4837250442399995E-2</v>
      </c>
      <c r="J3" s="172">
        <v>0.42742400899999999</v>
      </c>
      <c r="K3" s="172">
        <v>5.5300000000000002E-2</v>
      </c>
      <c r="L3" s="172">
        <v>0.18562455188693347</v>
      </c>
      <c r="M3" s="172">
        <v>7.6788152135220514E-2</v>
      </c>
      <c r="N3" s="173">
        <v>2.6209631630366763</v>
      </c>
      <c r="O3" s="173">
        <v>2.6041798731605792</v>
      </c>
      <c r="P3" s="173">
        <v>17.237956269633543</v>
      </c>
      <c r="Q3" s="173">
        <v>28.387133116704323</v>
      </c>
      <c r="R3" s="173">
        <v>6.8255770215681411</v>
      </c>
      <c r="S3" s="173">
        <v>87.417778889999994</v>
      </c>
      <c r="T3" s="172">
        <v>0.38696212226448651</v>
      </c>
      <c r="U3" s="172">
        <v>2.7915932425310697E-2</v>
      </c>
      <c r="V3" s="172">
        <v>7.667472862174317E-3</v>
      </c>
      <c r="W3" s="172">
        <v>0.65008606040122241</v>
      </c>
      <c r="X3" s="172">
        <v>0.11941015141390651</v>
      </c>
      <c r="Y3" s="172">
        <v>0.51504926978756937</v>
      </c>
      <c r="Z3" s="172">
        <v>0.51504926978756937</v>
      </c>
      <c r="AA3" s="174">
        <v>7.8696975747724884E-2</v>
      </c>
    </row>
    <row r="4" spans="1:27">
      <c r="A4" s="170" t="s">
        <v>258</v>
      </c>
      <c r="B4" s="171">
        <v>24</v>
      </c>
      <c r="C4" s="172">
        <v>2.6369230770000002E-2</v>
      </c>
      <c r="D4" s="172">
        <v>5.5360161881576116E-2</v>
      </c>
      <c r="E4" s="172">
        <v>8.476398601412484E-2</v>
      </c>
      <c r="F4" s="172">
        <v>0.22111636379000343</v>
      </c>
      <c r="G4" s="173">
        <v>0.76485375123244459</v>
      </c>
      <c r="H4" s="173">
        <v>1.2360067379999999</v>
      </c>
      <c r="I4" s="172">
        <v>9.9319091755399991E-2</v>
      </c>
      <c r="J4" s="172">
        <v>0.65271638600000004</v>
      </c>
      <c r="K4" s="172">
        <v>6.4100000000000004E-2</v>
      </c>
      <c r="L4" s="172">
        <v>0.5165022574610012</v>
      </c>
      <c r="M4" s="172">
        <v>7.2851402682197225E-2</v>
      </c>
      <c r="N4" s="173">
        <v>1.7451651543788214</v>
      </c>
      <c r="O4" s="173">
        <v>1.0222121375517874</v>
      </c>
      <c r="P4" s="173">
        <v>7.465027434427947</v>
      </c>
      <c r="Q4" s="173">
        <v>17.630170815052836</v>
      </c>
      <c r="R4" s="173">
        <v>2.9413236090217381</v>
      </c>
      <c r="S4" s="173">
        <v>17.981924150000001</v>
      </c>
      <c r="T4" s="172">
        <v>1.0803799258014462E-2</v>
      </c>
      <c r="U4" s="172">
        <v>8.7934044126825345E-2</v>
      </c>
      <c r="V4" s="172">
        <v>4.3650452468515705E-2</v>
      </c>
      <c r="W4" s="172">
        <v>0.99545339105349284</v>
      </c>
      <c r="X4" s="172">
        <v>0.13271934387774287</v>
      </c>
      <c r="Y4" s="172">
        <v>0.14499243721351626</v>
      </c>
      <c r="Z4" s="172">
        <v>0.14499243721351629</v>
      </c>
      <c r="AA4" s="174">
        <v>5.5046004121764421E-2</v>
      </c>
    </row>
    <row r="5" spans="1:27">
      <c r="A5" s="170" t="s">
        <v>260</v>
      </c>
      <c r="B5" s="171">
        <v>37</v>
      </c>
      <c r="C5" s="172">
        <v>6.9669200000000001E-2</v>
      </c>
      <c r="D5" s="172">
        <v>8.7262866451307625E-2</v>
      </c>
      <c r="E5" s="172">
        <v>0.15256209384404851</v>
      </c>
      <c r="F5" s="172">
        <v>0.184121853974336</v>
      </c>
      <c r="G5" s="173">
        <v>0.82670219142059709</v>
      </c>
      <c r="H5" s="173">
        <v>0.99056804600000004</v>
      </c>
      <c r="I5" s="172">
        <v>8.8691596391799993E-2</v>
      </c>
      <c r="J5" s="172">
        <v>0.50926388199999995</v>
      </c>
      <c r="K5" s="172">
        <v>5.7800000000000004E-2</v>
      </c>
      <c r="L5" s="172">
        <v>0.31454440216295959</v>
      </c>
      <c r="M5" s="172">
        <v>7.4429651061627064E-2</v>
      </c>
      <c r="N5" s="173">
        <v>1.7344817552293235</v>
      </c>
      <c r="O5" s="173">
        <v>1.4137613665587494</v>
      </c>
      <c r="P5" s="173">
        <v>9.2153762214944379</v>
      </c>
      <c r="Q5" s="173">
        <v>14.635935947303855</v>
      </c>
      <c r="R5" s="173">
        <v>3.1369627319179645</v>
      </c>
      <c r="S5" s="173">
        <v>28.05498656</v>
      </c>
      <c r="T5" s="172">
        <v>0.24009395180604159</v>
      </c>
      <c r="U5" s="172">
        <v>2.0011291768329789E-2</v>
      </c>
      <c r="V5" s="172">
        <v>1.3152379983751258E-3</v>
      </c>
      <c r="W5" s="172">
        <v>-0.33753473103933551</v>
      </c>
      <c r="X5" s="172">
        <v>8.4666288670658743E-2</v>
      </c>
      <c r="Y5" s="172">
        <v>0.62837258523268402</v>
      </c>
      <c r="Z5" s="172">
        <v>0.62837258523268402</v>
      </c>
      <c r="AA5" s="174">
        <v>9.6195175349290063E-2</v>
      </c>
    </row>
    <row r="6" spans="1:27">
      <c r="A6" s="170" t="s">
        <v>297</v>
      </c>
      <c r="B6" s="171">
        <v>34</v>
      </c>
      <c r="C6" s="172">
        <v>0.1089522222</v>
      </c>
      <c r="D6" s="172">
        <v>3.1316363706419312E-2</v>
      </c>
      <c r="E6" s="172">
        <v>3.1538761079819101E-2</v>
      </c>
      <c r="F6" s="172">
        <v>6.2980714237618959E-2</v>
      </c>
      <c r="G6" s="173">
        <v>1.4333544858587057</v>
      </c>
      <c r="H6" s="173">
        <v>1.6154126449999999</v>
      </c>
      <c r="I6" s="172">
        <v>0.11574736752849998</v>
      </c>
      <c r="J6" s="172">
        <v>0.77591112299999998</v>
      </c>
      <c r="K6" s="172">
        <v>6.4100000000000004E-2</v>
      </c>
      <c r="L6" s="172">
        <v>0.1829797055595927</v>
      </c>
      <c r="M6" s="172">
        <v>0.10336469764361451</v>
      </c>
      <c r="N6" s="173">
        <v>1.1507770660211856</v>
      </c>
      <c r="O6" s="173">
        <v>3.4699548342384703</v>
      </c>
      <c r="P6" s="173">
        <v>37.443235392929616</v>
      </c>
      <c r="Q6" s="173">
        <v>106.52227906952159</v>
      </c>
      <c r="R6" s="173">
        <v>6.8543516439962451</v>
      </c>
      <c r="S6" s="173">
        <v>27.282767799999998</v>
      </c>
      <c r="T6" s="172">
        <v>-1.9121501977945734E-2</v>
      </c>
      <c r="U6" s="172">
        <v>6.8059464069069875E-2</v>
      </c>
      <c r="V6" s="172">
        <v>2.9960462555513153E-2</v>
      </c>
      <c r="W6" s="172">
        <v>0.31341818736278149</v>
      </c>
      <c r="X6" s="172">
        <v>9.2658993478065138E-2</v>
      </c>
      <c r="Y6" s="172">
        <v>6.9260275012097972E-2</v>
      </c>
      <c r="Z6" s="172">
        <v>6.9260275012097972E-2</v>
      </c>
      <c r="AA6" s="174">
        <v>3.3115492706239175E-2</v>
      </c>
    </row>
    <row r="7" spans="1:27">
      <c r="A7" s="170" t="s">
        <v>803</v>
      </c>
      <c r="B7" s="171">
        <v>33</v>
      </c>
      <c r="C7" s="172">
        <v>6.4891666670000001E-2</v>
      </c>
      <c r="D7" s="172">
        <v>5.0968432154748743E-2</v>
      </c>
      <c r="E7" s="172">
        <v>8.6596749933389769E-2</v>
      </c>
      <c r="F7" s="172">
        <v>0.21438279380512118</v>
      </c>
      <c r="G7" s="173">
        <v>0.9866442740406467</v>
      </c>
      <c r="H7" s="173">
        <v>1.2251237829999999</v>
      </c>
      <c r="I7" s="172">
        <v>9.8847859803899984E-2</v>
      </c>
      <c r="J7" s="172">
        <v>0.52623748699999995</v>
      </c>
      <c r="K7" s="172">
        <v>5.7800000000000004E-2</v>
      </c>
      <c r="L7" s="172">
        <v>0.32356185494134132</v>
      </c>
      <c r="M7" s="172">
        <v>8.089086934047561E-2</v>
      </c>
      <c r="N7" s="173">
        <v>2.4258768506874997</v>
      </c>
      <c r="O7" s="173">
        <v>0.74586436580485549</v>
      </c>
      <c r="P7" s="173">
        <v>6.5271706091410584</v>
      </c>
      <c r="Q7" s="173">
        <v>13.574320807558516</v>
      </c>
      <c r="R7" s="173">
        <v>1.6454719650255853</v>
      </c>
      <c r="S7" s="173">
        <v>24.802888930000002</v>
      </c>
      <c r="T7" s="172">
        <v>0.1621414135957554</v>
      </c>
      <c r="U7" s="172">
        <v>3.3703734844389113E-2</v>
      </c>
      <c r="V7" s="172">
        <v>2.9796679237983886E-2</v>
      </c>
      <c r="W7" s="172">
        <v>0.9872478385354112</v>
      </c>
      <c r="X7" s="172">
        <v>7.086849223503966E-2</v>
      </c>
      <c r="Y7" s="172">
        <v>0.32661617495316425</v>
      </c>
      <c r="Z7" s="172">
        <v>0.3266161749531642</v>
      </c>
      <c r="AA7" s="174">
        <v>5.4112154929540655E-2</v>
      </c>
    </row>
    <row r="8" spans="1:27">
      <c r="A8" s="170" t="s">
        <v>804</v>
      </c>
      <c r="B8" s="171">
        <v>15</v>
      </c>
      <c r="C8" s="172">
        <v>5.9959230769999997E-2</v>
      </c>
      <c r="D8" s="172" t="s">
        <v>285</v>
      </c>
      <c r="E8" s="172" t="s">
        <v>285</v>
      </c>
      <c r="F8" s="172">
        <v>0.18536212402520527</v>
      </c>
      <c r="G8" s="173">
        <v>0.52502035155376314</v>
      </c>
      <c r="H8" s="173">
        <v>0.87525287600000001</v>
      </c>
      <c r="I8" s="172">
        <v>8.3698449530799995E-2</v>
      </c>
      <c r="J8" s="172">
        <v>0.30469401299999999</v>
      </c>
      <c r="K8" s="172">
        <v>5.5300000000000002E-2</v>
      </c>
      <c r="L8" s="172">
        <v>0.64687718207198908</v>
      </c>
      <c r="M8" s="172">
        <v>5.6385063480957245E-2</v>
      </c>
      <c r="N8" s="173">
        <v>0</v>
      </c>
      <c r="O8" s="173" t="s">
        <v>285</v>
      </c>
      <c r="P8" s="173" t="s">
        <v>285</v>
      </c>
      <c r="Q8" s="173" t="s">
        <v>285</v>
      </c>
      <c r="R8" s="173">
        <v>1.3220447865816849</v>
      </c>
      <c r="S8" s="173">
        <v>28.041916659999998</v>
      </c>
      <c r="T8" s="172" t="s">
        <v>285</v>
      </c>
      <c r="U8" s="172" t="s">
        <v>285</v>
      </c>
      <c r="V8" s="172" t="s">
        <v>285</v>
      </c>
      <c r="W8" s="172" t="s">
        <v>285</v>
      </c>
      <c r="X8" s="172">
        <v>0.11516319967991416</v>
      </c>
      <c r="Y8" s="172">
        <v>0.31247660974759928</v>
      </c>
      <c r="Z8" s="172">
        <v>0.31247660974759928</v>
      </c>
      <c r="AA8" s="174" t="s">
        <v>285</v>
      </c>
    </row>
    <row r="9" spans="1:27">
      <c r="A9" s="170" t="s">
        <v>805</v>
      </c>
      <c r="B9" s="171">
        <v>591</v>
      </c>
      <c r="C9" s="172">
        <v>6.5430417539999994E-2</v>
      </c>
      <c r="D9" s="172" t="s">
        <v>285</v>
      </c>
      <c r="E9" s="172" t="s">
        <v>285</v>
      </c>
      <c r="F9" s="172">
        <v>0.21077505165572366</v>
      </c>
      <c r="G9" s="173">
        <v>0.47508892999890606</v>
      </c>
      <c r="H9" s="173">
        <v>0.51926094199999995</v>
      </c>
      <c r="I9" s="172">
        <v>6.8283998788600003E-2</v>
      </c>
      <c r="J9" s="172">
        <v>0.29959993400000001</v>
      </c>
      <c r="K9" s="172">
        <v>5.0799999999999998E-2</v>
      </c>
      <c r="L9" s="172">
        <v>0.37623618749552407</v>
      </c>
      <c r="M9" s="172">
        <v>5.6927686161007615E-2</v>
      </c>
      <c r="N9" s="173">
        <v>0</v>
      </c>
      <c r="O9" s="173" t="s">
        <v>285</v>
      </c>
      <c r="P9" s="173" t="s">
        <v>285</v>
      </c>
      <c r="Q9" s="173" t="s">
        <v>285</v>
      </c>
      <c r="R9" s="173">
        <v>1.1291008480787303</v>
      </c>
      <c r="S9" s="173">
        <v>18.412353769999999</v>
      </c>
      <c r="T9" s="172" t="s">
        <v>285</v>
      </c>
      <c r="U9" s="172" t="s">
        <v>285</v>
      </c>
      <c r="V9" s="172" t="s">
        <v>285</v>
      </c>
      <c r="W9" s="172" t="s">
        <v>285</v>
      </c>
      <c r="X9" s="172">
        <v>6.8001195239196802E-2</v>
      </c>
      <c r="Y9" s="172">
        <v>0.55482976979735077</v>
      </c>
      <c r="Z9" s="172">
        <v>0.55482976979735077</v>
      </c>
      <c r="AA9" s="174" t="s">
        <v>285</v>
      </c>
    </row>
    <row r="10" spans="1:27">
      <c r="A10" s="170" t="s">
        <v>289</v>
      </c>
      <c r="B10" s="171">
        <v>18</v>
      </c>
      <c r="C10" s="172">
        <v>5.0862499999999998E-2</v>
      </c>
      <c r="D10" s="172">
        <v>0.22851540835432294</v>
      </c>
      <c r="E10" s="172">
        <v>0.17863486195942435</v>
      </c>
      <c r="F10" s="172">
        <v>0.21589979309432705</v>
      </c>
      <c r="G10" s="173">
        <v>0.50620702062249601</v>
      </c>
      <c r="H10" s="173">
        <v>0.610297863</v>
      </c>
      <c r="I10" s="172">
        <v>7.2225897467900008E-2</v>
      </c>
      <c r="J10" s="172">
        <v>0.63076375600000001</v>
      </c>
      <c r="K10" s="172">
        <v>5.7800000000000004E-2</v>
      </c>
      <c r="L10" s="172">
        <v>0.23351097343727722</v>
      </c>
      <c r="M10" s="172">
        <v>6.5483058541295672E-2</v>
      </c>
      <c r="N10" s="173">
        <v>0.8510742188918321</v>
      </c>
      <c r="O10" s="173">
        <v>3.3006470733953042</v>
      </c>
      <c r="P10" s="173">
        <v>11.630381203889391</v>
      </c>
      <c r="Q10" s="173">
        <v>14.398388419724839</v>
      </c>
      <c r="R10" s="173">
        <v>2.6964073490399239</v>
      </c>
      <c r="S10" s="173">
        <v>44.431034279999999</v>
      </c>
      <c r="T10" s="172">
        <v>0.16418832033027872</v>
      </c>
      <c r="U10" s="172">
        <v>8.6525687458165565E-2</v>
      </c>
      <c r="V10" s="172">
        <v>6.208213696143839E-2</v>
      </c>
      <c r="W10" s="172">
        <v>0.35708516061311202</v>
      </c>
      <c r="X10" s="172">
        <v>9.4907136776536324E-2</v>
      </c>
      <c r="Y10" s="172">
        <v>0.55497307495348769</v>
      </c>
      <c r="Z10" s="172">
        <v>0.55497307495348769</v>
      </c>
      <c r="AA10" s="174">
        <v>0.22883891435576209</v>
      </c>
    </row>
    <row r="11" spans="1:27">
      <c r="A11" s="170" t="s">
        <v>806</v>
      </c>
      <c r="B11" s="171">
        <v>29</v>
      </c>
      <c r="C11" s="172">
        <v>0.16750833329999998</v>
      </c>
      <c r="D11" s="172">
        <v>0.20008555306144923</v>
      </c>
      <c r="E11" s="172">
        <v>0.3060959745263867</v>
      </c>
      <c r="F11" s="172">
        <v>0.19713421347462087</v>
      </c>
      <c r="G11" s="173">
        <v>0.51288796925655955</v>
      </c>
      <c r="H11" s="173">
        <v>0.56776610100000002</v>
      </c>
      <c r="I11" s="172">
        <v>7.0384272173299997E-2</v>
      </c>
      <c r="J11" s="172">
        <v>0.47670267799999999</v>
      </c>
      <c r="K11" s="172">
        <v>5.7800000000000004E-2</v>
      </c>
      <c r="L11" s="172">
        <v>0.16479514715168567</v>
      </c>
      <c r="M11" s="172">
        <v>6.5929155312362306E-2</v>
      </c>
      <c r="N11" s="173">
        <v>1.6739557556528541</v>
      </c>
      <c r="O11" s="173">
        <v>4.00109810652223</v>
      </c>
      <c r="P11" s="173">
        <v>16.763124164169358</v>
      </c>
      <c r="Q11" s="173">
        <v>19.866727862177971</v>
      </c>
      <c r="R11" s="173">
        <v>7.4839161134651366</v>
      </c>
      <c r="S11" s="173">
        <v>25.666980370000001</v>
      </c>
      <c r="T11" s="172">
        <v>-0.10319965162205474</v>
      </c>
      <c r="U11" s="172">
        <v>5.3396373552860144E-2</v>
      </c>
      <c r="V11" s="172">
        <v>2.82972262332606E-2</v>
      </c>
      <c r="W11" s="172">
        <v>0.26994041473158514</v>
      </c>
      <c r="X11" s="172">
        <v>0.30605829873016316</v>
      </c>
      <c r="Y11" s="172">
        <v>0.68694703605646201</v>
      </c>
      <c r="Z11" s="172">
        <v>0.68694703605646201</v>
      </c>
      <c r="AA11" s="174">
        <v>0.20137095743625985</v>
      </c>
    </row>
    <row r="12" spans="1:27">
      <c r="A12" s="170" t="s">
        <v>807</v>
      </c>
      <c r="B12" s="171">
        <v>22</v>
      </c>
      <c r="C12" s="172">
        <v>1.8948125E-2</v>
      </c>
      <c r="D12" s="172">
        <v>0.12511923374824721</v>
      </c>
      <c r="E12" s="172">
        <v>0.12676646580261572</v>
      </c>
      <c r="F12" s="172">
        <v>0.26794958900560473</v>
      </c>
      <c r="G12" s="173">
        <v>0.47767444200778458</v>
      </c>
      <c r="H12" s="173">
        <v>0.91752363299999995</v>
      </c>
      <c r="I12" s="172">
        <v>8.5528773308899991E-2</v>
      </c>
      <c r="J12" s="172">
        <v>0.52595168000000003</v>
      </c>
      <c r="K12" s="172">
        <v>5.7800000000000004E-2</v>
      </c>
      <c r="L12" s="172">
        <v>0.59929947491538105</v>
      </c>
      <c r="M12" s="172">
        <v>6.0251056612301339E-2</v>
      </c>
      <c r="N12" s="173">
        <v>1.1351345250311251</v>
      </c>
      <c r="O12" s="173">
        <v>1.2871011667112966</v>
      </c>
      <c r="P12" s="173">
        <v>7.2056457877925721</v>
      </c>
      <c r="Q12" s="173">
        <v>10.263125382797796</v>
      </c>
      <c r="R12" s="173">
        <v>1.0157798794125992</v>
      </c>
      <c r="S12" s="173">
        <v>45.023519589999999</v>
      </c>
      <c r="T12" s="172">
        <v>0.10428461190725047</v>
      </c>
      <c r="U12" s="172">
        <v>1.8909044316025581E-2</v>
      </c>
      <c r="V12" s="172">
        <v>-2.3811837570292042E-2</v>
      </c>
      <c r="W12" s="172">
        <v>2.0277458422227252</v>
      </c>
      <c r="X12" s="172">
        <v>-9.1235946395683276E-2</v>
      </c>
      <c r="Y12" s="172">
        <v>6.2531243700000008E-3</v>
      </c>
      <c r="Z12" s="172">
        <v>6.2531243700000294E-3</v>
      </c>
      <c r="AA12" s="174">
        <v>0.12512540860809501</v>
      </c>
    </row>
    <row r="13" spans="1:27">
      <c r="A13" s="170" t="s">
        <v>808</v>
      </c>
      <c r="B13" s="171">
        <v>30</v>
      </c>
      <c r="C13" s="172">
        <v>0.22187095240000002</v>
      </c>
      <c r="D13" s="172" t="s">
        <v>285</v>
      </c>
      <c r="E13" s="172" t="s">
        <v>285</v>
      </c>
      <c r="F13" s="172">
        <v>0.21118585170104759</v>
      </c>
      <c r="G13" s="173">
        <v>0.47017758016751704</v>
      </c>
      <c r="H13" s="173">
        <v>0.95226740499999996</v>
      </c>
      <c r="I13" s="172">
        <v>8.7033178636499994E-2</v>
      </c>
      <c r="J13" s="172">
        <v>0.40490891200000001</v>
      </c>
      <c r="K13" s="172">
        <v>5.5300000000000002E-2</v>
      </c>
      <c r="L13" s="172">
        <v>0.65106514891653355</v>
      </c>
      <c r="M13" s="172">
        <v>5.7371836278161087E-2</v>
      </c>
      <c r="N13" s="173">
        <v>0</v>
      </c>
      <c r="O13" s="173" t="s">
        <v>285</v>
      </c>
      <c r="P13" s="173" t="s">
        <v>285</v>
      </c>
      <c r="Q13" s="173" t="s">
        <v>285</v>
      </c>
      <c r="R13" s="173">
        <v>2.107553367614496</v>
      </c>
      <c r="S13" s="173">
        <v>29.867931989999999</v>
      </c>
      <c r="T13" s="172" t="s">
        <v>285</v>
      </c>
      <c r="U13" s="172" t="s">
        <v>285</v>
      </c>
      <c r="V13" s="172" t="s">
        <v>285</v>
      </c>
      <c r="W13" s="172" t="s">
        <v>285</v>
      </c>
      <c r="X13" s="172">
        <v>0.13110868743629389</v>
      </c>
      <c r="Y13" s="172">
        <v>0.37159759870507159</v>
      </c>
      <c r="Z13" s="172">
        <v>0.37159759870507159</v>
      </c>
      <c r="AA13" s="174" t="s">
        <v>285</v>
      </c>
    </row>
    <row r="14" spans="1:27">
      <c r="A14" s="170" t="s">
        <v>279</v>
      </c>
      <c r="B14" s="171">
        <v>39</v>
      </c>
      <c r="C14" s="172">
        <v>4.0569354840000002E-2</v>
      </c>
      <c r="D14" s="172">
        <v>0.13339807849794327</v>
      </c>
      <c r="E14" s="172">
        <v>0.26836667409798826</v>
      </c>
      <c r="F14" s="172">
        <v>0.23721140979617469</v>
      </c>
      <c r="G14" s="173">
        <v>1.2345815852317845</v>
      </c>
      <c r="H14" s="173">
        <v>1.3598827170000001</v>
      </c>
      <c r="I14" s="172">
        <v>0.10468292164609999</v>
      </c>
      <c r="J14" s="172">
        <v>0.34747492800000002</v>
      </c>
      <c r="K14" s="172">
        <v>5.5300000000000002E-2</v>
      </c>
      <c r="L14" s="172">
        <v>0.15947307956364901</v>
      </c>
      <c r="M14" s="172">
        <v>9.4602959728378594E-2</v>
      </c>
      <c r="N14" s="173">
        <v>2.6563018278622499</v>
      </c>
      <c r="O14" s="173">
        <v>2.3330552823981074</v>
      </c>
      <c r="P14" s="173">
        <v>13.144108813471654</v>
      </c>
      <c r="Q14" s="173">
        <v>17.280609404535451</v>
      </c>
      <c r="R14" s="173">
        <v>4.2673351808781455</v>
      </c>
      <c r="S14" s="173">
        <v>22.983757969999999</v>
      </c>
      <c r="T14" s="172">
        <v>0.17589732311416995</v>
      </c>
      <c r="U14" s="172">
        <v>3.3813890835620239E-2</v>
      </c>
      <c r="V14" s="172">
        <v>0.14426831998455231</v>
      </c>
      <c r="W14" s="172">
        <v>1.3576339984632542</v>
      </c>
      <c r="X14" s="172">
        <v>0.27358512319543299</v>
      </c>
      <c r="Y14" s="172">
        <v>0.16632375734397675</v>
      </c>
      <c r="Z14" s="172">
        <v>0.16632375734397675</v>
      </c>
      <c r="AA14" s="174">
        <v>0.13659535563209246</v>
      </c>
    </row>
    <row r="15" spans="1:27">
      <c r="A15" s="170" t="s">
        <v>809</v>
      </c>
      <c r="B15" s="171">
        <v>152</v>
      </c>
      <c r="C15" s="172">
        <v>5.2418068179999999E-2</v>
      </c>
      <c r="D15" s="172">
        <v>0.12106710497438609</v>
      </c>
      <c r="E15" s="172">
        <v>0.26832206671354231</v>
      </c>
      <c r="F15" s="172">
        <v>0.23839859256142706</v>
      </c>
      <c r="G15" s="173">
        <v>0.92174210679313051</v>
      </c>
      <c r="H15" s="173">
        <v>1.0038499599999999</v>
      </c>
      <c r="I15" s="172">
        <v>8.9266703267999986E-2</v>
      </c>
      <c r="J15" s="172">
        <v>0.453932055</v>
      </c>
      <c r="K15" s="172">
        <v>5.7800000000000004E-2</v>
      </c>
      <c r="L15" s="172">
        <v>0.14369515909210709</v>
      </c>
      <c r="M15" s="172">
        <v>8.2668695286919655E-2</v>
      </c>
      <c r="N15" s="173">
        <v>2.6612038226413137</v>
      </c>
      <c r="O15" s="173">
        <v>2.9329096063095581</v>
      </c>
      <c r="P15" s="173">
        <v>16.754385344425835</v>
      </c>
      <c r="Q15" s="173">
        <v>23.770574543055467</v>
      </c>
      <c r="R15" s="173">
        <v>5.9406152911726871</v>
      </c>
      <c r="S15" s="173">
        <v>49.988354399999999</v>
      </c>
      <c r="T15" s="172">
        <v>0.14466690614189071</v>
      </c>
      <c r="U15" s="172">
        <v>2.8368193891951846E-2</v>
      </c>
      <c r="V15" s="172">
        <v>-1.1791142392289103E-3</v>
      </c>
      <c r="W15" s="172">
        <v>4.6745076350120138E-2</v>
      </c>
      <c r="X15" s="172">
        <v>0.18265620132352731</v>
      </c>
      <c r="Y15" s="172">
        <v>0.41282664900021215</v>
      </c>
      <c r="Z15" s="172">
        <v>0.41282664900021215</v>
      </c>
      <c r="AA15" s="174">
        <v>0.12434265853816712</v>
      </c>
    </row>
    <row r="16" spans="1:27">
      <c r="A16" s="170" t="s">
        <v>387</v>
      </c>
      <c r="B16" s="171">
        <v>9</v>
      </c>
      <c r="C16" s="172">
        <v>0.24145</v>
      </c>
      <c r="D16" s="172">
        <v>0.18459797782132617</v>
      </c>
      <c r="E16" s="172">
        <v>0.13752245099771512</v>
      </c>
      <c r="F16" s="172">
        <v>0.24595154201024375</v>
      </c>
      <c r="G16" s="173">
        <v>0.5042060471678157</v>
      </c>
      <c r="H16" s="173">
        <v>0.960510745</v>
      </c>
      <c r="I16" s="172">
        <v>8.739011525849999E-2</v>
      </c>
      <c r="J16" s="172">
        <v>0.49732784200000002</v>
      </c>
      <c r="K16" s="172">
        <v>5.7800000000000004E-2</v>
      </c>
      <c r="L16" s="172">
        <v>0.55821493937236766</v>
      </c>
      <c r="M16" s="172">
        <v>6.2806264989524324E-2</v>
      </c>
      <c r="N16" s="173">
        <v>0.85037679570699942</v>
      </c>
      <c r="O16" s="173">
        <v>2.2740102173874628</v>
      </c>
      <c r="P16" s="173">
        <v>7.0399595375606037</v>
      </c>
      <c r="Q16" s="173">
        <v>12.515125907348009</v>
      </c>
      <c r="R16" s="173">
        <v>1.5110124996664887</v>
      </c>
      <c r="S16" s="173">
        <v>10.74120025</v>
      </c>
      <c r="T16" s="172">
        <v>1.4661260425027692E-2</v>
      </c>
      <c r="U16" s="172">
        <v>0.1274566885266333</v>
      </c>
      <c r="V16" s="172">
        <v>-2.1867097231432308E-3</v>
      </c>
      <c r="W16" s="172">
        <v>4.8180050259822575E-2</v>
      </c>
      <c r="X16" s="172">
        <v>0.15502628901756088</v>
      </c>
      <c r="Y16" s="172">
        <v>0.32245541299708064</v>
      </c>
      <c r="Z16" s="172">
        <v>0.32245541299708069</v>
      </c>
      <c r="AA16" s="174">
        <v>0.18156021868957392</v>
      </c>
    </row>
    <row r="17" spans="1:27">
      <c r="A17" s="170" t="s">
        <v>304</v>
      </c>
      <c r="B17" s="171">
        <v>31</v>
      </c>
      <c r="C17" s="172">
        <v>8.6697777779999999E-2</v>
      </c>
      <c r="D17" s="172">
        <v>6.0486893798069312E-2</v>
      </c>
      <c r="E17" s="172">
        <v>8.7115256434838612E-2</v>
      </c>
      <c r="F17" s="172">
        <v>0.17651351969149562</v>
      </c>
      <c r="G17" s="173">
        <v>0.86036855180301985</v>
      </c>
      <c r="H17" s="173">
        <v>1.1476869220000001</v>
      </c>
      <c r="I17" s="172">
        <v>9.5494843722600004E-2</v>
      </c>
      <c r="J17" s="172">
        <v>0.500216196</v>
      </c>
      <c r="K17" s="172">
        <v>5.7800000000000004E-2</v>
      </c>
      <c r="L17" s="172">
        <v>0.36810087599643493</v>
      </c>
      <c r="M17" s="172">
        <v>7.6300281069613743E-2</v>
      </c>
      <c r="N17" s="173">
        <v>1.5856091699425192</v>
      </c>
      <c r="O17" s="173">
        <v>1.0328956410360037</v>
      </c>
      <c r="P17" s="173">
        <v>7.9670583901425305</v>
      </c>
      <c r="Q17" s="173">
        <v>16.210395838965489</v>
      </c>
      <c r="R17" s="173">
        <v>1.611224798317052</v>
      </c>
      <c r="S17" s="173">
        <v>25.8083733</v>
      </c>
      <c r="T17" s="172">
        <v>0.1560831126647369</v>
      </c>
      <c r="U17" s="172">
        <v>6.0077957497568127E-2</v>
      </c>
      <c r="V17" s="172">
        <v>3.746685791879284E-2</v>
      </c>
      <c r="W17" s="172">
        <v>0.69395624306129156</v>
      </c>
      <c r="X17" s="172">
        <v>6.3698090576988928E-2</v>
      </c>
      <c r="Y17" s="172">
        <v>1.2817896941827633</v>
      </c>
      <c r="Z17" s="172">
        <v>1.2817896941827633</v>
      </c>
      <c r="AA17" s="174">
        <v>6.2465659093970088E-2</v>
      </c>
    </row>
    <row r="18" spans="1:27">
      <c r="A18" s="170" t="s">
        <v>305</v>
      </c>
      <c r="B18" s="171">
        <v>4</v>
      </c>
      <c r="C18" s="172">
        <v>1.6685000000000002E-2</v>
      </c>
      <c r="D18" s="172">
        <v>4.3609560927712385E-2</v>
      </c>
      <c r="E18" s="172">
        <v>5.3536736332176038E-2</v>
      </c>
      <c r="F18" s="172">
        <v>0</v>
      </c>
      <c r="G18" s="173">
        <v>0.58046503346845157</v>
      </c>
      <c r="H18" s="173">
        <v>0.99413866200000001</v>
      </c>
      <c r="I18" s="172">
        <v>8.8846204064600004E-2</v>
      </c>
      <c r="J18" s="172">
        <v>0.46970419400000002</v>
      </c>
      <c r="K18" s="172">
        <v>5.7800000000000004E-2</v>
      </c>
      <c r="L18" s="172">
        <v>0.53078499492481368</v>
      </c>
      <c r="M18" s="172">
        <v>6.4697501621073003E-2</v>
      </c>
      <c r="N18" s="173">
        <v>1.3096090731277268</v>
      </c>
      <c r="O18" s="173">
        <v>0.99834666477464096</v>
      </c>
      <c r="P18" s="173">
        <v>9.2737112897111231</v>
      </c>
      <c r="Q18" s="173">
        <v>22.259387265973562</v>
      </c>
      <c r="R18" s="173">
        <v>1.3756962474757561</v>
      </c>
      <c r="S18" s="173">
        <v>33.223684210000002</v>
      </c>
      <c r="T18" s="172">
        <v>0.19024416102117192</v>
      </c>
      <c r="U18" s="172">
        <v>5.6483490852626696E-2</v>
      </c>
      <c r="V18" s="172">
        <v>3.09597381827909E-3</v>
      </c>
      <c r="W18" s="172">
        <v>0.21432209826666149</v>
      </c>
      <c r="X18" s="172">
        <v>-1.3011807112258857E-2</v>
      </c>
      <c r="Y18" s="172">
        <v>1.9605263160000001E-2</v>
      </c>
      <c r="Z18" s="172">
        <v>1.9605263159999997E-2</v>
      </c>
      <c r="AA18" s="174">
        <v>4.3824308778591406E-2</v>
      </c>
    </row>
    <row r="19" spans="1:27">
      <c r="A19" s="170" t="s">
        <v>22</v>
      </c>
      <c r="B19" s="171">
        <v>60</v>
      </c>
      <c r="C19" s="172">
        <v>9.1944222219999996E-2</v>
      </c>
      <c r="D19" s="172">
        <v>0.1193494453676533</v>
      </c>
      <c r="E19" s="172">
        <v>0.11308895503943045</v>
      </c>
      <c r="F19" s="172">
        <v>0.20545318279218358</v>
      </c>
      <c r="G19" s="173">
        <v>0.79421458189715954</v>
      </c>
      <c r="H19" s="173">
        <v>0.92154890700000003</v>
      </c>
      <c r="I19" s="172">
        <v>8.57030676731E-2</v>
      </c>
      <c r="J19" s="172">
        <v>0.48149355100000002</v>
      </c>
      <c r="K19" s="172">
        <v>5.7800000000000004E-2</v>
      </c>
      <c r="L19" s="172">
        <v>0.21336957255391781</v>
      </c>
      <c r="M19" s="172">
        <v>7.6666211727343503E-2</v>
      </c>
      <c r="N19" s="173">
        <v>1.1344320373825643</v>
      </c>
      <c r="O19" s="173">
        <v>2.7705093015104674</v>
      </c>
      <c r="P19" s="173">
        <v>13.305677144877386</v>
      </c>
      <c r="Q19" s="173">
        <v>22.12973118763059</v>
      </c>
      <c r="R19" s="173">
        <v>2.5680732923090193</v>
      </c>
      <c r="S19" s="173">
        <v>43.856678729999999</v>
      </c>
      <c r="T19" s="172">
        <v>0.22293595568199431</v>
      </c>
      <c r="U19" s="172">
        <v>8.8176279512340902E-2</v>
      </c>
      <c r="V19" s="172">
        <v>5.2027275641348188E-2</v>
      </c>
      <c r="W19" s="172">
        <v>0.54297214626986634</v>
      </c>
      <c r="X19" s="172">
        <v>7.775909833844559E-2</v>
      </c>
      <c r="Y19" s="172">
        <v>0.59231874864929235</v>
      </c>
      <c r="Z19" s="172">
        <v>0.59231874864929235</v>
      </c>
      <c r="AA19" s="174">
        <v>0.12123369916544284</v>
      </c>
    </row>
    <row r="20" spans="1:27">
      <c r="A20" s="170" t="s">
        <v>810</v>
      </c>
      <c r="B20" s="171">
        <v>16</v>
      </c>
      <c r="C20" s="172">
        <v>6.5125000000000001E-3</v>
      </c>
      <c r="D20" s="172">
        <v>0.10974053594215227</v>
      </c>
      <c r="E20" s="172">
        <v>0.13136098597204601</v>
      </c>
      <c r="F20" s="172">
        <v>0.17764284602210806</v>
      </c>
      <c r="G20" s="173">
        <v>1.2666789941187624</v>
      </c>
      <c r="H20" s="173">
        <v>1.1820629970000001</v>
      </c>
      <c r="I20" s="172">
        <v>9.6983327770099992E-2</v>
      </c>
      <c r="J20" s="172">
        <v>0.53778222899999994</v>
      </c>
      <c r="K20" s="172">
        <v>5.7800000000000004E-2</v>
      </c>
      <c r="L20" s="172">
        <v>8.6500147949945858E-2</v>
      </c>
      <c r="M20" s="172">
        <v>9.2344036982938402E-2</v>
      </c>
      <c r="N20" s="173">
        <v>1.2410014770236968</v>
      </c>
      <c r="O20" s="173">
        <v>1.5677608367812537</v>
      </c>
      <c r="P20" s="173">
        <v>3.8937525141164238</v>
      </c>
      <c r="Q20" s="173">
        <v>7.9798440623867757</v>
      </c>
      <c r="R20" s="173">
        <v>1.652433883756701</v>
      </c>
      <c r="S20" s="173">
        <v>8.9289539700000002</v>
      </c>
      <c r="T20" s="172">
        <v>0.10744364100382817</v>
      </c>
      <c r="U20" s="172">
        <v>0.10056739234110565</v>
      </c>
      <c r="V20" s="172">
        <v>4.1818439606614841E-2</v>
      </c>
      <c r="W20" s="172">
        <v>0.78418250239582199</v>
      </c>
      <c r="X20" s="172">
        <v>0.1133530739065558</v>
      </c>
      <c r="Y20" s="172">
        <v>6.8498330481372535E-2</v>
      </c>
      <c r="Z20" s="172">
        <v>6.8498330481372549E-2</v>
      </c>
      <c r="AA20" s="174">
        <v>0.11036162808862766</v>
      </c>
    </row>
    <row r="21" spans="1:27">
      <c r="A21" s="170" t="s">
        <v>811</v>
      </c>
      <c r="B21" s="171">
        <v>63</v>
      </c>
      <c r="C21" s="172">
        <v>9.3410571430000006E-2</v>
      </c>
      <c r="D21" s="172">
        <v>6.0552452674760858E-2</v>
      </c>
      <c r="E21" s="172">
        <v>0.20511859984992606</v>
      </c>
      <c r="F21" s="172">
        <v>0.15828323564310839</v>
      </c>
      <c r="G21" s="173">
        <v>1.091806958703224</v>
      </c>
      <c r="H21" s="173">
        <v>1.234460621</v>
      </c>
      <c r="I21" s="172">
        <v>9.9252144889299995E-2</v>
      </c>
      <c r="J21" s="172">
        <v>0.44396278700000003</v>
      </c>
      <c r="K21" s="172">
        <v>5.5300000000000002E-2</v>
      </c>
      <c r="L21" s="172">
        <v>0.20842271411909233</v>
      </c>
      <c r="M21" s="172">
        <v>8.7210075537420051E-2</v>
      </c>
      <c r="N21" s="173">
        <v>4.7139988082338196</v>
      </c>
      <c r="O21" s="173">
        <v>1.384128746459615</v>
      </c>
      <c r="P21" s="173">
        <v>14.291251634862933</v>
      </c>
      <c r="Q21" s="173">
        <v>21.794177608169679</v>
      </c>
      <c r="R21" s="173">
        <v>4.5486513002131979</v>
      </c>
      <c r="S21" s="173">
        <v>56.193889810000002</v>
      </c>
      <c r="T21" s="172">
        <v>0.13791056200710072</v>
      </c>
      <c r="U21" s="172">
        <v>9.9162487965842802E-3</v>
      </c>
      <c r="V21" s="172">
        <v>1.3792624153242633E-3</v>
      </c>
      <c r="W21" s="172">
        <v>-0.13524979633927869</v>
      </c>
      <c r="X21" s="172">
        <v>0.17442599918494769</v>
      </c>
      <c r="Y21" s="172">
        <v>0.55313082081621301</v>
      </c>
      <c r="Z21" s="172">
        <v>0.55313082081621301</v>
      </c>
      <c r="AA21" s="174">
        <v>6.4474279549048094E-2</v>
      </c>
    </row>
    <row r="22" spans="1:27">
      <c r="A22" s="170" t="s">
        <v>286</v>
      </c>
      <c r="B22" s="171">
        <v>35</v>
      </c>
      <c r="C22" s="172">
        <v>3.547884615E-2</v>
      </c>
      <c r="D22" s="172">
        <v>0.22650656923300075</v>
      </c>
      <c r="E22" s="172">
        <v>0.41408711752017102</v>
      </c>
      <c r="F22" s="172">
        <v>0.22873507397401782</v>
      </c>
      <c r="G22" s="173">
        <v>1.118287266469026</v>
      </c>
      <c r="H22" s="173">
        <v>1.1422456459999999</v>
      </c>
      <c r="I22" s="172">
        <v>9.5259236471799985E-2</v>
      </c>
      <c r="J22" s="172">
        <v>0.52621968100000005</v>
      </c>
      <c r="K22" s="172">
        <v>5.7800000000000004E-2</v>
      </c>
      <c r="L22" s="172">
        <v>4.5958192552513426E-2</v>
      </c>
      <c r="M22" s="172">
        <v>9.2873581786775045E-2</v>
      </c>
      <c r="N22" s="173">
        <v>3.3449300664684207</v>
      </c>
      <c r="O22" s="173">
        <v>6.6791419060864801</v>
      </c>
      <c r="P22" s="173">
        <v>25.359132422946413</v>
      </c>
      <c r="Q22" s="173">
        <v>29.389549393699141</v>
      </c>
      <c r="R22" s="173">
        <v>38.955770550529998</v>
      </c>
      <c r="S22" s="173">
        <v>610.1473168</v>
      </c>
      <c r="T22" s="172">
        <v>-7.9927060367769837E-2</v>
      </c>
      <c r="U22" s="172">
        <v>2.5816045561845129E-2</v>
      </c>
      <c r="V22" s="172">
        <v>3.3470274962448718E-3</v>
      </c>
      <c r="W22" s="172">
        <v>2.1789696943515499E-2</v>
      </c>
      <c r="X22" s="172">
        <v>2.0232635E-4</v>
      </c>
      <c r="Y22" s="172">
        <v>0.17968917860020636</v>
      </c>
      <c r="Z22" s="172">
        <v>0.17968917860020639</v>
      </c>
      <c r="AA22" s="174">
        <v>0.22950815299948338</v>
      </c>
    </row>
    <row r="23" spans="1:27">
      <c r="A23" s="170" t="s">
        <v>812</v>
      </c>
      <c r="B23" s="171">
        <v>46</v>
      </c>
      <c r="C23" s="172">
        <v>3.7463548389999997E-2</v>
      </c>
      <c r="D23" s="172">
        <v>0.15132789353180212</v>
      </c>
      <c r="E23" s="172">
        <v>0.18411663423273966</v>
      </c>
      <c r="F23" s="172">
        <v>0.21734420347661088</v>
      </c>
      <c r="G23" s="173">
        <v>1.1527821790508539</v>
      </c>
      <c r="H23" s="173">
        <v>1.2936372249999999</v>
      </c>
      <c r="I23" s="172">
        <v>0.10181449184249999</v>
      </c>
      <c r="J23" s="172">
        <v>0.47524838800000002</v>
      </c>
      <c r="K23" s="172">
        <v>5.7800000000000004E-2</v>
      </c>
      <c r="L23" s="172">
        <v>0.17739375240336838</v>
      </c>
      <c r="M23" s="172">
        <v>9.1443256252202801E-2</v>
      </c>
      <c r="N23" s="173">
        <v>1.5644347993202348</v>
      </c>
      <c r="O23" s="173">
        <v>2.4608867902074083</v>
      </c>
      <c r="P23" s="173">
        <v>12.622658164680921</v>
      </c>
      <c r="Q23" s="173">
        <v>16.105371320231963</v>
      </c>
      <c r="R23" s="173">
        <v>4.3882267587224799</v>
      </c>
      <c r="S23" s="173">
        <v>18.967551650000001</v>
      </c>
      <c r="T23" s="172">
        <v>0.18587440808334135</v>
      </c>
      <c r="U23" s="172">
        <v>4.8192358657233425E-2</v>
      </c>
      <c r="V23" s="172">
        <v>3.8508067346589604E-2</v>
      </c>
      <c r="W23" s="172">
        <v>0.42331879940087469</v>
      </c>
      <c r="X23" s="172">
        <v>0.25625980435240003</v>
      </c>
      <c r="Y23" s="172">
        <v>0.29216332430157532</v>
      </c>
      <c r="Z23" s="172">
        <v>0.29216332430157532</v>
      </c>
      <c r="AA23" s="174">
        <v>0.15206830137916255</v>
      </c>
    </row>
    <row r="24" spans="1:27">
      <c r="A24" s="170" t="s">
        <v>813</v>
      </c>
      <c r="B24" s="171">
        <v>21</v>
      </c>
      <c r="C24" s="172">
        <v>0.1162011111</v>
      </c>
      <c r="D24" s="172">
        <v>0.32847328764204248</v>
      </c>
      <c r="E24" s="172">
        <v>0.24653408323908313</v>
      </c>
      <c r="F24" s="172">
        <v>0.19221263304728198</v>
      </c>
      <c r="G24" s="173">
        <v>1.0140267770157503</v>
      </c>
      <c r="H24" s="173">
        <v>1.089996424</v>
      </c>
      <c r="I24" s="172">
        <v>9.2996845159199995E-2</v>
      </c>
      <c r="J24" s="172">
        <v>0.59349660699999995</v>
      </c>
      <c r="K24" s="172">
        <v>5.7800000000000004E-2</v>
      </c>
      <c r="L24" s="172">
        <v>0.13859853317033913</v>
      </c>
      <c r="M24" s="172">
        <v>8.6115865243599918E-2</v>
      </c>
      <c r="N24" s="173">
        <v>0.79974779181477329</v>
      </c>
      <c r="O24" s="173">
        <v>2.9071161346491126</v>
      </c>
      <c r="P24" s="173">
        <v>7.8569258363980232</v>
      </c>
      <c r="Q24" s="173">
        <v>8.8072144120520921</v>
      </c>
      <c r="R24" s="173">
        <v>1.8062849858672281</v>
      </c>
      <c r="S24" s="173">
        <v>13.032908559999999</v>
      </c>
      <c r="T24" s="172">
        <v>1.4896509586036182E-2</v>
      </c>
      <c r="U24" s="172">
        <v>4.8625328972568528E-2</v>
      </c>
      <c r="V24" s="172">
        <v>3.0015662439102954E-2</v>
      </c>
      <c r="W24" s="172">
        <v>0.10870945577023988</v>
      </c>
      <c r="X24" s="172">
        <v>0.20898799911870694</v>
      </c>
      <c r="Y24" s="172">
        <v>5.0332682728645162E-2</v>
      </c>
      <c r="Z24" s="172">
        <v>5.0332682728645217E-2</v>
      </c>
      <c r="AA24" s="174">
        <v>0.33000088530976718</v>
      </c>
    </row>
    <row r="25" spans="1:27">
      <c r="A25" s="170" t="s">
        <v>814</v>
      </c>
      <c r="B25" s="171">
        <v>535</v>
      </c>
      <c r="C25" s="172">
        <v>0.23766170890000002</v>
      </c>
      <c r="D25" s="172">
        <v>1.4221272716606562E-2</v>
      </c>
      <c r="E25" s="172">
        <v>3.0814784217150146E-2</v>
      </c>
      <c r="F25" s="172">
        <v>0.19482954958812734</v>
      </c>
      <c r="G25" s="173">
        <v>1.1689511933236565</v>
      </c>
      <c r="H25" s="173">
        <v>1.2519481130000001</v>
      </c>
      <c r="I25" s="172">
        <v>0.10000935329290001</v>
      </c>
      <c r="J25" s="172">
        <v>0.86827811700000002</v>
      </c>
      <c r="K25" s="172">
        <v>7.5800000000000006E-2</v>
      </c>
      <c r="L25" s="172">
        <v>0.1459806038133114</v>
      </c>
      <c r="M25" s="172">
        <v>9.3708924839010443E-2</v>
      </c>
      <c r="N25" s="173">
        <v>0.93339464274042372</v>
      </c>
      <c r="O25" s="173">
        <v>6.7917910997794078</v>
      </c>
      <c r="P25" s="173">
        <v>15.186565174237344</v>
      </c>
      <c r="Q25" s="173" t="s">
        <v>285</v>
      </c>
      <c r="R25" s="173">
        <v>6.0170976541537984</v>
      </c>
      <c r="S25" s="173">
        <v>84.994302489999995</v>
      </c>
      <c r="T25" s="172">
        <v>0.136456198402093</v>
      </c>
      <c r="U25" s="172">
        <v>3.360787117884962E-2</v>
      </c>
      <c r="V25" s="172">
        <v>0.24938461994507974</v>
      </c>
      <c r="W25" s="172" t="s">
        <v>285</v>
      </c>
      <c r="X25" s="172">
        <v>-0.14115598020476416</v>
      </c>
      <c r="Y25" s="172">
        <v>9.7462779800000007E-3</v>
      </c>
      <c r="Z25" s="172">
        <v>9.746277980000051E-3</v>
      </c>
      <c r="AA25" s="174">
        <v>7.488265801874916E-2</v>
      </c>
    </row>
    <row r="26" spans="1:27">
      <c r="A26" s="170" t="s">
        <v>815</v>
      </c>
      <c r="B26" s="171">
        <v>231</v>
      </c>
      <c r="C26" s="172">
        <v>0.24784956520000001</v>
      </c>
      <c r="D26" s="172">
        <v>0.22807562351451666</v>
      </c>
      <c r="E26" s="172">
        <v>0.14079869875837178</v>
      </c>
      <c r="F26" s="172">
        <v>0.13582708532957879</v>
      </c>
      <c r="G26" s="173">
        <v>0.9833609439300397</v>
      </c>
      <c r="H26" s="173">
        <v>1.073797133</v>
      </c>
      <c r="I26" s="172">
        <v>9.2295415858899998E-2</v>
      </c>
      <c r="J26" s="172">
        <v>0.80048453600000002</v>
      </c>
      <c r="K26" s="172">
        <v>7.5800000000000006E-2</v>
      </c>
      <c r="L26" s="172">
        <v>0.14449996998715745</v>
      </c>
      <c r="M26" s="172">
        <v>8.7173554331106629E-2</v>
      </c>
      <c r="N26" s="173">
        <v>1.0148579813307739</v>
      </c>
      <c r="O26" s="173">
        <v>5.4837121023102311</v>
      </c>
      <c r="P26" s="173">
        <v>15.36886270507868</v>
      </c>
      <c r="Q26" s="173">
        <v>23.367948504156718</v>
      </c>
      <c r="R26" s="173">
        <v>5.699401006896502</v>
      </c>
      <c r="S26" s="173">
        <v>20.882930259999998</v>
      </c>
      <c r="T26" s="172">
        <v>0.25087194172001104</v>
      </c>
      <c r="U26" s="172">
        <v>5.3594365491549195E-2</v>
      </c>
      <c r="V26" s="172">
        <v>0.23936246817779333</v>
      </c>
      <c r="W26" s="172">
        <v>1.1762436887227607</v>
      </c>
      <c r="X26" s="172">
        <v>0.104929834787929</v>
      </c>
      <c r="Y26" s="172">
        <v>1.2549442133929405</v>
      </c>
      <c r="Z26" s="172">
        <v>1.2549442133929405</v>
      </c>
      <c r="AA26" s="174">
        <v>0.25591611557226929</v>
      </c>
    </row>
    <row r="27" spans="1:27">
      <c r="A27" s="170" t="s">
        <v>816</v>
      </c>
      <c r="B27" s="171">
        <v>29</v>
      </c>
      <c r="C27" s="172">
        <v>4.7660000000000001E-2</v>
      </c>
      <c r="D27" s="172">
        <v>9.2405384076573532E-2</v>
      </c>
      <c r="E27" s="172">
        <v>0.11855547063052679</v>
      </c>
      <c r="F27" s="172">
        <v>0.25611450384983275</v>
      </c>
      <c r="G27" s="173">
        <v>0.92211125641537239</v>
      </c>
      <c r="H27" s="173">
        <v>0.98317227600000001</v>
      </c>
      <c r="I27" s="172">
        <v>8.8371359550799999E-2</v>
      </c>
      <c r="J27" s="172">
        <v>0.55822687100000001</v>
      </c>
      <c r="K27" s="172">
        <v>5.7800000000000004E-2</v>
      </c>
      <c r="L27" s="172">
        <v>0.16279107677962734</v>
      </c>
      <c r="M27" s="172">
        <v>8.1042283951442515E-2</v>
      </c>
      <c r="N27" s="173">
        <v>1.859008910079772</v>
      </c>
      <c r="O27" s="173">
        <v>2.4903031810109364</v>
      </c>
      <c r="P27" s="173">
        <v>14.254583613223035</v>
      </c>
      <c r="Q27" s="173">
        <v>28.470503098246159</v>
      </c>
      <c r="R27" s="173">
        <v>3.3561827175807553</v>
      </c>
      <c r="S27" s="173">
        <v>33.921511270000003</v>
      </c>
      <c r="T27" s="172">
        <v>7.9872592727747618E-2</v>
      </c>
      <c r="U27" s="172">
        <v>3.1075975498548073E-2</v>
      </c>
      <c r="V27" s="172">
        <v>8.9103062021790337E-3</v>
      </c>
      <c r="W27" s="172">
        <v>0.30448848895763442</v>
      </c>
      <c r="X27" s="172">
        <v>4.2221737467675997E-2</v>
      </c>
      <c r="Y27" s="172">
        <v>0.71873518303549533</v>
      </c>
      <c r="Z27" s="172">
        <v>0.71873518303549533</v>
      </c>
      <c r="AA27" s="174">
        <v>8.5465634223736653E-2</v>
      </c>
    </row>
    <row r="28" spans="1:27">
      <c r="A28" s="170" t="s">
        <v>81</v>
      </c>
      <c r="B28" s="171">
        <v>101</v>
      </c>
      <c r="C28" s="172">
        <v>0.1328885417</v>
      </c>
      <c r="D28" s="172">
        <v>7.1521814337808423E-2</v>
      </c>
      <c r="E28" s="172">
        <v>0.12226468202114389</v>
      </c>
      <c r="F28" s="172">
        <v>0.20188534158072283</v>
      </c>
      <c r="G28" s="173">
        <v>1.2010769114632169</v>
      </c>
      <c r="H28" s="173">
        <v>1.2697510590000001</v>
      </c>
      <c r="I28" s="172">
        <v>0.10078022085470001</v>
      </c>
      <c r="J28" s="172">
        <v>0.72115670200000004</v>
      </c>
      <c r="K28" s="172">
        <v>6.4100000000000004E-2</v>
      </c>
      <c r="L28" s="172">
        <v>0.12925340321647449</v>
      </c>
      <c r="M28" s="172">
        <v>9.3967891691954131E-2</v>
      </c>
      <c r="N28" s="173">
        <v>2.0875371987638252</v>
      </c>
      <c r="O28" s="173">
        <v>3.3071962896414302</v>
      </c>
      <c r="P28" s="173">
        <v>19.605829838383833</v>
      </c>
      <c r="Q28" s="173">
        <v>41.435042053449642</v>
      </c>
      <c r="R28" s="173">
        <v>4.0692397539918783</v>
      </c>
      <c r="S28" s="173">
        <v>55.433923579999998</v>
      </c>
      <c r="T28" s="172">
        <v>0.28872734680008882</v>
      </c>
      <c r="U28" s="172">
        <v>5.0657051700423394E-2</v>
      </c>
      <c r="V28" s="172">
        <v>0.10742964307899272</v>
      </c>
      <c r="W28" s="172">
        <v>2.0270788352061548</v>
      </c>
      <c r="X28" s="172">
        <v>4.777295470096294E-2</v>
      </c>
      <c r="Y28" s="172">
        <v>0.80268485357748776</v>
      </c>
      <c r="Z28" s="172">
        <v>0.80268485357748776</v>
      </c>
      <c r="AA28" s="174">
        <v>7.6432655460022147E-2</v>
      </c>
    </row>
    <row r="29" spans="1:27">
      <c r="A29" s="170" t="s">
        <v>817</v>
      </c>
      <c r="B29" s="171">
        <v>11</v>
      </c>
      <c r="C29" s="172">
        <v>-6.9977142859999994E-2</v>
      </c>
      <c r="D29" s="172">
        <v>-5.2972320329844981E-2</v>
      </c>
      <c r="E29" s="172">
        <v>-5.8115332425485076E-2</v>
      </c>
      <c r="F29" s="172" t="e">
        <v>#DIV/0!</v>
      </c>
      <c r="G29" s="173">
        <v>0.95363638449259391</v>
      </c>
      <c r="H29" s="173">
        <v>0.91963520099999996</v>
      </c>
      <c r="I29" s="172">
        <v>8.5620204203299993E-2</v>
      </c>
      <c r="J29" s="172">
        <v>0.73198977099999996</v>
      </c>
      <c r="K29" s="172">
        <v>6.4100000000000004E-2</v>
      </c>
      <c r="L29" s="172">
        <v>0.11745374424986435</v>
      </c>
      <c r="M29" s="172">
        <v>8.1210379390996679E-2</v>
      </c>
      <c r="N29" s="173">
        <v>2.7373984741056008</v>
      </c>
      <c r="O29" s="173">
        <v>0.72469458925868457</v>
      </c>
      <c r="P29" s="173">
        <v>44.488990466151328</v>
      </c>
      <c r="Q29" s="173" t="s">
        <v>285</v>
      </c>
      <c r="R29" s="173">
        <v>2.2193725635789865</v>
      </c>
      <c r="S29" s="173" t="e">
        <v>#DIV/0!</v>
      </c>
      <c r="T29" s="172">
        <v>0.12810472748925761</v>
      </c>
      <c r="U29" s="172">
        <v>2.0722078882392671E-2</v>
      </c>
      <c r="V29" s="172">
        <v>2.1872119179560689E-3</v>
      </c>
      <c r="W29" s="172" t="s">
        <v>285</v>
      </c>
      <c r="X29" s="172">
        <v>-0.30964018341180377</v>
      </c>
      <c r="Y29" s="172" t="e">
        <v>#DIV/0!</v>
      </c>
      <c r="Z29" s="172" t="e">
        <v>#DIV/0!</v>
      </c>
      <c r="AA29" s="174">
        <v>-4.8685425816909919E-2</v>
      </c>
    </row>
    <row r="30" spans="1:27">
      <c r="A30" s="170" t="s">
        <v>818</v>
      </c>
      <c r="B30" s="171">
        <v>122</v>
      </c>
      <c r="C30" s="172">
        <v>0.1058519753</v>
      </c>
      <c r="D30" s="172">
        <v>8.1549816833311639E-2</v>
      </c>
      <c r="E30" s="172">
        <v>0.13112417823624317</v>
      </c>
      <c r="F30" s="172">
        <v>0.19228954854163061</v>
      </c>
      <c r="G30" s="173">
        <v>1.0112705827294393</v>
      </c>
      <c r="H30" s="173">
        <v>1.058231623</v>
      </c>
      <c r="I30" s="172">
        <v>9.1621429275900002E-2</v>
      </c>
      <c r="J30" s="172">
        <v>0.61608559799999996</v>
      </c>
      <c r="K30" s="172">
        <v>5.7800000000000004E-2</v>
      </c>
      <c r="L30" s="172">
        <v>0.12603196762300251</v>
      </c>
      <c r="M30" s="172">
        <v>8.5537686064283719E-2</v>
      </c>
      <c r="N30" s="173">
        <v>2.1729517723710456</v>
      </c>
      <c r="O30" s="173">
        <v>2.4557308639937196</v>
      </c>
      <c r="P30" s="173">
        <v>17.283481209656799</v>
      </c>
      <c r="Q30" s="173">
        <v>28.931820005023166</v>
      </c>
      <c r="R30" s="173">
        <v>3.7528619810100485</v>
      </c>
      <c r="S30" s="173">
        <v>74.938247899999993</v>
      </c>
      <c r="T30" s="172">
        <v>0.22928356263952965</v>
      </c>
      <c r="U30" s="172">
        <v>3.3053712296310343E-2</v>
      </c>
      <c r="V30" s="172">
        <v>4.7231927571202502E-2</v>
      </c>
      <c r="W30" s="172">
        <v>0.54226763026249158</v>
      </c>
      <c r="X30" s="172">
        <v>0.10193122279662485</v>
      </c>
      <c r="Y30" s="172">
        <v>0.22225240003320335</v>
      </c>
      <c r="Z30" s="172">
        <v>0.22225240003320335</v>
      </c>
      <c r="AA30" s="174">
        <v>8.3700233399532128E-2</v>
      </c>
    </row>
    <row r="31" spans="1:27">
      <c r="A31" s="170" t="s">
        <v>819</v>
      </c>
      <c r="B31" s="171">
        <v>42</v>
      </c>
      <c r="C31" s="172">
        <v>8.6511481480000013E-2</v>
      </c>
      <c r="D31" s="172">
        <v>5.5676521867050688E-2</v>
      </c>
      <c r="E31" s="172">
        <v>0.19158078820440533</v>
      </c>
      <c r="F31" s="172">
        <v>0.26452669039145904</v>
      </c>
      <c r="G31" s="173">
        <v>0.91716411763680838</v>
      </c>
      <c r="H31" s="173">
        <v>0.98791529099999997</v>
      </c>
      <c r="I31" s="172">
        <v>8.8576732100299996E-2</v>
      </c>
      <c r="J31" s="172">
        <v>0.47331965999999998</v>
      </c>
      <c r="K31" s="172">
        <v>5.7800000000000004E-2</v>
      </c>
      <c r="L31" s="172">
        <v>0.15199105524120338</v>
      </c>
      <c r="M31" s="172">
        <v>8.17026733632642E-2</v>
      </c>
      <c r="N31" s="173">
        <v>3.8629620708907382</v>
      </c>
      <c r="O31" s="173">
        <v>1.4093068695496445</v>
      </c>
      <c r="P31" s="173">
        <v>15.64699107043541</v>
      </c>
      <c r="Q31" s="173">
        <v>24.030910388290252</v>
      </c>
      <c r="R31" s="173">
        <v>4.8115469212701178</v>
      </c>
      <c r="S31" s="173">
        <v>44.734074960000001</v>
      </c>
      <c r="T31" s="172">
        <v>0.18589282923198996</v>
      </c>
      <c r="U31" s="172">
        <v>2.3582468326450841E-2</v>
      </c>
      <c r="V31" s="172">
        <v>3.8518528825321197E-2</v>
      </c>
      <c r="W31" s="172">
        <v>0.84197588607134954</v>
      </c>
      <c r="X31" s="172">
        <v>0.13082400113099374</v>
      </c>
      <c r="Y31" s="172">
        <v>8.2519841894833995E-2</v>
      </c>
      <c r="Z31" s="172">
        <v>8.2519841894833967E-2</v>
      </c>
      <c r="AA31" s="174">
        <v>5.8394090088025367E-2</v>
      </c>
    </row>
    <row r="32" spans="1:27">
      <c r="A32" s="170" t="s">
        <v>381</v>
      </c>
      <c r="B32" s="171">
        <v>96</v>
      </c>
      <c r="C32" s="172">
        <v>0.13250965519999999</v>
      </c>
      <c r="D32" s="172">
        <v>8.3399915315478731E-2</v>
      </c>
      <c r="E32" s="172">
        <v>9.9413465588753788E-2</v>
      </c>
      <c r="F32" s="172">
        <v>0.18832506154081263</v>
      </c>
      <c r="G32" s="173">
        <v>0.93752432272456199</v>
      </c>
      <c r="H32" s="173">
        <v>1.040909254</v>
      </c>
      <c r="I32" s="172">
        <v>9.0871370698200005E-2</v>
      </c>
      <c r="J32" s="172">
        <v>0.62697912300000003</v>
      </c>
      <c r="K32" s="172">
        <v>5.7800000000000004E-2</v>
      </c>
      <c r="L32" s="172">
        <v>0.16899576961106283</v>
      </c>
      <c r="M32" s="172">
        <v>8.2840460084085091E-2</v>
      </c>
      <c r="N32" s="173">
        <v>1.4069695142199781</v>
      </c>
      <c r="O32" s="173">
        <v>3.9046945294667585</v>
      </c>
      <c r="P32" s="173">
        <v>19.610966871944829</v>
      </c>
      <c r="Q32" s="173">
        <v>45.584062443839649</v>
      </c>
      <c r="R32" s="173">
        <v>4.0679110721849066</v>
      </c>
      <c r="S32" s="173">
        <v>84.243189240000007</v>
      </c>
      <c r="T32" s="172">
        <v>1.5271225517126164E-2</v>
      </c>
      <c r="U32" s="172">
        <v>3.6993536255993935E-2</v>
      </c>
      <c r="V32" s="172">
        <v>-3.9181988163196985E-2</v>
      </c>
      <c r="W32" s="172">
        <v>-0.71185667131355135</v>
      </c>
      <c r="X32" s="172">
        <v>-3.9027958459762736E-2</v>
      </c>
      <c r="Y32" s="172">
        <v>8.1707031999999995E-4</v>
      </c>
      <c r="Z32" s="172">
        <v>8.1707032000000179E-4</v>
      </c>
      <c r="AA32" s="174">
        <v>8.2564197257796915E-2</v>
      </c>
    </row>
    <row r="33" spans="1:27">
      <c r="A33" s="170" t="s">
        <v>820</v>
      </c>
      <c r="B33" s="171">
        <v>50</v>
      </c>
      <c r="C33" s="172">
        <v>0.19639523810000001</v>
      </c>
      <c r="D33" s="172">
        <v>0.14893092624522616</v>
      </c>
      <c r="E33" s="172">
        <v>0.31722930695398477</v>
      </c>
      <c r="F33" s="172">
        <v>0.22539063245351154</v>
      </c>
      <c r="G33" s="173">
        <v>0.81543659279537994</v>
      </c>
      <c r="H33" s="173">
        <v>0.92047027100000001</v>
      </c>
      <c r="I33" s="172">
        <v>8.5656362734299996E-2</v>
      </c>
      <c r="J33" s="172">
        <v>0.54475821899999999</v>
      </c>
      <c r="K33" s="172">
        <v>5.7800000000000004E-2</v>
      </c>
      <c r="L33" s="172">
        <v>0.16194219947983726</v>
      </c>
      <c r="M33" s="172">
        <v>7.8805177301115636E-2</v>
      </c>
      <c r="N33" s="173">
        <v>2.3193890855856671</v>
      </c>
      <c r="O33" s="173">
        <v>3.6831618180396508</v>
      </c>
      <c r="P33" s="173">
        <v>15.816653690727547</v>
      </c>
      <c r="Q33" s="173">
        <v>24.291419446245214</v>
      </c>
      <c r="R33" s="173">
        <v>6.6546338092261479</v>
      </c>
      <c r="S33" s="173">
        <v>86.590526499999996</v>
      </c>
      <c r="T33" s="172">
        <v>0.1012278675566884</v>
      </c>
      <c r="U33" s="172">
        <v>8.6852735522287727E-2</v>
      </c>
      <c r="V33" s="172">
        <v>6.417199514719471E-2</v>
      </c>
      <c r="W33" s="172">
        <v>0.58976439929739566</v>
      </c>
      <c r="X33" s="172">
        <v>0.22316956149771278</v>
      </c>
      <c r="Y33" s="172">
        <v>0.36332109073003871</v>
      </c>
      <c r="Z33" s="172">
        <v>0.36332109073003871</v>
      </c>
      <c r="AA33" s="174">
        <v>0.15120143810164249</v>
      </c>
    </row>
    <row r="34" spans="1:27">
      <c r="A34" s="170" t="s">
        <v>821</v>
      </c>
      <c r="B34" s="171">
        <v>35</v>
      </c>
      <c r="C34" s="172">
        <v>0.22231052630000001</v>
      </c>
      <c r="D34" s="172">
        <v>7.2528629181504101E-2</v>
      </c>
      <c r="E34" s="172">
        <v>9.9660979261776875E-2</v>
      </c>
      <c r="F34" s="172">
        <v>0.23425644116474048</v>
      </c>
      <c r="G34" s="173">
        <v>0.73179852769055487</v>
      </c>
      <c r="H34" s="173">
        <v>0.98238815599999996</v>
      </c>
      <c r="I34" s="172">
        <v>8.8337407154799999E-2</v>
      </c>
      <c r="J34" s="172">
        <v>0.69591326099999995</v>
      </c>
      <c r="K34" s="172">
        <v>6.4100000000000004E-2</v>
      </c>
      <c r="L34" s="172">
        <v>0.34780955664976021</v>
      </c>
      <c r="M34" s="172">
        <v>7.4333757172636877E-2</v>
      </c>
      <c r="N34" s="173">
        <v>1.5671727482197484</v>
      </c>
      <c r="O34" s="173">
        <v>1.1820781626784913</v>
      </c>
      <c r="P34" s="173">
        <v>11.764311675282677</v>
      </c>
      <c r="Q34" s="173">
        <v>15.776928117367982</v>
      </c>
      <c r="R34" s="173">
        <v>2.503453363855312</v>
      </c>
      <c r="S34" s="173">
        <v>35.002915039999998</v>
      </c>
      <c r="T34" s="172">
        <v>0.14866693371867232</v>
      </c>
      <c r="U34" s="172">
        <v>3.9422638699233403E-2</v>
      </c>
      <c r="V34" s="172">
        <v>3.3604203348605408E-2</v>
      </c>
      <c r="W34" s="172">
        <v>0.44796406898590785</v>
      </c>
      <c r="X34" s="172">
        <v>0.15326132462871572</v>
      </c>
      <c r="Y34" s="172">
        <v>0.3057061550448788</v>
      </c>
      <c r="Z34" s="172">
        <v>0.30570615504487875</v>
      </c>
      <c r="AA34" s="174">
        <v>7.4664801377411744E-2</v>
      </c>
    </row>
    <row r="35" spans="1:27">
      <c r="A35" s="170" t="s">
        <v>822</v>
      </c>
      <c r="B35" s="171">
        <v>166</v>
      </c>
      <c r="C35" s="172">
        <v>0.1479327</v>
      </c>
      <c r="D35" s="172">
        <v>0.16330571937089891</v>
      </c>
      <c r="E35" s="172" t="s">
        <v>285</v>
      </c>
      <c r="F35" s="172">
        <v>0.18619370304267924</v>
      </c>
      <c r="G35" s="173">
        <v>0.35059353202283133</v>
      </c>
      <c r="H35" s="173">
        <v>1.0734898980000001</v>
      </c>
      <c r="I35" s="172">
        <v>9.2282112583399994E-2</v>
      </c>
      <c r="J35" s="172">
        <v>0.41958469999999998</v>
      </c>
      <c r="K35" s="172">
        <v>5.5300000000000002E-2</v>
      </c>
      <c r="L35" s="172">
        <v>0.74137337086588562</v>
      </c>
      <c r="M35" s="172">
        <v>5.4615072263482181E-2</v>
      </c>
      <c r="N35" s="173">
        <v>6.8100315171778836E-2</v>
      </c>
      <c r="O35" s="173">
        <v>19.303479050947359</v>
      </c>
      <c r="P35" s="173">
        <v>62.824400976664812</v>
      </c>
      <c r="Q35" s="173">
        <v>79.267753301662992</v>
      </c>
      <c r="R35" s="173">
        <v>3.797377982567915</v>
      </c>
      <c r="S35" s="173">
        <v>30.21108272</v>
      </c>
      <c r="T35" s="172">
        <v>12.499751151458387</v>
      </c>
      <c r="U35" s="172">
        <v>2.6661393599936054E-2</v>
      </c>
      <c r="V35" s="172">
        <v>1.7918660321226597E-2</v>
      </c>
      <c r="W35" s="172">
        <v>0.14977712365084803</v>
      </c>
      <c r="X35" s="172">
        <v>0.31548808005079898</v>
      </c>
      <c r="Y35" s="172">
        <v>0.18129345640546582</v>
      </c>
      <c r="Z35" s="172">
        <v>0.18129345640546579</v>
      </c>
      <c r="AA35" s="174">
        <v>0.16436086630800309</v>
      </c>
    </row>
    <row r="36" spans="1:27">
      <c r="A36" s="170" t="s">
        <v>349</v>
      </c>
      <c r="B36" s="171">
        <v>77</v>
      </c>
      <c r="C36" s="172">
        <v>0.1001784</v>
      </c>
      <c r="D36" s="172">
        <v>0.1196989866600123</v>
      </c>
      <c r="E36" s="172">
        <v>0.17900874498862601</v>
      </c>
      <c r="F36" s="172">
        <v>0.2415591084925007</v>
      </c>
      <c r="G36" s="173">
        <v>0.38277695500353215</v>
      </c>
      <c r="H36" s="173">
        <v>0.47424023500000001</v>
      </c>
      <c r="I36" s="172">
        <v>6.6334602175499996E-2</v>
      </c>
      <c r="J36" s="172">
        <v>0.462695731</v>
      </c>
      <c r="K36" s="172">
        <v>5.7800000000000004E-2</v>
      </c>
      <c r="L36" s="172">
        <v>0.26751648526721772</v>
      </c>
      <c r="M36" s="172">
        <v>6.0185842186244988E-2</v>
      </c>
      <c r="N36" s="173">
        <v>1.6975230664187548</v>
      </c>
      <c r="O36" s="173">
        <v>1.794561254105961</v>
      </c>
      <c r="P36" s="173">
        <v>11.167310604446802</v>
      </c>
      <c r="Q36" s="173">
        <v>14.755006763137271</v>
      </c>
      <c r="R36" s="173">
        <v>2.1753858995460424</v>
      </c>
      <c r="S36" s="173">
        <v>27.673228760000001</v>
      </c>
      <c r="T36" s="172">
        <v>5.6479430566397329E-2</v>
      </c>
      <c r="U36" s="172">
        <v>3.9880830498782931E-2</v>
      </c>
      <c r="V36" s="172">
        <v>4.3559980139493436E-2</v>
      </c>
      <c r="W36" s="172">
        <v>0.41589524150370255</v>
      </c>
      <c r="X36" s="172">
        <v>9.8024180351082332E-2</v>
      </c>
      <c r="Y36" s="172">
        <v>0.67956385055620316</v>
      </c>
      <c r="Z36" s="172">
        <v>0.67956385055620316</v>
      </c>
      <c r="AA36" s="174">
        <v>0.12132968898848751</v>
      </c>
    </row>
    <row r="37" spans="1:27">
      <c r="A37" s="170" t="s">
        <v>350</v>
      </c>
      <c r="B37" s="171">
        <v>14</v>
      </c>
      <c r="C37" s="172">
        <v>0.11898</v>
      </c>
      <c r="D37" s="172">
        <v>2.6683235141223359E-2</v>
      </c>
      <c r="E37" s="172">
        <v>0.17303730342745285</v>
      </c>
      <c r="F37" s="172">
        <v>0.23847853631388988</v>
      </c>
      <c r="G37" s="173">
        <v>0.55477746241905745</v>
      </c>
      <c r="H37" s="173">
        <v>0.72463223499999996</v>
      </c>
      <c r="I37" s="172">
        <v>7.7176575775499995E-2</v>
      </c>
      <c r="J37" s="172">
        <v>0.39167025799999999</v>
      </c>
      <c r="K37" s="172">
        <v>5.5300000000000002E-2</v>
      </c>
      <c r="L37" s="172">
        <v>0.30206832360013081</v>
      </c>
      <c r="M37" s="172">
        <v>6.6392260631111671E-2</v>
      </c>
      <c r="N37" s="173">
        <v>7.7773250651796788</v>
      </c>
      <c r="O37" s="173">
        <v>0.44417810691387977</v>
      </c>
      <c r="P37" s="173">
        <v>10.770681593282227</v>
      </c>
      <c r="Q37" s="173">
        <v>16.860430568640545</v>
      </c>
      <c r="R37" s="173">
        <v>4.514160864716116</v>
      </c>
      <c r="S37" s="173">
        <v>29.303463270000002</v>
      </c>
      <c r="T37" s="172">
        <v>5.7112801074337201E-2</v>
      </c>
      <c r="U37" s="172">
        <v>9.9436102928435275E-3</v>
      </c>
      <c r="V37" s="172">
        <v>1.4365742505631607E-2</v>
      </c>
      <c r="W37" s="172">
        <v>0.72301943921643175</v>
      </c>
      <c r="X37" s="172">
        <v>0.20052924126260915</v>
      </c>
      <c r="Y37" s="172">
        <v>0.34499481755053701</v>
      </c>
      <c r="Z37" s="172">
        <v>0.34499481755053707</v>
      </c>
      <c r="AA37" s="174">
        <v>2.6340675628140704E-2</v>
      </c>
    </row>
    <row r="38" spans="1:27">
      <c r="A38" s="170" t="s">
        <v>823</v>
      </c>
      <c r="B38" s="171">
        <v>28</v>
      </c>
      <c r="C38" s="172">
        <v>-2.8295238099999998E-3</v>
      </c>
      <c r="D38" s="172">
        <v>6.50643353627397E-2</v>
      </c>
      <c r="E38" s="172">
        <v>0.10653951148142196</v>
      </c>
      <c r="F38" s="172">
        <v>0.21164392773352858</v>
      </c>
      <c r="G38" s="173">
        <v>0.6901905810431348</v>
      </c>
      <c r="H38" s="173">
        <v>0.86624269300000001</v>
      </c>
      <c r="I38" s="172">
        <v>8.33083086069E-2</v>
      </c>
      <c r="J38" s="172">
        <v>0.54801471999999996</v>
      </c>
      <c r="K38" s="172">
        <v>5.7800000000000004E-2</v>
      </c>
      <c r="L38" s="172">
        <v>0.29543892347145978</v>
      </c>
      <c r="M38" s="172">
        <v>7.1503068928337091E-2</v>
      </c>
      <c r="N38" s="173">
        <v>1.9591798093994046</v>
      </c>
      <c r="O38" s="173">
        <v>1.183895108625572</v>
      </c>
      <c r="P38" s="173">
        <v>10.17923705680146</v>
      </c>
      <c r="Q38" s="173">
        <v>17.216244074133204</v>
      </c>
      <c r="R38" s="173">
        <v>2.3694622631620494</v>
      </c>
      <c r="S38" s="173">
        <v>30.847498000000002</v>
      </c>
      <c r="T38" s="172">
        <v>0.15734604061775348</v>
      </c>
      <c r="U38" s="172">
        <v>2.9978650800531234E-2</v>
      </c>
      <c r="V38" s="172">
        <v>1.1233594701056575E-2</v>
      </c>
      <c r="W38" s="172">
        <v>0.11503777765214553</v>
      </c>
      <c r="X38" s="172">
        <v>5.8499602451247169E-2</v>
      </c>
      <c r="Y38" s="172">
        <v>0.84338213996999845</v>
      </c>
      <c r="Z38" s="172">
        <v>0.84338213996999845</v>
      </c>
      <c r="AA38" s="174">
        <v>6.858572865571802E-2</v>
      </c>
    </row>
    <row r="39" spans="1:27">
      <c r="A39" s="170" t="s">
        <v>824</v>
      </c>
      <c r="B39" s="171">
        <v>18</v>
      </c>
      <c r="C39" s="172">
        <v>0.1573</v>
      </c>
      <c r="D39" s="172">
        <v>0.21598234119080256</v>
      </c>
      <c r="E39" s="172">
        <v>3.6682308129760158E-2</v>
      </c>
      <c r="F39" s="172">
        <v>5.7241379310344835E-2</v>
      </c>
      <c r="G39" s="173">
        <v>0.50052544915350938</v>
      </c>
      <c r="H39" s="173">
        <v>1.130425266</v>
      </c>
      <c r="I39" s="172">
        <v>9.47474140178E-2</v>
      </c>
      <c r="J39" s="172">
        <v>0.71930256800000003</v>
      </c>
      <c r="K39" s="172">
        <v>6.4100000000000004E-2</v>
      </c>
      <c r="L39" s="172">
        <v>0.63791864194314463</v>
      </c>
      <c r="M39" s="172">
        <v>6.4974211051356839E-2</v>
      </c>
      <c r="N39" s="173">
        <v>0.1882582558306389</v>
      </c>
      <c r="O39" s="173">
        <v>6.3834981138408686</v>
      </c>
      <c r="P39" s="173">
        <v>11.304545504032925</v>
      </c>
      <c r="Q39" s="173">
        <v>31.905381263495403</v>
      </c>
      <c r="R39" s="173">
        <v>0.76045811451442613</v>
      </c>
      <c r="S39" s="173">
        <v>25.511222450000002</v>
      </c>
      <c r="T39" s="172">
        <v>-0.37543127021315381</v>
      </c>
      <c r="U39" s="172">
        <v>0.49500958753350577</v>
      </c>
      <c r="V39" s="172">
        <v>0.38159403354479288</v>
      </c>
      <c r="W39" s="172">
        <v>1.5993934098834703</v>
      </c>
      <c r="X39" s="172">
        <v>-0.11574516676108294</v>
      </c>
      <c r="Y39" s="172">
        <v>8.1832444000000002E-4</v>
      </c>
      <c r="Z39" s="172">
        <v>8.1832443999996229E-4</v>
      </c>
      <c r="AA39" s="174">
        <v>0.19738797017736939</v>
      </c>
    </row>
    <row r="40" spans="1:27">
      <c r="A40" s="170" t="s">
        <v>825</v>
      </c>
      <c r="B40" s="171">
        <v>218</v>
      </c>
      <c r="C40" s="172">
        <v>0.1460585714</v>
      </c>
      <c r="D40" s="172">
        <v>0.14812121552106344</v>
      </c>
      <c r="E40" s="172">
        <v>0.14710425697558768</v>
      </c>
      <c r="F40" s="172">
        <v>0.15966032970482166</v>
      </c>
      <c r="G40" s="173">
        <v>0.95808770462580028</v>
      </c>
      <c r="H40" s="173">
        <v>1.0145166999999999</v>
      </c>
      <c r="I40" s="172">
        <v>8.9728573109999987E-2</v>
      </c>
      <c r="J40" s="172">
        <v>0.674052859</v>
      </c>
      <c r="K40" s="172">
        <v>6.4100000000000004E-2</v>
      </c>
      <c r="L40" s="172">
        <v>0.11340902578772541</v>
      </c>
      <c r="M40" s="172">
        <v>8.5004681963017095E-2</v>
      </c>
      <c r="N40" s="173">
        <v>1.3345092640558633</v>
      </c>
      <c r="O40" s="173">
        <v>5.2006861468857064</v>
      </c>
      <c r="P40" s="173">
        <v>21.197595157045289</v>
      </c>
      <c r="Q40" s="173">
        <v>33.633724884042003</v>
      </c>
      <c r="R40" s="173">
        <v>4.7566125929737719</v>
      </c>
      <c r="S40" s="173">
        <v>45.251638499999999</v>
      </c>
      <c r="T40" s="172">
        <v>0.26694130053252635</v>
      </c>
      <c r="U40" s="172">
        <v>4.7980860988146495E-2</v>
      </c>
      <c r="V40" s="172">
        <v>4.5760403063886256E-2</v>
      </c>
      <c r="W40" s="172">
        <v>0.55462867571351782</v>
      </c>
      <c r="X40" s="172">
        <v>8.8810773130419129E-2</v>
      </c>
      <c r="Y40" s="172">
        <v>0.3580752216461151</v>
      </c>
      <c r="Z40" s="172">
        <v>0.35807522164611516</v>
      </c>
      <c r="AA40" s="174">
        <v>0.15146903608253789</v>
      </c>
    </row>
    <row r="41" spans="1:27">
      <c r="A41" s="170" t="s">
        <v>826</v>
      </c>
      <c r="B41" s="171">
        <v>113</v>
      </c>
      <c r="C41" s="172">
        <v>0.11339571429999999</v>
      </c>
      <c r="D41" s="172">
        <v>3.4369370202265159E-2</v>
      </c>
      <c r="E41" s="172">
        <v>0.44602956452982473</v>
      </c>
      <c r="F41" s="172">
        <v>0.23085871100828093</v>
      </c>
      <c r="G41" s="173">
        <v>0.81535000766413379</v>
      </c>
      <c r="H41" s="173">
        <v>0.94121293399999995</v>
      </c>
      <c r="I41" s="172">
        <v>8.6554520042199989E-2</v>
      </c>
      <c r="J41" s="172">
        <v>0.53996781900000002</v>
      </c>
      <c r="K41" s="172">
        <v>5.7800000000000004E-2</v>
      </c>
      <c r="L41" s="172">
        <v>0.24357689307995559</v>
      </c>
      <c r="M41" s="172">
        <v>7.603089728331025E-2</v>
      </c>
      <c r="N41" s="173">
        <v>14.649503528884146</v>
      </c>
      <c r="O41" s="173">
        <v>0.52599305157977083</v>
      </c>
      <c r="P41" s="173">
        <v>11.315758417060703</v>
      </c>
      <c r="Q41" s="173">
        <v>15.148910175226469</v>
      </c>
      <c r="R41" s="173">
        <v>2.8942971689889623</v>
      </c>
      <c r="S41" s="173">
        <v>38.829719060000002</v>
      </c>
      <c r="T41" s="172">
        <v>-6.9306453440280691E-2</v>
      </c>
      <c r="U41" s="172">
        <v>6.3339833947592033E-3</v>
      </c>
      <c r="V41" s="172">
        <v>7.4326015889880203E-3</v>
      </c>
      <c r="W41" s="172">
        <v>0.45953028085748876</v>
      </c>
      <c r="X41" s="172">
        <v>0.11660456386084155</v>
      </c>
      <c r="Y41" s="172">
        <v>0.42183664735852133</v>
      </c>
      <c r="Z41" s="172">
        <v>0.42183664735852133</v>
      </c>
      <c r="AA41" s="174">
        <v>3.427553986135274E-2</v>
      </c>
    </row>
    <row r="42" spans="1:27">
      <c r="A42" s="170" t="s">
        <v>827</v>
      </c>
      <c r="B42" s="171">
        <v>116</v>
      </c>
      <c r="C42" s="172">
        <v>0.14727999999999999</v>
      </c>
      <c r="D42" s="172">
        <v>0.1335229870447581</v>
      </c>
      <c r="E42" s="172">
        <v>0.12742981260508918</v>
      </c>
      <c r="F42" s="172">
        <v>0.16510959748334217</v>
      </c>
      <c r="G42" s="173">
        <v>1.1234093966584342</v>
      </c>
      <c r="H42" s="173">
        <v>1.222923714</v>
      </c>
      <c r="I42" s="172">
        <v>9.8752596816199995E-2</v>
      </c>
      <c r="J42" s="172">
        <v>0.64543812099999998</v>
      </c>
      <c r="K42" s="172">
        <v>5.7800000000000004E-2</v>
      </c>
      <c r="L42" s="172">
        <v>0.1393804567634771</v>
      </c>
      <c r="M42" s="172">
        <v>9.1030557566075282E-2</v>
      </c>
      <c r="N42" s="173">
        <v>1.2215732596318463</v>
      </c>
      <c r="O42" s="173">
        <v>5.3118895412282914</v>
      </c>
      <c r="P42" s="173">
        <v>22.011352240502131</v>
      </c>
      <c r="Q42" s="173">
        <v>38.617519944721025</v>
      </c>
      <c r="R42" s="173">
        <v>3.9295596305680238</v>
      </c>
      <c r="S42" s="173">
        <v>54.467380570000003</v>
      </c>
      <c r="T42" s="172">
        <v>0.23103514749487791</v>
      </c>
      <c r="U42" s="172">
        <v>4.0037161297227453E-2</v>
      </c>
      <c r="V42" s="172">
        <v>5.3782455461152928E-2</v>
      </c>
      <c r="W42" s="172">
        <v>0.38026780252615516</v>
      </c>
      <c r="X42" s="172">
        <v>3.9337638391684818E-2</v>
      </c>
      <c r="Y42" s="172">
        <v>0.25671826180887403</v>
      </c>
      <c r="Z42" s="172">
        <v>0.25671826180887403</v>
      </c>
      <c r="AA42" s="174">
        <v>0.13495449256441597</v>
      </c>
    </row>
    <row r="43" spans="1:27">
      <c r="A43" s="170" t="s">
        <v>301</v>
      </c>
      <c r="B43" s="171">
        <v>30</v>
      </c>
      <c r="C43" s="172">
        <v>9.0010909090000008E-2</v>
      </c>
      <c r="D43" s="172">
        <v>0.15524693667301681</v>
      </c>
      <c r="E43" s="172">
        <v>0.21045792739664068</v>
      </c>
      <c r="F43" s="172">
        <v>0.23178301071898474</v>
      </c>
      <c r="G43" s="173">
        <v>1.3762359491843439</v>
      </c>
      <c r="H43" s="173">
        <v>1.4274867099999999</v>
      </c>
      <c r="I43" s="172">
        <v>0.107610174543</v>
      </c>
      <c r="J43" s="172">
        <v>0.414320248</v>
      </c>
      <c r="K43" s="172">
        <v>5.5300000000000002E-2</v>
      </c>
      <c r="L43" s="172">
        <v>0.14894590395276014</v>
      </c>
      <c r="M43" s="172">
        <v>9.7759611187619291E-2</v>
      </c>
      <c r="N43" s="173">
        <v>1.6411183820582911</v>
      </c>
      <c r="O43" s="173">
        <v>1.2430969824286757</v>
      </c>
      <c r="P43" s="173">
        <v>7.6474289009448482</v>
      </c>
      <c r="Q43" s="173">
        <v>7.9742936724505444</v>
      </c>
      <c r="R43" s="173">
        <v>1.7480275947698287</v>
      </c>
      <c r="S43" s="173">
        <v>10.85248606</v>
      </c>
      <c r="T43" s="172">
        <v>0.63170581125646763</v>
      </c>
      <c r="U43" s="172">
        <v>5.7858922929052833E-3</v>
      </c>
      <c r="V43" s="172">
        <v>7.2897973513516611E-3</v>
      </c>
      <c r="W43" s="172">
        <v>0.51379466127995499</v>
      </c>
      <c r="X43" s="172">
        <v>0.20149423065772437</v>
      </c>
      <c r="Y43" s="172">
        <v>7.297285112579148E-2</v>
      </c>
      <c r="Z43" s="172">
        <v>7.2972851125791438E-2</v>
      </c>
      <c r="AA43" s="174">
        <v>0.15587402563467992</v>
      </c>
    </row>
    <row r="44" spans="1:27">
      <c r="A44" s="170" t="s">
        <v>828</v>
      </c>
      <c r="B44" s="171">
        <v>33</v>
      </c>
      <c r="C44" s="172">
        <v>1.566052632E-2</v>
      </c>
      <c r="D44" s="172">
        <v>0.12448735406100417</v>
      </c>
      <c r="E44" s="172">
        <v>0.21189861748431305</v>
      </c>
      <c r="F44" s="172">
        <v>0.22234896117336775</v>
      </c>
      <c r="G44" s="173">
        <v>0.56526133752473384</v>
      </c>
      <c r="H44" s="173">
        <v>0.85708161400000005</v>
      </c>
      <c r="I44" s="172">
        <v>8.2911633886200001E-2</v>
      </c>
      <c r="J44" s="172">
        <v>0.50809905899999996</v>
      </c>
      <c r="K44" s="172">
        <v>5.7800000000000004E-2</v>
      </c>
      <c r="L44" s="172">
        <v>0.43551540447634884</v>
      </c>
      <c r="M44" s="172">
        <v>6.5681932902506374E-2</v>
      </c>
      <c r="N44" s="173">
        <v>1.9243115204339636</v>
      </c>
      <c r="O44" s="173">
        <v>1.484022296092266</v>
      </c>
      <c r="P44" s="173">
        <v>8.1121464726340911</v>
      </c>
      <c r="Q44" s="173">
        <v>12.21014652807294</v>
      </c>
      <c r="R44" s="173">
        <v>4.2817270241798324</v>
      </c>
      <c r="S44" s="173">
        <v>19.903760009999999</v>
      </c>
      <c r="T44" s="172">
        <v>0.10773432975924571</v>
      </c>
      <c r="U44" s="172">
        <v>5.8403459825719671E-2</v>
      </c>
      <c r="V44" s="172">
        <v>2.9405357811535238E-2</v>
      </c>
      <c r="W44" s="172">
        <v>0.33957033590823871</v>
      </c>
      <c r="X44" s="172">
        <v>0.76100911879092092</v>
      </c>
      <c r="Y44" s="172">
        <v>0.23156761774438134</v>
      </c>
      <c r="Z44" s="172">
        <v>0.23156761774438128</v>
      </c>
      <c r="AA44" s="174">
        <v>0.12143678731352776</v>
      </c>
    </row>
    <row r="45" spans="1:27">
      <c r="A45" s="170" t="s">
        <v>302</v>
      </c>
      <c r="B45" s="171">
        <v>65</v>
      </c>
      <c r="C45" s="172">
        <v>0.11904536589999999</v>
      </c>
      <c r="D45" s="172">
        <v>0.18146969754607978</v>
      </c>
      <c r="E45" s="172">
        <v>0.12172347058770536</v>
      </c>
      <c r="F45" s="172">
        <v>0.14872131335374356</v>
      </c>
      <c r="G45" s="173">
        <v>0.95072144988934681</v>
      </c>
      <c r="H45" s="173">
        <v>1.193760779</v>
      </c>
      <c r="I45" s="172">
        <v>9.7489841730699994E-2</v>
      </c>
      <c r="J45" s="172">
        <v>0.45095328800000001</v>
      </c>
      <c r="K45" s="172">
        <v>5.7800000000000004E-2</v>
      </c>
      <c r="L45" s="172">
        <v>0.30173037284463239</v>
      </c>
      <c r="M45" s="172">
        <v>8.1154207099546488E-2</v>
      </c>
      <c r="N45" s="173">
        <v>0.97629779651195581</v>
      </c>
      <c r="O45" s="173">
        <v>4.2829604461317201</v>
      </c>
      <c r="P45" s="173">
        <v>15.417626243502292</v>
      </c>
      <c r="Q45" s="173">
        <v>28.231252598870075</v>
      </c>
      <c r="R45" s="173">
        <v>14.590953327578633</v>
      </c>
      <c r="S45" s="173">
        <v>33.744807559999998</v>
      </c>
      <c r="T45" s="172">
        <v>2.2883649863753179E-2</v>
      </c>
      <c r="U45" s="172">
        <v>7.7795834555208956E-2</v>
      </c>
      <c r="V45" s="172">
        <v>2.0250230278927431E-2</v>
      </c>
      <c r="W45" s="172">
        <v>0.2541720868564456</v>
      </c>
      <c r="X45" s="172">
        <v>0.42051076746422322</v>
      </c>
      <c r="Y45" s="172">
        <v>0.15158277264503262</v>
      </c>
      <c r="Z45" s="172">
        <v>0.15158277264503262</v>
      </c>
      <c r="AA45" s="174">
        <v>0.1490485912543498</v>
      </c>
    </row>
    <row r="46" spans="1:27">
      <c r="A46" s="170" t="s">
        <v>311</v>
      </c>
      <c r="B46" s="171">
        <v>101</v>
      </c>
      <c r="C46" s="172">
        <v>3.1504090910000004E-2</v>
      </c>
      <c r="D46" s="172">
        <v>0.18381524828445367</v>
      </c>
      <c r="E46" s="172">
        <v>0.33557667664941937</v>
      </c>
      <c r="F46" s="172">
        <v>0.2249200888022358</v>
      </c>
      <c r="G46" s="173">
        <v>0.82892968138835121</v>
      </c>
      <c r="H46" s="173">
        <v>0.89526497900000002</v>
      </c>
      <c r="I46" s="172">
        <v>8.4564973590700004E-2</v>
      </c>
      <c r="J46" s="172">
        <v>0.56670353699999998</v>
      </c>
      <c r="K46" s="172">
        <v>5.7800000000000004E-2</v>
      </c>
      <c r="L46" s="172">
        <v>0.1321202007981977</v>
      </c>
      <c r="M46" s="172">
        <v>7.91196430040043E-2</v>
      </c>
      <c r="N46" s="173">
        <v>2.2174325440773912</v>
      </c>
      <c r="O46" s="173">
        <v>3.5277078107468967</v>
      </c>
      <c r="P46" s="173">
        <v>15.311705988267818</v>
      </c>
      <c r="Q46" s="173">
        <v>18.971627471249754</v>
      </c>
      <c r="R46" s="173">
        <v>7.331355612163251</v>
      </c>
      <c r="S46" s="173">
        <v>32.173838099999998</v>
      </c>
      <c r="T46" s="172">
        <v>6.8959790546585215E-2</v>
      </c>
      <c r="U46" s="172">
        <v>3.5264087119431374E-2</v>
      </c>
      <c r="V46" s="172">
        <v>2.1758104872275021E-3</v>
      </c>
      <c r="W46" s="172">
        <v>1.2952164540033463E-2</v>
      </c>
      <c r="X46" s="172">
        <v>0.2624495610799743</v>
      </c>
      <c r="Y46" s="172">
        <v>0.73878638107484274</v>
      </c>
      <c r="Z46" s="172">
        <v>0.73878638107484274</v>
      </c>
      <c r="AA46" s="174">
        <v>0.18562429495005234</v>
      </c>
    </row>
    <row r="47" spans="1:27">
      <c r="A47" s="170" t="s">
        <v>829</v>
      </c>
      <c r="B47" s="171">
        <v>16</v>
      </c>
      <c r="C47" s="172">
        <v>2.5249999999999998E-2</v>
      </c>
      <c r="D47" s="172">
        <v>0.11538316523706287</v>
      </c>
      <c r="E47" s="172">
        <v>0.24548990546783805</v>
      </c>
      <c r="F47" s="172">
        <v>0.23243235864253148</v>
      </c>
      <c r="G47" s="173">
        <v>0.80315905452092262</v>
      </c>
      <c r="H47" s="173">
        <v>0.98448932499999997</v>
      </c>
      <c r="I47" s="172">
        <v>8.8428387772500006E-2</v>
      </c>
      <c r="J47" s="172">
        <v>0.39658065399999998</v>
      </c>
      <c r="K47" s="172">
        <v>5.5300000000000002E-2</v>
      </c>
      <c r="L47" s="172">
        <v>0.26126941661306691</v>
      </c>
      <c r="M47" s="172">
        <v>7.6160903541171818E-2</v>
      </c>
      <c r="N47" s="173">
        <v>2.7320131450914822</v>
      </c>
      <c r="O47" s="173">
        <v>2.2692123222760889</v>
      </c>
      <c r="P47" s="173">
        <v>11.747539906963985</v>
      </c>
      <c r="Q47" s="173">
        <v>18.678481750561183</v>
      </c>
      <c r="R47" s="173">
        <v>3.7266775487361254</v>
      </c>
      <c r="S47" s="173">
        <v>21.27761649</v>
      </c>
      <c r="T47" s="172">
        <v>0.16870250399329484</v>
      </c>
      <c r="U47" s="172">
        <v>2.0095380515778288E-2</v>
      </c>
      <c r="V47" s="172">
        <v>3.7257759220243887E-2</v>
      </c>
      <c r="W47" s="172">
        <v>0.44710104163213887</v>
      </c>
      <c r="X47" s="172">
        <v>0.15903366676862801</v>
      </c>
      <c r="Y47" s="172">
        <v>0.34174987723031597</v>
      </c>
      <c r="Z47" s="172">
        <v>0.34174987723031602</v>
      </c>
      <c r="AA47" s="174">
        <v>0.12244160335564143</v>
      </c>
    </row>
    <row r="48" spans="1:27">
      <c r="A48" s="170" t="s">
        <v>830</v>
      </c>
      <c r="B48" s="171">
        <v>22</v>
      </c>
      <c r="C48" s="172">
        <v>0.12980249999999999</v>
      </c>
      <c r="D48" s="172">
        <v>0.16431072926981199</v>
      </c>
      <c r="E48" s="172">
        <v>0.17446771472463615</v>
      </c>
      <c r="F48" s="172">
        <v>0.16954804866527337</v>
      </c>
      <c r="G48" s="173">
        <v>0.68968266412365709</v>
      </c>
      <c r="H48" s="173">
        <v>0.76036446899999999</v>
      </c>
      <c r="I48" s="172">
        <v>7.87237815077E-2</v>
      </c>
      <c r="J48" s="172">
        <v>0.51007178200000003</v>
      </c>
      <c r="K48" s="172">
        <v>5.7800000000000004E-2</v>
      </c>
      <c r="L48" s="172">
        <v>0.14787928662976846</v>
      </c>
      <c r="M48" s="172">
        <v>7.3492731932944033E-2</v>
      </c>
      <c r="N48" s="173">
        <v>1.1641427939095834</v>
      </c>
      <c r="O48" s="173">
        <v>3.1145339415711861</v>
      </c>
      <c r="P48" s="173">
        <v>13.017606684305473</v>
      </c>
      <c r="Q48" s="173">
        <v>18.82666484490262</v>
      </c>
      <c r="R48" s="173">
        <v>3.0936129105054291</v>
      </c>
      <c r="S48" s="173">
        <v>58.243583919999999</v>
      </c>
      <c r="T48" s="172">
        <v>-0.10194221183914387</v>
      </c>
      <c r="U48" s="172">
        <v>7.5406225186431097E-3</v>
      </c>
      <c r="V48" s="172">
        <v>4.719125790251846E-3</v>
      </c>
      <c r="W48" s="172">
        <v>0.24090411691201394</v>
      </c>
      <c r="X48" s="172">
        <v>5.6253148628835681E-2</v>
      </c>
      <c r="Y48" s="172">
        <v>0.83522966291006751</v>
      </c>
      <c r="Z48" s="172">
        <v>0.83522966291006751</v>
      </c>
      <c r="AA48" s="174">
        <v>0.16494256638950247</v>
      </c>
    </row>
    <row r="49" spans="1:27">
      <c r="A49" s="170" t="s">
        <v>220</v>
      </c>
      <c r="B49" s="171">
        <v>19</v>
      </c>
      <c r="C49" s="172">
        <v>3.7047333330000001E-2</v>
      </c>
      <c r="D49" s="172">
        <v>8.2066576475170308E-2</v>
      </c>
      <c r="E49" s="172">
        <v>6.9645057867869176E-2</v>
      </c>
      <c r="F49" s="172">
        <v>0.21271817055092468</v>
      </c>
      <c r="G49" s="173">
        <v>0.62053481109568231</v>
      </c>
      <c r="H49" s="173">
        <v>0.73167226200000002</v>
      </c>
      <c r="I49" s="172">
        <v>7.7481408944599997E-2</v>
      </c>
      <c r="J49" s="172">
        <v>0.343126708</v>
      </c>
      <c r="K49" s="172">
        <v>5.5300000000000002E-2</v>
      </c>
      <c r="L49" s="172">
        <v>0.38547717601130227</v>
      </c>
      <c r="M49" s="172">
        <v>6.3601760106327496E-2</v>
      </c>
      <c r="N49" s="173">
        <v>0.98725425630591079</v>
      </c>
      <c r="O49" s="173">
        <v>1.2376599868418128</v>
      </c>
      <c r="P49" s="173">
        <v>11.698376152776595</v>
      </c>
      <c r="Q49" s="173">
        <v>14.398949767417532</v>
      </c>
      <c r="R49" s="173">
        <v>1.5262221547976622</v>
      </c>
      <c r="S49" s="173">
        <v>46.464030950000001</v>
      </c>
      <c r="T49" s="172">
        <v>0.20134002715625879</v>
      </c>
      <c r="U49" s="172">
        <v>1.602865652273081E-3</v>
      </c>
      <c r="V49" s="172">
        <v>-1.1900991639857614E-2</v>
      </c>
      <c r="W49" s="172">
        <v>-1.2846672585224567E-2</v>
      </c>
      <c r="X49" s="172">
        <v>0.11889819319599934</v>
      </c>
      <c r="Y49" s="172">
        <v>0.41553641065353875</v>
      </c>
      <c r="Z49" s="172">
        <v>0.41553641065353875</v>
      </c>
      <c r="AA49" s="174">
        <v>8.2514509207025716E-2</v>
      </c>
    </row>
    <row r="50" spans="1:27">
      <c r="A50" s="170" t="s">
        <v>831</v>
      </c>
      <c r="B50" s="171">
        <v>53</v>
      </c>
      <c r="C50" s="172">
        <v>9.1218666670000004E-2</v>
      </c>
      <c r="D50" s="172">
        <v>0.13631717261708118</v>
      </c>
      <c r="E50" s="172">
        <v>0.21986027180636247</v>
      </c>
      <c r="F50" s="172">
        <v>0.20317549016972772</v>
      </c>
      <c r="G50" s="173">
        <v>0.56901977161257522</v>
      </c>
      <c r="H50" s="173">
        <v>0.60566358099999995</v>
      </c>
      <c r="I50" s="172">
        <v>7.2025233057299992E-2</v>
      </c>
      <c r="J50" s="172">
        <v>0.33688354599999998</v>
      </c>
      <c r="K50" s="172">
        <v>5.5300000000000002E-2</v>
      </c>
      <c r="L50" s="172">
        <v>0.13391402267010999</v>
      </c>
      <c r="M50" s="172">
        <v>6.7934128455087575E-2</v>
      </c>
      <c r="N50" s="173">
        <v>1.9113389894888644</v>
      </c>
      <c r="O50" s="173">
        <v>1.5092144680220723</v>
      </c>
      <c r="P50" s="173">
        <v>10.216278469520937</v>
      </c>
      <c r="Q50" s="173">
        <v>10.963945562667854</v>
      </c>
      <c r="R50" s="173">
        <v>2.332330037266932</v>
      </c>
      <c r="S50" s="173">
        <v>16.589025759999998</v>
      </c>
      <c r="T50" s="172">
        <v>-0.38805051280630365</v>
      </c>
      <c r="U50" s="172">
        <v>7.6276047938650801E-3</v>
      </c>
      <c r="V50" s="172">
        <v>6.1452887252948212E-3</v>
      </c>
      <c r="W50" s="172">
        <v>0.22655292465289151</v>
      </c>
      <c r="X50" s="172">
        <v>0.22604897277800795</v>
      </c>
      <c r="Y50" s="172">
        <v>0.16875745077000159</v>
      </c>
      <c r="Z50" s="172">
        <v>0.16875745077000159</v>
      </c>
      <c r="AA50" s="174">
        <v>0.13702141254052255</v>
      </c>
    </row>
    <row r="51" spans="1:27">
      <c r="A51" s="170" t="s">
        <v>832</v>
      </c>
      <c r="B51" s="171">
        <v>231</v>
      </c>
      <c r="C51" s="172">
        <v>8.3659454549999998E-2</v>
      </c>
      <c r="D51" s="172">
        <v>0.1448782157009349</v>
      </c>
      <c r="E51" s="172">
        <v>6.7976860127936675E-2</v>
      </c>
      <c r="F51" s="172">
        <v>0.18718662032410249</v>
      </c>
      <c r="G51" s="173">
        <v>0.49932623482699845</v>
      </c>
      <c r="H51" s="173">
        <v>0.56713615500000003</v>
      </c>
      <c r="I51" s="172">
        <v>7.0356995511500001E-2</v>
      </c>
      <c r="J51" s="172">
        <v>0.22941033299999999</v>
      </c>
      <c r="K51" s="172">
        <v>5.0799999999999998E-2</v>
      </c>
      <c r="L51" s="172">
        <v>0.25950157646332855</v>
      </c>
      <c r="M51" s="172">
        <v>6.1986254324295234E-2</v>
      </c>
      <c r="N51" s="173">
        <v>0.51654500449476859</v>
      </c>
      <c r="O51" s="173">
        <v>6.0123897466073668</v>
      </c>
      <c r="P51" s="173">
        <v>41.40436735972429</v>
      </c>
      <c r="Q51" s="173">
        <v>41.450814316315054</v>
      </c>
      <c r="R51" s="173">
        <v>2.5278122168665753</v>
      </c>
      <c r="S51" s="173">
        <v>56.097872019999997</v>
      </c>
      <c r="T51" s="172" t="s">
        <v>285</v>
      </c>
      <c r="U51" s="172">
        <v>2.4697760708194686E-2</v>
      </c>
      <c r="V51" s="172">
        <v>5.4996961891315664E-2</v>
      </c>
      <c r="W51" s="172">
        <v>0.48858293195856894</v>
      </c>
      <c r="X51" s="172">
        <v>0.13317232180589358</v>
      </c>
      <c r="Y51" s="172">
        <v>0.59629398888992691</v>
      </c>
      <c r="Z51" s="172">
        <v>0.59629398888992691</v>
      </c>
      <c r="AA51" s="174">
        <v>0.14125835342517715</v>
      </c>
    </row>
    <row r="52" spans="1:27">
      <c r="A52" s="170" t="s">
        <v>130</v>
      </c>
      <c r="B52" s="171">
        <v>109</v>
      </c>
      <c r="C52" s="172">
        <v>6.2251029410000006E-2</v>
      </c>
      <c r="D52" s="172">
        <v>0.1578997061601933</v>
      </c>
      <c r="E52" s="172">
        <v>0.24758722695935681</v>
      </c>
      <c r="F52" s="172">
        <v>0.21009485897951116</v>
      </c>
      <c r="G52" s="173">
        <v>0.98352420992502732</v>
      </c>
      <c r="H52" s="173">
        <v>1.067242281</v>
      </c>
      <c r="I52" s="172">
        <v>9.2011590767300006E-2</v>
      </c>
      <c r="J52" s="172">
        <v>0.46073330099999998</v>
      </c>
      <c r="K52" s="172">
        <v>5.7800000000000004E-2</v>
      </c>
      <c r="L52" s="172">
        <v>0.13568778466035222</v>
      </c>
      <c r="M52" s="172">
        <v>8.540880731803642E-2</v>
      </c>
      <c r="N52" s="173">
        <v>1.9682598139763747</v>
      </c>
      <c r="O52" s="173">
        <v>3.2279049143312166</v>
      </c>
      <c r="P52" s="173">
        <v>15.350424128173863</v>
      </c>
      <c r="Q52" s="173">
        <v>20.022926217249612</v>
      </c>
      <c r="R52" s="173">
        <v>4.2734116125109471</v>
      </c>
      <c r="S52" s="173">
        <v>33.326767439999998</v>
      </c>
      <c r="T52" s="172">
        <v>0.25444086633490209</v>
      </c>
      <c r="U52" s="172">
        <v>2.385872521610842E-2</v>
      </c>
      <c r="V52" s="172">
        <v>5.0323075010880923E-2</v>
      </c>
      <c r="W52" s="172">
        <v>0.35902577677855047</v>
      </c>
      <c r="X52" s="172">
        <v>0.16564120986417863</v>
      </c>
      <c r="Y52" s="172">
        <v>0.34237039342996284</v>
      </c>
      <c r="Z52" s="172">
        <v>0.34237039342996289</v>
      </c>
      <c r="AA52" s="174">
        <v>0.15989798855104875</v>
      </c>
    </row>
    <row r="53" spans="1:27">
      <c r="A53" s="170" t="s">
        <v>833</v>
      </c>
      <c r="B53" s="171">
        <v>64</v>
      </c>
      <c r="C53" s="172">
        <v>1.841384615E-2</v>
      </c>
      <c r="D53" s="172">
        <v>0.22622928199945197</v>
      </c>
      <c r="E53" s="172">
        <v>0.27131917252639576</v>
      </c>
      <c r="F53" s="172">
        <v>0.36243196321321319</v>
      </c>
      <c r="G53" s="173">
        <v>0.96159826943114413</v>
      </c>
      <c r="H53" s="173">
        <v>1.022250551</v>
      </c>
      <c r="I53" s="172">
        <v>9.0063448858300005E-2</v>
      </c>
      <c r="J53" s="172">
        <v>0.72372346399999998</v>
      </c>
      <c r="K53" s="172">
        <v>6.4100000000000004E-2</v>
      </c>
      <c r="L53" s="172">
        <v>0.14354306825231161</v>
      </c>
      <c r="M53" s="172">
        <v>8.4036298078024346E-2</v>
      </c>
      <c r="N53" s="173">
        <v>1.2286156999263649</v>
      </c>
      <c r="O53" s="173">
        <v>2.8868180554956622</v>
      </c>
      <c r="P53" s="173">
        <v>8.6804332288435297</v>
      </c>
      <c r="Q53" s="173">
        <v>12.272594960246712</v>
      </c>
      <c r="R53" s="173">
        <v>3.1156411055280255</v>
      </c>
      <c r="S53" s="173">
        <v>74.863843669999994</v>
      </c>
      <c r="T53" s="172">
        <v>0.16545695284640777</v>
      </c>
      <c r="U53" s="172">
        <v>0.13377770985457035</v>
      </c>
      <c r="V53" s="172">
        <v>5.8526633659342263E-2</v>
      </c>
      <c r="W53" s="172">
        <v>0.57078145905421618</v>
      </c>
      <c r="X53" s="172">
        <v>0.12502993777199908</v>
      </c>
      <c r="Y53" s="172">
        <v>0.6906320072824792</v>
      </c>
      <c r="Z53" s="172">
        <v>0.6906320072824792</v>
      </c>
      <c r="AA53" s="174">
        <v>0.22647118253788354</v>
      </c>
    </row>
    <row r="54" spans="1:27">
      <c r="A54" s="170" t="s">
        <v>834</v>
      </c>
      <c r="B54" s="171">
        <v>14</v>
      </c>
      <c r="C54" s="172">
        <v>0.1414766667</v>
      </c>
      <c r="D54" s="172">
        <v>8.166045516693865E-2</v>
      </c>
      <c r="E54" s="172">
        <v>0.15003946621251396</v>
      </c>
      <c r="F54" s="172">
        <v>0.21647969820311724</v>
      </c>
      <c r="G54" s="173">
        <v>0.96381439719057094</v>
      </c>
      <c r="H54" s="173">
        <v>1.2004955909999999</v>
      </c>
      <c r="I54" s="172">
        <v>9.7781459090300005E-2</v>
      </c>
      <c r="J54" s="172">
        <v>0.49892003800000001</v>
      </c>
      <c r="K54" s="172">
        <v>5.7800000000000004E-2</v>
      </c>
      <c r="L54" s="172">
        <v>0.31743720141192583</v>
      </c>
      <c r="M54" s="172">
        <v>8.050288904790745E-2</v>
      </c>
      <c r="N54" s="173">
        <v>2.3287714864040083</v>
      </c>
      <c r="O54" s="173">
        <v>1.2000344991840515</v>
      </c>
      <c r="P54" s="173">
        <v>8.7653944889597302</v>
      </c>
      <c r="Q54" s="173">
        <v>14.162061901038948</v>
      </c>
      <c r="R54" s="173">
        <v>2.8565260458936685</v>
      </c>
      <c r="S54" s="173">
        <v>14.811538349999999</v>
      </c>
      <c r="T54" s="172">
        <v>6.5899803731310352E-2</v>
      </c>
      <c r="U54" s="172">
        <v>2.1693864949499403E-2</v>
      </c>
      <c r="V54" s="172">
        <v>-2.2258743880386308E-3</v>
      </c>
      <c r="W54" s="172">
        <v>-0.22156951066114761</v>
      </c>
      <c r="X54" s="172">
        <v>3.3707708162302841E-2</v>
      </c>
      <c r="Y54" s="172">
        <v>2.0125919784433619</v>
      </c>
      <c r="Z54" s="172">
        <v>2.0125919784433619</v>
      </c>
      <c r="AA54" s="174">
        <v>8.4755857628015699E-2</v>
      </c>
    </row>
    <row r="55" spans="1:27">
      <c r="A55" s="170" t="s">
        <v>835</v>
      </c>
      <c r="B55" s="171">
        <v>4</v>
      </c>
      <c r="C55" s="172">
        <v>1.9500000000000001E-3</v>
      </c>
      <c r="D55" s="172">
        <v>0.13434037495005738</v>
      </c>
      <c r="E55" s="172">
        <v>0.12903399917583033</v>
      </c>
      <c r="F55" s="172">
        <v>0.30257394807397847</v>
      </c>
      <c r="G55" s="173">
        <v>0.45577993390039784</v>
      </c>
      <c r="H55" s="173">
        <v>0.483682004</v>
      </c>
      <c r="I55" s="172">
        <v>6.6743430773199997E-2</v>
      </c>
      <c r="J55" s="172">
        <v>0.25559529800000003</v>
      </c>
      <c r="K55" s="172">
        <v>5.0799999999999998E-2</v>
      </c>
      <c r="L55" s="172">
        <v>0.12058731670495794</v>
      </c>
      <c r="M55" s="172">
        <v>6.3289396315035593E-2</v>
      </c>
      <c r="N55" s="173">
        <v>1.2679674608622964</v>
      </c>
      <c r="O55" s="173">
        <v>1.5157081668506258</v>
      </c>
      <c r="P55" s="173">
        <v>6.6954772325457128</v>
      </c>
      <c r="Q55" s="173">
        <v>11.055014607556419</v>
      </c>
      <c r="R55" s="173">
        <v>1.6638981685489767</v>
      </c>
      <c r="S55" s="173">
        <v>10.826689849999999</v>
      </c>
      <c r="T55" s="172">
        <v>3.6147155346375519E-2</v>
      </c>
      <c r="U55" s="172">
        <v>8.3827163191515022E-2</v>
      </c>
      <c r="V55" s="172">
        <v>1.9303910862444831E-2</v>
      </c>
      <c r="W55" s="172">
        <v>0.28275163660496072</v>
      </c>
      <c r="X55" s="172">
        <v>0.14204315331349052</v>
      </c>
      <c r="Y55" s="172">
        <v>0.52371705899500776</v>
      </c>
      <c r="Z55" s="172">
        <v>0.52371705899500776</v>
      </c>
      <c r="AA55" s="174">
        <v>0.13718197508137822</v>
      </c>
    </row>
    <row r="56" spans="1:27">
      <c r="A56" s="170" t="s">
        <v>836</v>
      </c>
      <c r="B56" s="171">
        <v>147</v>
      </c>
      <c r="C56" s="172">
        <v>5.3528533329999996E-2</v>
      </c>
      <c r="D56" s="172">
        <v>0.29540457886334792</v>
      </c>
      <c r="E56" s="172">
        <v>0.18619988925264025</v>
      </c>
      <c r="F56" s="172">
        <v>0.23663744833137312</v>
      </c>
      <c r="G56" s="173">
        <v>0.75453510317064021</v>
      </c>
      <c r="H56" s="173">
        <v>0.87592934300000003</v>
      </c>
      <c r="I56" s="172">
        <v>8.3727740551899993E-2</v>
      </c>
      <c r="J56" s="172">
        <v>0.47658850899999999</v>
      </c>
      <c r="K56" s="172">
        <v>5.7800000000000004E-2</v>
      </c>
      <c r="L56" s="172">
        <v>0.21040224261825277</v>
      </c>
      <c r="M56" s="172">
        <v>7.5232173387922263E-2</v>
      </c>
      <c r="N56" s="173">
        <v>0.66742412364620984</v>
      </c>
      <c r="O56" s="173">
        <v>3.0772339511498918</v>
      </c>
      <c r="P56" s="173">
        <v>5.6022672667766793</v>
      </c>
      <c r="Q56" s="173">
        <v>10.139033098061212</v>
      </c>
      <c r="R56" s="173">
        <v>1.7398879827728644</v>
      </c>
      <c r="S56" s="173">
        <v>19.102466379999999</v>
      </c>
      <c r="T56" s="172">
        <v>1.525015817993553E-2</v>
      </c>
      <c r="U56" s="172">
        <v>0.36742825347942487</v>
      </c>
      <c r="V56" s="172">
        <v>0.17944803046179625</v>
      </c>
      <c r="W56" s="172">
        <v>0.7439264567808016</v>
      </c>
      <c r="X56" s="172">
        <v>0.17604362804614881</v>
      </c>
      <c r="Y56" s="172">
        <v>0.37632510223138121</v>
      </c>
      <c r="Z56" s="172">
        <v>0.37632510223138116</v>
      </c>
      <c r="AA56" s="174">
        <v>0.30063890334636889</v>
      </c>
    </row>
    <row r="57" spans="1:27">
      <c r="A57" s="170" t="s">
        <v>837</v>
      </c>
      <c r="B57" s="171">
        <v>24</v>
      </c>
      <c r="C57" s="172">
        <v>0.19872066669999999</v>
      </c>
      <c r="D57" s="172">
        <v>0.28061578928224551</v>
      </c>
      <c r="E57" s="172">
        <v>0.12176139467315485</v>
      </c>
      <c r="F57" s="172">
        <v>0.19723763310080308</v>
      </c>
      <c r="G57" s="173">
        <v>0.55077587469188671</v>
      </c>
      <c r="H57" s="173">
        <v>0.75470750399999997</v>
      </c>
      <c r="I57" s="172">
        <v>7.84788349232E-2</v>
      </c>
      <c r="J57" s="172">
        <v>0.38174150099999998</v>
      </c>
      <c r="K57" s="172">
        <v>5.5300000000000002E-2</v>
      </c>
      <c r="L57" s="172">
        <v>0.3401007614865949</v>
      </c>
      <c r="M57" s="172">
        <v>6.589380248789542E-2</v>
      </c>
      <c r="N57" s="173">
        <v>0.48899530900155047</v>
      </c>
      <c r="O57" s="173">
        <v>4.9810847118535468</v>
      </c>
      <c r="P57" s="173">
        <v>12.164142478812128</v>
      </c>
      <c r="Q57" s="173">
        <v>17.299809367733541</v>
      </c>
      <c r="R57" s="173">
        <v>3.211874642531892</v>
      </c>
      <c r="S57" s="173">
        <v>27.817916820000001</v>
      </c>
      <c r="T57" s="172">
        <v>2.868263015219864E-2</v>
      </c>
      <c r="U57" s="172">
        <v>0.22848825007987825</v>
      </c>
      <c r="V57" s="172">
        <v>0.15403105351560173</v>
      </c>
      <c r="W57" s="172">
        <v>0.64754026262183595</v>
      </c>
      <c r="X57" s="172">
        <v>0.19746512839297931</v>
      </c>
      <c r="Y57" s="172">
        <v>0.60725117202828571</v>
      </c>
      <c r="Z57" s="172">
        <v>0.60725117202828571</v>
      </c>
      <c r="AA57" s="174">
        <v>0.2845553222334854</v>
      </c>
    </row>
    <row r="58" spans="1:27">
      <c r="A58" s="170" t="s">
        <v>838</v>
      </c>
      <c r="B58" s="171">
        <v>97</v>
      </c>
      <c r="C58" s="172">
        <v>5.2465846149999995E-2</v>
      </c>
      <c r="D58" s="172">
        <v>4.9926820918323088E-2</v>
      </c>
      <c r="E58" s="172">
        <v>0.14367131620333529</v>
      </c>
      <c r="F58" s="172">
        <v>0.19763425933334403</v>
      </c>
      <c r="G58" s="173">
        <v>0.77777932950382456</v>
      </c>
      <c r="H58" s="173">
        <v>0.93760052400000005</v>
      </c>
      <c r="I58" s="172">
        <v>8.6398102689200007E-2</v>
      </c>
      <c r="J58" s="172">
        <v>0.49488387099999998</v>
      </c>
      <c r="K58" s="172">
        <v>5.7800000000000004E-2</v>
      </c>
      <c r="L58" s="172">
        <v>0.27810053473826807</v>
      </c>
      <c r="M58" s="172">
        <v>7.4426402311865605E-2</v>
      </c>
      <c r="N58" s="173">
        <v>3.1319386393409379</v>
      </c>
      <c r="O58" s="173">
        <v>0.60728360169965301</v>
      </c>
      <c r="P58" s="173">
        <v>7.350017313645032</v>
      </c>
      <c r="Q58" s="173">
        <v>11.6967200492003</v>
      </c>
      <c r="R58" s="173">
        <v>1.7462429767106171</v>
      </c>
      <c r="S58" s="173">
        <v>29.32508777</v>
      </c>
      <c r="T58" s="172">
        <v>7.5072931207575397E-2</v>
      </c>
      <c r="U58" s="172">
        <v>2.3850466821433901E-2</v>
      </c>
      <c r="V58" s="172">
        <v>2.0219680375014736E-3</v>
      </c>
      <c r="W58" s="172">
        <v>-1.4857775028803821E-2</v>
      </c>
      <c r="X58" s="172">
        <v>0.1326556225567935</v>
      </c>
      <c r="Y58" s="172">
        <v>0.38724444311932582</v>
      </c>
      <c r="Z58" s="172">
        <v>0.38724444311932582</v>
      </c>
      <c r="AA58" s="174">
        <v>5.1850059441040409E-2</v>
      </c>
    </row>
    <row r="59" spans="1:27">
      <c r="A59" s="170" t="s">
        <v>296</v>
      </c>
      <c r="B59" s="171">
        <v>22</v>
      </c>
      <c r="C59" s="172">
        <v>4.0221666669999996E-2</v>
      </c>
      <c r="D59" s="172">
        <v>9.7903437143711455E-2</v>
      </c>
      <c r="E59" s="172">
        <v>0.14486486031209506</v>
      </c>
      <c r="F59" s="172">
        <v>0.21399991291817783</v>
      </c>
      <c r="G59" s="173">
        <v>0.73835419244663636</v>
      </c>
      <c r="H59" s="173">
        <v>0.97636341000000004</v>
      </c>
      <c r="I59" s="172">
        <v>8.8076535652999999E-2</v>
      </c>
      <c r="J59" s="172">
        <v>0.33975428099999999</v>
      </c>
      <c r="K59" s="172">
        <v>5.5300000000000002E-2</v>
      </c>
      <c r="L59" s="172">
        <v>0.34603581300700131</v>
      </c>
      <c r="M59" s="172">
        <v>7.1950735375939379E-2</v>
      </c>
      <c r="N59" s="173">
        <v>1.7435134987048067</v>
      </c>
      <c r="O59" s="173">
        <v>1.540926439760242</v>
      </c>
      <c r="P59" s="173">
        <v>9.4579270007053786</v>
      </c>
      <c r="Q59" s="173">
        <v>15.428794145134688</v>
      </c>
      <c r="R59" s="173">
        <v>2.8490476810337748</v>
      </c>
      <c r="S59" s="173">
        <v>26.098450320000001</v>
      </c>
      <c r="T59" s="172">
        <v>0.10248734884452107</v>
      </c>
      <c r="U59" s="172">
        <v>5.6274025040576887E-2</v>
      </c>
      <c r="V59" s="172">
        <v>1.6203867343771897E-2</v>
      </c>
      <c r="W59" s="172">
        <v>0.14127571050488755</v>
      </c>
      <c r="X59" s="172">
        <v>0.20757287742616085</v>
      </c>
      <c r="Y59" s="172">
        <v>0.32348788287142144</v>
      </c>
      <c r="Z59" s="172">
        <v>0.32348788287142138</v>
      </c>
      <c r="AA59" s="174">
        <v>9.9785230986397119E-2</v>
      </c>
    </row>
    <row r="60" spans="1:27">
      <c r="A60" s="170" t="s">
        <v>839</v>
      </c>
      <c r="B60" s="171">
        <v>6</v>
      </c>
      <c r="C60" s="172">
        <v>4.5350000000000001E-2</v>
      </c>
      <c r="D60" s="172">
        <v>0.10131943754571975</v>
      </c>
      <c r="E60" s="172">
        <v>0.19419479914040808</v>
      </c>
      <c r="F60" s="172">
        <v>0.25599916168919629</v>
      </c>
      <c r="G60" s="173">
        <v>0.95888221173289889</v>
      </c>
      <c r="H60" s="173">
        <v>1.0717410300000001</v>
      </c>
      <c r="I60" s="172">
        <v>9.2206386599000004E-2</v>
      </c>
      <c r="J60" s="172">
        <v>0.60657457599999998</v>
      </c>
      <c r="K60" s="172">
        <v>5.7800000000000004E-2</v>
      </c>
      <c r="L60" s="172">
        <v>0.18411329851970282</v>
      </c>
      <c r="M60" s="172">
        <v>8.3211276108504303E-2</v>
      </c>
      <c r="N60" s="173">
        <v>2.474249268999992</v>
      </c>
      <c r="O60" s="173">
        <v>1.2326955404636546</v>
      </c>
      <c r="P60" s="173">
        <v>7.8733524372656474</v>
      </c>
      <c r="Q60" s="173">
        <v>11.956087664450166</v>
      </c>
      <c r="R60" s="173">
        <v>3.5653256212510716</v>
      </c>
      <c r="S60" s="173">
        <v>23.336023319999999</v>
      </c>
      <c r="T60" s="172">
        <v>8.1604638351290101E-2</v>
      </c>
      <c r="U60" s="172">
        <v>5.3265178950410462E-2</v>
      </c>
      <c r="V60" s="172">
        <v>7.8687606679370345E-2</v>
      </c>
      <c r="W60" s="172">
        <v>0.82134475104122406</v>
      </c>
      <c r="X60" s="172">
        <v>0.24202243428762765</v>
      </c>
      <c r="Y60" s="172">
        <v>0.19507470946319869</v>
      </c>
      <c r="Z60" s="172">
        <v>0.19507470946319871</v>
      </c>
      <c r="AA60" s="174">
        <v>0.10331066929169413</v>
      </c>
    </row>
    <row r="61" spans="1:27">
      <c r="A61" s="170" t="s">
        <v>840</v>
      </c>
      <c r="B61" s="171">
        <v>48</v>
      </c>
      <c r="C61" s="172">
        <v>5.0618571430000002E-2</v>
      </c>
      <c r="D61" s="172">
        <v>0.19751182991756608</v>
      </c>
      <c r="E61" s="172">
        <v>6.5649115482740619E-2</v>
      </c>
      <c r="F61" s="172">
        <v>0.13258131129564985</v>
      </c>
      <c r="G61" s="173">
        <v>0.34271383434382569</v>
      </c>
      <c r="H61" s="173">
        <v>0.54234862699999997</v>
      </c>
      <c r="I61" s="172">
        <v>6.9283695549099994E-2</v>
      </c>
      <c r="J61" s="172">
        <v>0.273142734</v>
      </c>
      <c r="K61" s="172">
        <v>5.0799999999999998E-2</v>
      </c>
      <c r="L61" s="172">
        <v>0.44547961779880552</v>
      </c>
      <c r="M61" s="172">
        <v>5.5391994774332612E-2</v>
      </c>
      <c r="N61" s="173">
        <v>0.38012046475085931</v>
      </c>
      <c r="O61" s="173">
        <v>4.3250130953882344</v>
      </c>
      <c r="P61" s="173">
        <v>11.873306592314158</v>
      </c>
      <c r="Q61" s="173">
        <v>21.890159750197203</v>
      </c>
      <c r="R61" s="173">
        <v>2.0734129735480149</v>
      </c>
      <c r="S61" s="173">
        <v>23.26783271</v>
      </c>
      <c r="T61" s="172">
        <v>8.0326096407095551E-2</v>
      </c>
      <c r="U61" s="172">
        <v>0.36491878424297458</v>
      </c>
      <c r="V61" s="172">
        <v>0.2357328538153427</v>
      </c>
      <c r="W61" s="172">
        <v>1.4296025076573129</v>
      </c>
      <c r="X61" s="172">
        <v>0.11130193260347093</v>
      </c>
      <c r="Y61" s="172">
        <v>0.55463775111782598</v>
      </c>
      <c r="Z61" s="172">
        <v>0.55463775111782598</v>
      </c>
      <c r="AA61" s="174">
        <v>0.1967316783998681</v>
      </c>
    </row>
    <row r="62" spans="1:27">
      <c r="A62" s="170" t="s">
        <v>841</v>
      </c>
      <c r="B62" s="171">
        <v>60</v>
      </c>
      <c r="C62" s="172">
        <v>4.4699999999999997E-2</v>
      </c>
      <c r="D62" s="172">
        <v>0.18829183593579835</v>
      </c>
      <c r="E62" s="172">
        <v>0.12926868423010329</v>
      </c>
      <c r="F62" s="172">
        <v>0.42903313031945711</v>
      </c>
      <c r="G62" s="173">
        <v>1.1452183128750493</v>
      </c>
      <c r="H62" s="173">
        <v>1.2283147759999999</v>
      </c>
      <c r="I62" s="172">
        <v>9.8986029800799999E-2</v>
      </c>
      <c r="J62" s="172">
        <v>0.70971951600000005</v>
      </c>
      <c r="K62" s="172">
        <v>6.4100000000000004E-2</v>
      </c>
      <c r="L62" s="172">
        <v>0.15894994616948027</v>
      </c>
      <c r="M62" s="172">
        <v>9.0893724354530026E-2</v>
      </c>
      <c r="N62" s="173">
        <v>0.70928300476283024</v>
      </c>
      <c r="O62" s="173">
        <v>3.0618240426997394</v>
      </c>
      <c r="P62" s="173">
        <v>8.167722151394198</v>
      </c>
      <c r="Q62" s="173">
        <v>15.627358292343562</v>
      </c>
      <c r="R62" s="173">
        <v>1.6107917556952125</v>
      </c>
      <c r="S62" s="173">
        <v>28.220424950000002</v>
      </c>
      <c r="T62" s="172">
        <v>0.20137848430887303</v>
      </c>
      <c r="U62" s="172">
        <v>0.20150781992714806</v>
      </c>
      <c r="V62" s="172">
        <v>3.0208703112695925E-2</v>
      </c>
      <c r="W62" s="172">
        <v>0.58808354938184104</v>
      </c>
      <c r="X62" s="172">
        <v>-3.8158326149327938E-2</v>
      </c>
      <c r="Y62" s="172">
        <v>1.532136664E-2</v>
      </c>
      <c r="Z62" s="172">
        <v>1.5321366640000056E-2</v>
      </c>
      <c r="AA62" s="174">
        <v>0.18924617224540177</v>
      </c>
    </row>
    <row r="63" spans="1:27">
      <c r="A63" s="170" t="s">
        <v>842</v>
      </c>
      <c r="B63" s="171">
        <v>19</v>
      </c>
      <c r="C63" s="172">
        <v>1.501333333E-2</v>
      </c>
      <c r="D63" s="172">
        <v>8.3015685932117556E-2</v>
      </c>
      <c r="E63" s="172">
        <v>0.15529613776373735</v>
      </c>
      <c r="F63" s="172">
        <v>0.32131793860884256</v>
      </c>
      <c r="G63" s="173">
        <v>0.55734328669956734</v>
      </c>
      <c r="H63" s="173">
        <v>0.63735309100000004</v>
      </c>
      <c r="I63" s="172">
        <v>7.3397388840300004E-2</v>
      </c>
      <c r="J63" s="172">
        <v>0.410004918</v>
      </c>
      <c r="K63" s="172">
        <v>5.5300000000000002E-2</v>
      </c>
      <c r="L63" s="172">
        <v>0.22296848382654758</v>
      </c>
      <c r="M63" s="172">
        <v>6.6279702200456814E-2</v>
      </c>
      <c r="N63" s="173">
        <v>2.2554075844500825</v>
      </c>
      <c r="O63" s="173">
        <v>1.5926717159618449</v>
      </c>
      <c r="P63" s="173">
        <v>11.093233553255816</v>
      </c>
      <c r="Q63" s="173">
        <v>19.22025789957895</v>
      </c>
      <c r="R63" s="173">
        <v>2.25767800886576</v>
      </c>
      <c r="S63" s="173">
        <v>25.08409747</v>
      </c>
      <c r="T63" s="172">
        <v>0.10880574457669615</v>
      </c>
      <c r="U63" s="172">
        <v>3.4925470648511259E-2</v>
      </c>
      <c r="V63" s="172">
        <v>-6.3874491321072166E-3</v>
      </c>
      <c r="W63" s="172">
        <v>-3.2337085854887253E-2</v>
      </c>
      <c r="X63" s="172">
        <v>4.1853467616081864E-2</v>
      </c>
      <c r="Y63" s="172">
        <v>0.72755742372326881</v>
      </c>
      <c r="Z63" s="172">
        <v>0.72755742372326881</v>
      </c>
      <c r="AA63" s="174">
        <v>8.2827708564752009E-2</v>
      </c>
    </row>
    <row r="64" spans="1:27">
      <c r="A64" s="170" t="s">
        <v>201</v>
      </c>
      <c r="B64" s="171">
        <v>192</v>
      </c>
      <c r="C64" s="172">
        <v>7.0568787879999997E-2</v>
      </c>
      <c r="D64" s="172">
        <v>0.2448459776072924</v>
      </c>
      <c r="E64" s="172">
        <v>3.0943075263370073E-2</v>
      </c>
      <c r="F64" s="172">
        <v>3.5024945220189591E-2</v>
      </c>
      <c r="G64" s="173">
        <v>0.59442830839310035</v>
      </c>
      <c r="H64" s="173">
        <v>0.947227237</v>
      </c>
      <c r="I64" s="172">
        <v>8.6814939362099997E-2</v>
      </c>
      <c r="J64" s="172">
        <v>0.32077082099999998</v>
      </c>
      <c r="K64" s="172">
        <v>5.5300000000000002E-2</v>
      </c>
      <c r="L64" s="172">
        <v>0.45500220616438203</v>
      </c>
      <c r="M64" s="172">
        <v>6.6185166924985189E-2</v>
      </c>
      <c r="N64" s="173">
        <v>0.14175359905867305</v>
      </c>
      <c r="O64" s="173">
        <v>10.830765392411573</v>
      </c>
      <c r="P64" s="173">
        <v>20.33178362353982</v>
      </c>
      <c r="Q64" s="173">
        <v>43.921803038870891</v>
      </c>
      <c r="R64" s="173">
        <v>2.005629185642519</v>
      </c>
      <c r="S64" s="173">
        <v>51.784279499999997</v>
      </c>
      <c r="T64" s="172">
        <v>1.2938522711502523</v>
      </c>
      <c r="U64" s="172">
        <v>2.9696867217088883E-2</v>
      </c>
      <c r="V64" s="172">
        <v>-0.14198715050017852</v>
      </c>
      <c r="W64" s="172">
        <v>-0.65814261589895073</v>
      </c>
      <c r="X64" s="172">
        <v>4.7340170324202686E-2</v>
      </c>
      <c r="Y64" s="172">
        <v>2.0379854180836299</v>
      </c>
      <c r="Z64" s="172">
        <v>2.0379854180836299</v>
      </c>
      <c r="AA64" s="174">
        <v>0.22229031072473096</v>
      </c>
    </row>
    <row r="65" spans="1:27">
      <c r="A65" s="170" t="s">
        <v>843</v>
      </c>
      <c r="B65" s="171">
        <v>15</v>
      </c>
      <c r="C65" s="172">
        <v>0.151</v>
      </c>
      <c r="D65" s="172">
        <v>0.14741909792198638</v>
      </c>
      <c r="E65" s="172">
        <v>3.734709120429483E-2</v>
      </c>
      <c r="F65" s="172">
        <v>0.1826940517471326</v>
      </c>
      <c r="G65" s="173">
        <v>0.61501100388939778</v>
      </c>
      <c r="H65" s="173">
        <v>1.0261883300000001</v>
      </c>
      <c r="I65" s="172">
        <v>9.0233954689000001E-2</v>
      </c>
      <c r="J65" s="172">
        <v>0.49682191999999997</v>
      </c>
      <c r="K65" s="172">
        <v>5.7800000000000004E-2</v>
      </c>
      <c r="L65" s="172">
        <v>0.52086520461082431</v>
      </c>
      <c r="M65" s="172">
        <v>6.5813734036949401E-2</v>
      </c>
      <c r="N65" s="173">
        <v>0.28405101940074207</v>
      </c>
      <c r="O65" s="173">
        <v>3.9582480835618168</v>
      </c>
      <c r="P65" s="173">
        <v>14.935370005087758</v>
      </c>
      <c r="Q65" s="173">
        <v>27.384816277187706</v>
      </c>
      <c r="R65" s="173">
        <v>1.1412158224225333</v>
      </c>
      <c r="S65" s="173">
        <v>40.494706530000002</v>
      </c>
      <c r="T65" s="172">
        <v>3.0247300573384317E-2</v>
      </c>
      <c r="U65" s="172">
        <v>2.0967475037198677E-2</v>
      </c>
      <c r="V65" s="172">
        <v>-6.168253720540396E-2</v>
      </c>
      <c r="W65" s="172">
        <v>-1.0603866958563923</v>
      </c>
      <c r="X65" s="172">
        <v>6.3423717827013323E-2</v>
      </c>
      <c r="Y65" s="172">
        <v>6.5010462148792317E-4</v>
      </c>
      <c r="Z65" s="172">
        <v>6.5010462148795689E-4</v>
      </c>
      <c r="AA65" s="174">
        <v>0.13484155926361419</v>
      </c>
    </row>
    <row r="66" spans="1:27">
      <c r="A66" s="170" t="s">
        <v>844</v>
      </c>
      <c r="B66" s="171">
        <v>11</v>
      </c>
      <c r="C66" s="172">
        <v>0.14349600000000001</v>
      </c>
      <c r="D66" s="172">
        <v>0.11065093708165998</v>
      </c>
      <c r="E66" s="172">
        <v>3.9730511253634679E-2</v>
      </c>
      <c r="F66" s="172">
        <v>0.14280428363041234</v>
      </c>
      <c r="G66" s="173">
        <v>0.7367049503976224</v>
      </c>
      <c r="H66" s="173">
        <v>0.86419434299999998</v>
      </c>
      <c r="I66" s="172">
        <v>8.3219615051899995E-2</v>
      </c>
      <c r="J66" s="172">
        <v>0.26527845</v>
      </c>
      <c r="K66" s="172">
        <v>5.0799999999999998E-2</v>
      </c>
      <c r="L66" s="172">
        <v>0.29547222155261588</v>
      </c>
      <c r="M66" s="172">
        <v>6.9888022156916252E-2</v>
      </c>
      <c r="N66" s="173">
        <v>0.37375276362134119</v>
      </c>
      <c r="O66" s="173">
        <v>4.0975154467871491</v>
      </c>
      <c r="P66" s="173">
        <v>14.224590455661255</v>
      </c>
      <c r="Q66" s="173">
        <v>31.136453335955135</v>
      </c>
      <c r="R66" s="173">
        <v>0.94794645483965867</v>
      </c>
      <c r="S66" s="173">
        <v>17.884322919999999</v>
      </c>
      <c r="T66" s="172">
        <v>2.1197172021419006</v>
      </c>
      <c r="U66" s="172">
        <v>2.1623995983935742E-2</v>
      </c>
      <c r="V66" s="172">
        <v>1.3348393574297183E-2</v>
      </c>
      <c r="W66" s="172">
        <v>1.0821106152319355</v>
      </c>
      <c r="X66" s="172">
        <v>4.3130638155696628E-2</v>
      </c>
      <c r="Y66" s="172">
        <v>0.55775040669300491</v>
      </c>
      <c r="Z66" s="172">
        <v>0.55775040669300491</v>
      </c>
      <c r="AA66" s="174">
        <v>0.11242361746987951</v>
      </c>
    </row>
    <row r="67" spans="1:27">
      <c r="A67" s="170" t="s">
        <v>845</v>
      </c>
      <c r="B67" s="171">
        <v>60</v>
      </c>
      <c r="C67" s="172">
        <v>4.5311153849999994E-2</v>
      </c>
      <c r="D67" s="172">
        <v>1.3934073665485479E-2</v>
      </c>
      <c r="E67" s="172">
        <v>2.8763124525455864E-2</v>
      </c>
      <c r="F67" s="172">
        <v>0.18819227728766463</v>
      </c>
      <c r="G67" s="173">
        <v>0.95168980937902281</v>
      </c>
      <c r="H67" s="173">
        <v>1.0752168120000001</v>
      </c>
      <c r="I67" s="172">
        <v>9.2356887959600009E-2</v>
      </c>
      <c r="J67" s="172">
        <v>0.56533935300000004</v>
      </c>
      <c r="K67" s="172">
        <v>5.7800000000000004E-2</v>
      </c>
      <c r="L67" s="172">
        <v>0.22351647971067801</v>
      </c>
      <c r="M67" s="172">
        <v>8.1403040881294603E-2</v>
      </c>
      <c r="N67" s="173">
        <v>2.3061889572841001</v>
      </c>
      <c r="O67" s="173">
        <v>1.5307462963673806</v>
      </c>
      <c r="P67" s="173">
        <v>20.833733868250523</v>
      </c>
      <c r="Q67" s="173">
        <v>90.187982770827389</v>
      </c>
      <c r="R67" s="173">
        <v>2.8493760079491484</v>
      </c>
      <c r="S67" s="173">
        <v>63.940751259999999</v>
      </c>
      <c r="T67" s="172">
        <v>0.12366082312918376</v>
      </c>
      <c r="U67" s="172">
        <v>1.6275392938852926E-2</v>
      </c>
      <c r="V67" s="172">
        <v>1.8320039500273166E-2</v>
      </c>
      <c r="W67" s="172">
        <v>3.6429856021044453</v>
      </c>
      <c r="X67" s="172">
        <v>-1.905926688079955E-2</v>
      </c>
      <c r="Y67" s="172">
        <v>3.0395340480000001E-2</v>
      </c>
      <c r="Z67" s="172">
        <v>3.0395340480000033E-2</v>
      </c>
      <c r="AA67" s="174">
        <v>1.4608008482760783E-2</v>
      </c>
    </row>
    <row r="68" spans="1:27">
      <c r="A68" s="170" t="s">
        <v>203</v>
      </c>
      <c r="B68" s="171">
        <v>50</v>
      </c>
      <c r="C68" s="172">
        <v>8.7713793100000007E-2</v>
      </c>
      <c r="D68" s="172">
        <v>9.0361575714402204E-2</v>
      </c>
      <c r="E68" s="172">
        <v>7.9461315509752592E-2</v>
      </c>
      <c r="F68" s="172">
        <v>0.21989944172299181</v>
      </c>
      <c r="G68" s="173">
        <v>0.93359367002458238</v>
      </c>
      <c r="H68" s="173">
        <v>1.3278972250000001</v>
      </c>
      <c r="I68" s="172">
        <v>0.1032979498425</v>
      </c>
      <c r="J68" s="172">
        <v>0.53062303</v>
      </c>
      <c r="K68" s="172">
        <v>5.7800000000000004E-2</v>
      </c>
      <c r="L68" s="172">
        <v>0.39430310405642732</v>
      </c>
      <c r="M68" s="172">
        <v>7.9660287137783239E-2</v>
      </c>
      <c r="N68" s="173">
        <v>1.2936791544033139</v>
      </c>
      <c r="O68" s="173">
        <v>1.9894583442029383</v>
      </c>
      <c r="P68" s="173">
        <v>10.668698265051631</v>
      </c>
      <c r="Q68" s="173">
        <v>25.201245830142568</v>
      </c>
      <c r="R68" s="173">
        <v>3.0985357561435602</v>
      </c>
      <c r="S68" s="173">
        <v>33.911598089999998</v>
      </c>
      <c r="T68" s="172">
        <v>0.16986987891583769</v>
      </c>
      <c r="U68" s="172">
        <v>6.7801518132265939E-2</v>
      </c>
      <c r="V68" s="172">
        <v>2.3924166811692786E-2</v>
      </c>
      <c r="W68" s="172">
        <v>0.14852085535701345</v>
      </c>
      <c r="X68" s="172">
        <v>1.7487855284722388E-2</v>
      </c>
      <c r="Y68" s="172">
        <v>3.2895854718588247</v>
      </c>
      <c r="Z68" s="172">
        <v>3.2895854718588247</v>
      </c>
      <c r="AA68" s="174">
        <v>7.3969400647340131E-2</v>
      </c>
    </row>
    <row r="69" spans="1:27">
      <c r="A69" s="170" t="s">
        <v>846</v>
      </c>
      <c r="B69" s="171">
        <v>1</v>
      </c>
      <c r="C69" s="172">
        <v>9.6600000000000005E-2</v>
      </c>
      <c r="D69" s="172">
        <v>5.5136469620079551E-2</v>
      </c>
      <c r="E69" s="172">
        <v>9.8903244217743116E-2</v>
      </c>
      <c r="F69" s="172">
        <v>0.20130576713819368</v>
      </c>
      <c r="G69" s="173">
        <v>0.57788295745432516</v>
      </c>
      <c r="H69" s="173">
        <v>0.53732987099999996</v>
      </c>
      <c r="I69" s="172">
        <v>6.9066383414299992E-2</v>
      </c>
      <c r="J69" s="172">
        <v>0.19865812699999999</v>
      </c>
      <c r="K69" s="172">
        <v>5.0799999999999998E-2</v>
      </c>
      <c r="L69" s="172">
        <v>0.26780363487795789</v>
      </c>
      <c r="M69" s="172">
        <v>6.0773473376925943E-2</v>
      </c>
      <c r="N69" s="173">
        <v>2.2382478863009179</v>
      </c>
      <c r="O69" s="173">
        <v>0.64106323000960086</v>
      </c>
      <c r="P69" s="173">
        <v>11.047014913731978</v>
      </c>
      <c r="Q69" s="173">
        <v>11.58721489809192</v>
      </c>
      <c r="R69" s="173">
        <v>1.2543995720780958</v>
      </c>
      <c r="S69" s="173">
        <v>19.35433287</v>
      </c>
      <c r="T69" s="172">
        <v>4.1100900653774058E-2</v>
      </c>
      <c r="U69" s="172">
        <v>0</v>
      </c>
      <c r="V69" s="172">
        <v>-1.9796095643030221E-3</v>
      </c>
      <c r="W69" s="172">
        <v>0.51080180085332116</v>
      </c>
      <c r="X69" s="172">
        <v>9.0164951010790029E-2</v>
      </c>
      <c r="Y69" s="172">
        <v>0.31224209078404402</v>
      </c>
      <c r="Z69" s="172">
        <v>0.31224209078404397</v>
      </c>
      <c r="AA69" s="174">
        <v>5.5325048827321352E-2</v>
      </c>
    </row>
    <row r="70" spans="1:27">
      <c r="A70" s="170" t="s">
        <v>847</v>
      </c>
      <c r="B70" s="171">
        <v>62</v>
      </c>
      <c r="C70" s="172">
        <v>8.5973076919999988E-2</v>
      </c>
      <c r="D70" s="172">
        <v>0.15960254602877869</v>
      </c>
      <c r="E70" s="172">
        <v>0.20394892204796075</v>
      </c>
      <c r="F70" s="172">
        <v>0.20465304109413093</v>
      </c>
      <c r="G70" s="173">
        <v>0.87497392108882976</v>
      </c>
      <c r="H70" s="173">
        <v>1.009040065</v>
      </c>
      <c r="I70" s="172">
        <v>8.9491434814500004E-2</v>
      </c>
      <c r="J70" s="172">
        <v>0.41504324500000001</v>
      </c>
      <c r="K70" s="172">
        <v>5.5300000000000002E-2</v>
      </c>
      <c r="L70" s="172">
        <v>0.18789372628014492</v>
      </c>
      <c r="M70" s="172">
        <v>8.046944795451591E-2</v>
      </c>
      <c r="N70" s="173">
        <v>1.6556714897550431</v>
      </c>
      <c r="O70" s="173">
        <v>4.4691845341919434</v>
      </c>
      <c r="P70" s="173">
        <v>18.667676815197808</v>
      </c>
      <c r="Q70" s="173">
        <v>32.106776648838618</v>
      </c>
      <c r="R70" s="173" t="s">
        <v>285</v>
      </c>
      <c r="S70" s="173">
        <v>56.604437670000003</v>
      </c>
      <c r="T70" s="172">
        <v>-3.9480912674337097E-3</v>
      </c>
      <c r="U70" s="172">
        <v>6.2746238784636352E-2</v>
      </c>
      <c r="V70" s="172">
        <v>4.1463065509721328E-2</v>
      </c>
      <c r="W70" s="172">
        <v>0.38719268780136601</v>
      </c>
      <c r="X70" s="172" t="s">
        <v>285</v>
      </c>
      <c r="Y70" s="172">
        <v>0.55122728841256707</v>
      </c>
      <c r="Z70" s="172">
        <v>0.55122728841256707</v>
      </c>
      <c r="AA70" s="174">
        <v>0.13959270726915785</v>
      </c>
    </row>
    <row r="71" spans="1:27">
      <c r="A71" s="170" t="s">
        <v>848</v>
      </c>
      <c r="B71" s="171">
        <v>29</v>
      </c>
      <c r="C71" s="172">
        <v>0.103217619</v>
      </c>
      <c r="D71" s="172">
        <v>6.0132517954049038E-2</v>
      </c>
      <c r="E71" s="172">
        <v>0.12115010427606814</v>
      </c>
      <c r="F71" s="172">
        <v>0.2257835935470156</v>
      </c>
      <c r="G71" s="173">
        <v>0.99176420437967028</v>
      </c>
      <c r="H71" s="173">
        <v>1.3530744139999999</v>
      </c>
      <c r="I71" s="172">
        <v>0.10438812212619999</v>
      </c>
      <c r="J71" s="172">
        <v>0.473945116</v>
      </c>
      <c r="K71" s="172">
        <v>5.7800000000000004E-2</v>
      </c>
      <c r="L71" s="172">
        <v>0.33510223813957135</v>
      </c>
      <c r="M71" s="172">
        <v>8.3934110789873881E-2</v>
      </c>
      <c r="N71" s="173">
        <v>2.4663966081903905</v>
      </c>
      <c r="O71" s="173">
        <v>1.222045850009327</v>
      </c>
      <c r="P71" s="173">
        <v>14.419927914163718</v>
      </c>
      <c r="Q71" s="173">
        <v>21.681945615914966</v>
      </c>
      <c r="R71" s="173">
        <v>7.7770146452332707</v>
      </c>
      <c r="S71" s="173">
        <v>123.0704727</v>
      </c>
      <c r="T71" s="172">
        <v>0.12188531804157499</v>
      </c>
      <c r="U71" s="172">
        <v>2.0009321980419263E-2</v>
      </c>
      <c r="V71" s="172">
        <v>2.4936384655617719E-2</v>
      </c>
      <c r="W71" s="172">
        <v>0.82898584270808584</v>
      </c>
      <c r="X71" s="172">
        <v>0.35699248801731837</v>
      </c>
      <c r="Y71" s="172">
        <v>5.9615562342791549E-2</v>
      </c>
      <c r="Z71" s="172">
        <v>5.9615562342791528E-2</v>
      </c>
      <c r="AA71" s="174">
        <v>5.586664024484593E-2</v>
      </c>
    </row>
    <row r="72" spans="1:27">
      <c r="A72" s="170" t="s">
        <v>849</v>
      </c>
      <c r="B72" s="171">
        <v>13</v>
      </c>
      <c r="C72" s="172">
        <v>5.1490833329999999E-2</v>
      </c>
      <c r="D72" s="172">
        <v>0.12124630894860067</v>
      </c>
      <c r="E72" s="172">
        <v>0.36284596538960717</v>
      </c>
      <c r="F72" s="172">
        <v>0.23817452639636</v>
      </c>
      <c r="G72" s="173">
        <v>1.5745465681601329</v>
      </c>
      <c r="H72" s="173">
        <v>1.7927743970000001</v>
      </c>
      <c r="I72" s="172">
        <v>0.1234271313901</v>
      </c>
      <c r="J72" s="172">
        <v>0.52125982100000001</v>
      </c>
      <c r="K72" s="172">
        <v>5.7800000000000004E-2</v>
      </c>
      <c r="L72" s="172">
        <v>0.16797788462082947</v>
      </c>
      <c r="M72" s="172">
        <v>0.10997594425268678</v>
      </c>
      <c r="N72" s="173">
        <v>3.5706348388844233</v>
      </c>
      <c r="O72" s="173">
        <v>2.5168840644209354</v>
      </c>
      <c r="P72" s="173">
        <v>15.746684126619444</v>
      </c>
      <c r="Q72" s="173">
        <v>20.752329820525382</v>
      </c>
      <c r="R72" s="173" t="s">
        <v>285</v>
      </c>
      <c r="S72" s="173">
        <v>42.963603550000002</v>
      </c>
      <c r="T72" s="172">
        <v>8.3527571209891224E-2</v>
      </c>
      <c r="U72" s="172">
        <v>2.4203349991802781E-2</v>
      </c>
      <c r="V72" s="172">
        <v>7.1570384643015697E-2</v>
      </c>
      <c r="W72" s="172">
        <v>0.7168921587957251</v>
      </c>
      <c r="X72" s="172" t="s">
        <v>285</v>
      </c>
      <c r="Y72" s="172">
        <v>0.53225823359672997</v>
      </c>
      <c r="Z72" s="172">
        <v>0.53225823359672997</v>
      </c>
      <c r="AA72" s="174">
        <v>0.11977489830842546</v>
      </c>
    </row>
    <row r="73" spans="1:27">
      <c r="A73" s="170" t="s">
        <v>850</v>
      </c>
      <c r="B73" s="171">
        <v>66</v>
      </c>
      <c r="C73" s="172">
        <v>7.0734146339999998E-2</v>
      </c>
      <c r="D73" s="172">
        <v>0.10559724307801825</v>
      </c>
      <c r="E73" s="172">
        <v>0.17536861677582882</v>
      </c>
      <c r="F73" s="172">
        <v>0.24372011263235407</v>
      </c>
      <c r="G73" s="173">
        <v>0.92546451753031267</v>
      </c>
      <c r="H73" s="173">
        <v>1.117155906</v>
      </c>
      <c r="I73" s="172">
        <v>9.4172850729800001E-2</v>
      </c>
      <c r="J73" s="172">
        <v>0.43888604199999998</v>
      </c>
      <c r="K73" s="172">
        <v>5.5300000000000002E-2</v>
      </c>
      <c r="L73" s="172">
        <v>0.23820734397611792</v>
      </c>
      <c r="M73" s="172">
        <v>8.1619835674204416E-2</v>
      </c>
      <c r="N73" s="173">
        <v>1.880634510325728</v>
      </c>
      <c r="O73" s="173">
        <v>1.8141684070556663</v>
      </c>
      <c r="P73" s="173">
        <v>12.874163371741568</v>
      </c>
      <c r="Q73" s="173">
        <v>15.744115641148806</v>
      </c>
      <c r="R73" s="173">
        <v>4.3031974154159647</v>
      </c>
      <c r="S73" s="173">
        <v>51.90215662</v>
      </c>
      <c r="T73" s="172">
        <v>0.17020865900643473</v>
      </c>
      <c r="U73" s="172">
        <v>5.8357263443407567E-2</v>
      </c>
      <c r="V73" s="172">
        <v>7.6716912277708146E-2</v>
      </c>
      <c r="W73" s="172">
        <v>1.0195443860624036</v>
      </c>
      <c r="X73" s="172">
        <v>0.21635698612262233</v>
      </c>
      <c r="Y73" s="172">
        <v>0.3121855201758274</v>
      </c>
      <c r="Z73" s="172">
        <v>0.31218552017582746</v>
      </c>
      <c r="AA73" s="174">
        <v>0.10791543860104447</v>
      </c>
    </row>
    <row r="74" spans="1:27">
      <c r="A74" s="170" t="s">
        <v>851</v>
      </c>
      <c r="B74" s="171">
        <v>24</v>
      </c>
      <c r="C74" s="172">
        <v>0.1439742105</v>
      </c>
      <c r="D74" s="172">
        <v>6.201301531080719E-2</v>
      </c>
      <c r="E74" s="172">
        <v>0.11983290770437496</v>
      </c>
      <c r="F74" s="172">
        <v>0.19835937513442456</v>
      </c>
      <c r="G74" s="173">
        <v>1.0255755386066459</v>
      </c>
      <c r="H74" s="173">
        <v>1.061771934</v>
      </c>
      <c r="I74" s="172">
        <v>9.1774724742199998E-2</v>
      </c>
      <c r="J74" s="172">
        <v>0.46689882399999999</v>
      </c>
      <c r="K74" s="172">
        <v>5.7800000000000004E-2</v>
      </c>
      <c r="L74" s="172">
        <v>8.0275354081261088E-2</v>
      </c>
      <c r="M74" s="172">
        <v>8.7887412817232294E-2</v>
      </c>
      <c r="N74" s="173">
        <v>3.5951299451019962</v>
      </c>
      <c r="O74" s="173">
        <v>2.0508713335644408</v>
      </c>
      <c r="P74" s="173">
        <v>18.20902196898702</v>
      </c>
      <c r="Q74" s="173">
        <v>34.662237070614957</v>
      </c>
      <c r="R74" s="173">
        <v>8.428688099762482</v>
      </c>
      <c r="S74" s="173">
        <v>25.79221081</v>
      </c>
      <c r="T74" s="172">
        <v>6.9049320335358285E-3</v>
      </c>
      <c r="U74" s="172">
        <v>5.7537256815085584E-2</v>
      </c>
      <c r="V74" s="172">
        <v>2.1600848026036377E-2</v>
      </c>
      <c r="W74" s="172">
        <v>0.46411454502668509</v>
      </c>
      <c r="X74" s="172">
        <v>0.25368084600002294</v>
      </c>
      <c r="Y74" s="172">
        <v>0.14172819017903793</v>
      </c>
      <c r="Z74" s="172">
        <v>0.14172819017903793</v>
      </c>
      <c r="AA74" s="174">
        <v>5.9976342513351315E-2</v>
      </c>
    </row>
    <row r="75" spans="1:27">
      <c r="A75" s="170" t="s">
        <v>852</v>
      </c>
      <c r="B75" s="171">
        <v>17</v>
      </c>
      <c r="C75" s="172">
        <v>9.2810000000000004E-2</v>
      </c>
      <c r="D75" s="172">
        <v>3.3325604942954244E-2</v>
      </c>
      <c r="E75" s="172">
        <v>9.247376187945984E-2</v>
      </c>
      <c r="F75" s="172">
        <v>0.21096293504573324</v>
      </c>
      <c r="G75" s="173">
        <v>0.46632352925030229</v>
      </c>
      <c r="H75" s="173">
        <v>0.57940730600000001</v>
      </c>
      <c r="I75" s="172">
        <v>7.0888336349800005E-2</v>
      </c>
      <c r="J75" s="172">
        <v>0.27128246099999997</v>
      </c>
      <c r="K75" s="172">
        <v>5.0799999999999998E-2</v>
      </c>
      <c r="L75" s="172">
        <v>0.34321552519274601</v>
      </c>
      <c r="M75" s="172">
        <v>5.9634870269306986E-2</v>
      </c>
      <c r="N75" s="173">
        <v>4.8930976064323222</v>
      </c>
      <c r="O75" s="173">
        <v>0.49497246792900701</v>
      </c>
      <c r="P75" s="173">
        <v>7.7393983847520804</v>
      </c>
      <c r="Q75" s="173">
        <v>16.885688100335081</v>
      </c>
      <c r="R75" s="173">
        <v>3.497688639613604</v>
      </c>
      <c r="S75" s="173">
        <v>21.115701820000002</v>
      </c>
      <c r="T75" s="172">
        <v>-1.9956896409970772E-3</v>
      </c>
      <c r="U75" s="172">
        <v>2.7438742000750551E-2</v>
      </c>
      <c r="V75" s="172">
        <v>2.5903700967199864E-3</v>
      </c>
      <c r="W75" s="172">
        <v>0.14685770979269633</v>
      </c>
      <c r="X75" s="172">
        <v>0.21090257168217028</v>
      </c>
      <c r="Y75" s="172">
        <v>0.236694556868387</v>
      </c>
      <c r="Z75" s="172">
        <v>0.23669455686838703</v>
      </c>
      <c r="AA75" s="174">
        <v>2.4582375791246495E-2</v>
      </c>
    </row>
    <row r="76" spans="1:27">
      <c r="A76" s="170" t="s">
        <v>853</v>
      </c>
      <c r="B76" s="171">
        <v>28</v>
      </c>
      <c r="C76" s="172">
        <v>7.9100384620000005E-2</v>
      </c>
      <c r="D76" s="172">
        <v>0.38879345924804937</v>
      </c>
      <c r="E76" s="172">
        <v>4.9993891014006121E-2</v>
      </c>
      <c r="F76" s="172">
        <v>3.2032945628582561E-2</v>
      </c>
      <c r="G76" s="173">
        <v>0.68594271206568391</v>
      </c>
      <c r="H76" s="173">
        <v>0.94758858999999995</v>
      </c>
      <c r="I76" s="172">
        <v>8.6830585946999994E-2</v>
      </c>
      <c r="J76" s="172">
        <v>0.235572061</v>
      </c>
      <c r="K76" s="172">
        <v>5.0799999999999998E-2</v>
      </c>
      <c r="L76" s="172">
        <v>0.35390072696862224</v>
      </c>
      <c r="M76" s="172">
        <v>6.9584796154749759E-2</v>
      </c>
      <c r="N76" s="173">
        <v>0.13573524804042503</v>
      </c>
      <c r="O76" s="173">
        <v>12.21753601147776</v>
      </c>
      <c r="P76" s="173">
        <v>17.441938336546901</v>
      </c>
      <c r="Q76" s="173">
        <v>32.774592867855567</v>
      </c>
      <c r="R76" s="173">
        <v>2.0154998835457518</v>
      </c>
      <c r="S76" s="173">
        <v>72.235152409999998</v>
      </c>
      <c r="T76" s="172">
        <v>-5.47072581120654E-2</v>
      </c>
      <c r="U76" s="172">
        <v>4.2900178848686153E-2</v>
      </c>
      <c r="V76" s="172">
        <v>-0.26575609756097557</v>
      </c>
      <c r="W76" s="172">
        <v>-0.74880212638467403</v>
      </c>
      <c r="X76" s="172">
        <v>7.3403157551345882E-2</v>
      </c>
      <c r="Y76" s="172">
        <v>1.4364006576861084</v>
      </c>
      <c r="Z76" s="172">
        <v>1.4364006576861084</v>
      </c>
      <c r="AA76" s="174">
        <v>0.37279033104695275</v>
      </c>
    </row>
    <row r="77" spans="1:27">
      <c r="A77" s="170" t="s">
        <v>245</v>
      </c>
      <c r="B77" s="171">
        <v>98</v>
      </c>
      <c r="C77" s="172">
        <v>6.7852741940000003E-2</v>
      </c>
      <c r="D77" s="172">
        <v>5.0976112018076461E-2</v>
      </c>
      <c r="E77" s="172">
        <v>0.17678385028822469</v>
      </c>
      <c r="F77" s="172">
        <v>0.23366272749859898</v>
      </c>
      <c r="G77" s="173">
        <v>1.0592547675648005</v>
      </c>
      <c r="H77" s="173">
        <v>1.2239625940000001</v>
      </c>
      <c r="I77" s="172">
        <v>9.8797580320200001E-2</v>
      </c>
      <c r="J77" s="172">
        <v>0.56996081200000004</v>
      </c>
      <c r="K77" s="172">
        <v>5.7800000000000004E-2</v>
      </c>
      <c r="L77" s="172">
        <v>0.22440271815045107</v>
      </c>
      <c r="M77" s="172">
        <v>8.635499258148166E-2</v>
      </c>
      <c r="N77" s="173">
        <v>3.6771871216402161</v>
      </c>
      <c r="O77" s="173">
        <v>1.0697959500151255</v>
      </c>
      <c r="P77" s="173">
        <v>9.8958883728987335</v>
      </c>
      <c r="Q77" s="173">
        <v>19.988363782118277</v>
      </c>
      <c r="R77" s="173">
        <v>5.8712634257814464</v>
      </c>
      <c r="S77" s="173">
        <v>24.484944049999999</v>
      </c>
      <c r="T77" s="172">
        <v>4.9479744340293258E-2</v>
      </c>
      <c r="U77" s="172">
        <v>2.4350612794780534E-2</v>
      </c>
      <c r="V77" s="172">
        <v>7.2602822997946117E-3</v>
      </c>
      <c r="W77" s="172">
        <v>0.2384246819225872</v>
      </c>
      <c r="X77" s="172">
        <v>0.10134724746541818</v>
      </c>
      <c r="Y77" s="172">
        <v>0.86426164059949551</v>
      </c>
      <c r="Z77" s="172">
        <v>0.86426164059949551</v>
      </c>
      <c r="AA77" s="174">
        <v>5.3157658105189375E-2</v>
      </c>
    </row>
    <row r="78" spans="1:27">
      <c r="A78" s="170" t="s">
        <v>854</v>
      </c>
      <c r="B78" s="171">
        <v>3</v>
      </c>
      <c r="C78" s="172">
        <v>2.7549999999999998E-2</v>
      </c>
      <c r="D78" s="172">
        <v>4.0436780162376486E-2</v>
      </c>
      <c r="E78" s="172">
        <v>5.7556753506032426E-2</v>
      </c>
      <c r="F78" s="172" t="e">
        <v>#DIV/0!</v>
      </c>
      <c r="G78" s="173">
        <v>0.17807460403672931</v>
      </c>
      <c r="H78" s="173">
        <v>0.64534539099999999</v>
      </c>
      <c r="I78" s="172">
        <v>7.3743455430300003E-2</v>
      </c>
      <c r="J78" s="172">
        <v>0.72036867599999999</v>
      </c>
      <c r="K78" s="172">
        <v>6.4100000000000004E-2</v>
      </c>
      <c r="L78" s="172">
        <v>0.79471602338816838</v>
      </c>
      <c r="M78" s="172">
        <v>5.3344322604215552E-2</v>
      </c>
      <c r="N78" s="173">
        <v>1.5003253061530804</v>
      </c>
      <c r="O78" s="173">
        <v>0.61570892388864418</v>
      </c>
      <c r="P78" s="173">
        <v>5.6778845321070408</v>
      </c>
      <c r="Q78" s="173">
        <v>14.149107124847289</v>
      </c>
      <c r="R78" s="173">
        <v>0.52615587311239487</v>
      </c>
      <c r="S78" s="173" t="e">
        <v>#DIV/0!</v>
      </c>
      <c r="T78" s="172">
        <v>0.1283259382801519</v>
      </c>
      <c r="U78" s="172">
        <v>6.0576499465038708E-2</v>
      </c>
      <c r="V78" s="172">
        <v>6.4504793672771525E-3</v>
      </c>
      <c r="W78" s="172">
        <v>0.16171849409183106</v>
      </c>
      <c r="X78" s="172">
        <v>-6.4136878209322151E-2</v>
      </c>
      <c r="Y78" s="172" t="e">
        <v>#DIV/0!</v>
      </c>
      <c r="Z78" s="172" t="e">
        <v>#DIV/0!</v>
      </c>
      <c r="AA78" s="174">
        <v>4.256184664967378E-2</v>
      </c>
    </row>
    <row r="79" spans="1:27">
      <c r="A79" s="170" t="s">
        <v>208</v>
      </c>
      <c r="B79" s="171">
        <v>63</v>
      </c>
      <c r="C79" s="172">
        <v>5.1318863639999997E-2</v>
      </c>
      <c r="D79" s="172">
        <v>0.29711161343465048</v>
      </c>
      <c r="E79" s="172">
        <v>0.21144652173406386</v>
      </c>
      <c r="F79" s="172">
        <v>0.14190702210640413</v>
      </c>
      <c r="G79" s="173">
        <v>1.4601551161065303</v>
      </c>
      <c r="H79" s="173">
        <v>1.4858715039999999</v>
      </c>
      <c r="I79" s="172">
        <v>0.11013823612320001</v>
      </c>
      <c r="J79" s="172">
        <v>0.560486072</v>
      </c>
      <c r="K79" s="172">
        <v>5.7800000000000004E-2</v>
      </c>
      <c r="L79" s="172">
        <v>3.7478619559047813E-2</v>
      </c>
      <c r="M79" s="172">
        <v>0.10763510523051874</v>
      </c>
      <c r="N79" s="173">
        <v>1.1023163547709465</v>
      </c>
      <c r="O79" s="173">
        <v>14.645136031617927</v>
      </c>
      <c r="P79" s="173">
        <v>34.479760738474951</v>
      </c>
      <c r="Q79" s="173">
        <v>48.853838409004744</v>
      </c>
      <c r="R79" s="173">
        <v>11.121239586403391</v>
      </c>
      <c r="S79" s="173">
        <v>54.218451430000002</v>
      </c>
      <c r="T79" s="172">
        <v>0.20345031887686199</v>
      </c>
      <c r="U79" s="172">
        <v>0.1325155150629162</v>
      </c>
      <c r="V79" s="172">
        <v>0.11600239559724274</v>
      </c>
      <c r="W79" s="172">
        <v>0.5930815713362112</v>
      </c>
      <c r="X79" s="172">
        <v>0.19084697104786927</v>
      </c>
      <c r="Y79" s="172">
        <v>0.32634631628070393</v>
      </c>
      <c r="Z79" s="172">
        <v>0.32634631628070387</v>
      </c>
      <c r="AA79" s="174">
        <v>0.31440194195582832</v>
      </c>
    </row>
    <row r="80" spans="1:27">
      <c r="A80" s="170" t="s">
        <v>855</v>
      </c>
      <c r="B80" s="171">
        <v>30</v>
      </c>
      <c r="C80" s="172">
        <v>0.116725</v>
      </c>
      <c r="D80" s="172">
        <v>0.2406234259235884</v>
      </c>
      <c r="E80" s="172">
        <v>0.24197449544323665</v>
      </c>
      <c r="F80" s="172">
        <v>0.12586026384945445</v>
      </c>
      <c r="G80" s="173">
        <v>1.4745155675062604</v>
      </c>
      <c r="H80" s="173">
        <v>1.484975954</v>
      </c>
      <c r="I80" s="172">
        <v>0.11009945880819999</v>
      </c>
      <c r="J80" s="172">
        <v>0.51093071400000001</v>
      </c>
      <c r="K80" s="172">
        <v>5.7800000000000004E-2</v>
      </c>
      <c r="L80" s="172">
        <v>7.5578010914103336E-2</v>
      </c>
      <c r="M80" s="172">
        <v>0.10505466748188336</v>
      </c>
      <c r="N80" s="173">
        <v>1.6833471274291145</v>
      </c>
      <c r="O80" s="173">
        <v>5.0691664490258717</v>
      </c>
      <c r="P80" s="173">
        <v>17.733051139589943</v>
      </c>
      <c r="Q80" s="173">
        <v>20.926140364357934</v>
      </c>
      <c r="R80" s="173">
        <v>6.9702059818515387</v>
      </c>
      <c r="S80" s="173">
        <v>71.347684939999994</v>
      </c>
      <c r="T80" s="172">
        <v>0.32724535175360886</v>
      </c>
      <c r="U80" s="172">
        <v>4.6504015109530672E-2</v>
      </c>
      <c r="V80" s="172">
        <v>2.1214202221508948E-2</v>
      </c>
      <c r="W80" s="172">
        <v>4.6679860813353971E-2</v>
      </c>
      <c r="X80" s="172">
        <v>0.31784500493054746</v>
      </c>
      <c r="Y80" s="172">
        <v>0.20804682750970707</v>
      </c>
      <c r="Z80" s="172">
        <v>0.20804682750970704</v>
      </c>
      <c r="AA80" s="174">
        <v>0.24840614231914826</v>
      </c>
    </row>
    <row r="81" spans="1:27">
      <c r="A81" s="170" t="s">
        <v>856</v>
      </c>
      <c r="B81" s="171">
        <v>8</v>
      </c>
      <c r="C81" s="172">
        <v>-4.2679999999999996E-2</v>
      </c>
      <c r="D81" s="172">
        <v>0.13739293792172794</v>
      </c>
      <c r="E81" s="172">
        <v>0.13232356550929528</v>
      </c>
      <c r="F81" s="172">
        <v>0.20600371929137709</v>
      </c>
      <c r="G81" s="173">
        <v>0.52482380805560436</v>
      </c>
      <c r="H81" s="173">
        <v>0.57844976999999997</v>
      </c>
      <c r="I81" s="172">
        <v>7.0846875040999999E-2</v>
      </c>
      <c r="J81" s="172">
        <v>0.45189300199999999</v>
      </c>
      <c r="K81" s="172">
        <v>5.7800000000000004E-2</v>
      </c>
      <c r="L81" s="172">
        <v>0.16046357987861981</v>
      </c>
      <c r="M81" s="172">
        <v>6.6434628036446064E-2</v>
      </c>
      <c r="N81" s="173">
        <v>0.93758670841260694</v>
      </c>
      <c r="O81" s="173">
        <v>1.7491091978050035</v>
      </c>
      <c r="P81" s="173">
        <v>7.7139416157820575</v>
      </c>
      <c r="Q81" s="173">
        <v>11.585715174691481</v>
      </c>
      <c r="R81" s="173">
        <v>1.605174159213743</v>
      </c>
      <c r="S81" s="173">
        <v>12.7685681</v>
      </c>
      <c r="T81" s="172">
        <v>0.10341773076541534</v>
      </c>
      <c r="U81" s="172">
        <v>0.10180449326206187</v>
      </c>
      <c r="V81" s="172">
        <v>4.6771735149014788E-2</v>
      </c>
      <c r="W81" s="172">
        <v>0.44179244065462181</v>
      </c>
      <c r="X81" s="172">
        <v>0.11718743679126227</v>
      </c>
      <c r="Y81" s="172">
        <v>0.15050901924356352</v>
      </c>
      <c r="Z81" s="172">
        <v>0.15050901924356352</v>
      </c>
      <c r="AA81" s="174">
        <v>0.14979423553901591</v>
      </c>
    </row>
    <row r="82" spans="1:27">
      <c r="A82" s="170" t="s">
        <v>309</v>
      </c>
      <c r="B82" s="171">
        <v>12</v>
      </c>
      <c r="C82" s="172">
        <v>9.9062499999999998E-2</v>
      </c>
      <c r="D82" s="172">
        <v>0.12820574035012822</v>
      </c>
      <c r="E82" s="172">
        <v>0.29120897712677157</v>
      </c>
      <c r="F82" s="172">
        <v>0.16763413851482192</v>
      </c>
      <c r="G82" s="173">
        <v>1.4086385456424702</v>
      </c>
      <c r="H82" s="173">
        <v>1.424207891</v>
      </c>
      <c r="I82" s="172">
        <v>0.1074682016803</v>
      </c>
      <c r="J82" s="172">
        <v>0.51752411700000001</v>
      </c>
      <c r="K82" s="172">
        <v>5.7800000000000004E-2</v>
      </c>
      <c r="L82" s="172">
        <v>9.2941879874355246E-2</v>
      </c>
      <c r="M82" s="172">
        <v>0.10150893548196988</v>
      </c>
      <c r="N82" s="173">
        <v>2.5356270056745536</v>
      </c>
      <c r="O82" s="173">
        <v>2.4017041674975634</v>
      </c>
      <c r="P82" s="173">
        <v>14.770185001070939</v>
      </c>
      <c r="Q82" s="173">
        <v>18.457142037087245</v>
      </c>
      <c r="R82" s="173">
        <v>6.7412981051703884</v>
      </c>
      <c r="S82" s="173">
        <v>17.578091690000001</v>
      </c>
      <c r="T82" s="172">
        <v>0.19568711187756468</v>
      </c>
      <c r="U82" s="172">
        <v>7.944000831364928E-3</v>
      </c>
      <c r="V82" s="172">
        <v>-7.9457422038473197E-3</v>
      </c>
      <c r="W82" s="172">
        <v>-8.2301890690004528E-2</v>
      </c>
      <c r="X82" s="172">
        <v>0.31672211045805776</v>
      </c>
      <c r="Y82" s="172">
        <v>0.32504532056515784</v>
      </c>
      <c r="Z82" s="172">
        <v>0.32504532056515778</v>
      </c>
      <c r="AA82" s="174">
        <v>0.13015594083265691</v>
      </c>
    </row>
    <row r="83" spans="1:27">
      <c r="A83" s="170" t="s">
        <v>857</v>
      </c>
      <c r="B83" s="171">
        <v>81</v>
      </c>
      <c r="C83" s="172">
        <v>0.28069176470000001</v>
      </c>
      <c r="D83" s="172">
        <v>0.32367209422672144</v>
      </c>
      <c r="E83" s="172">
        <v>0.25294352692701783</v>
      </c>
      <c r="F83" s="172">
        <v>0.15053173892351865</v>
      </c>
      <c r="G83" s="173">
        <v>1.1833988427238291</v>
      </c>
      <c r="H83" s="173">
        <v>1.1827821030000001</v>
      </c>
      <c r="I83" s="172">
        <v>9.7014465059899996E-2</v>
      </c>
      <c r="J83" s="172">
        <v>0.66628958000000005</v>
      </c>
      <c r="K83" s="172">
        <v>6.4100000000000004E-2</v>
      </c>
      <c r="L83" s="172">
        <v>2.4296047356735302E-2</v>
      </c>
      <c r="M83" s="172">
        <v>9.5825429499191372E-2</v>
      </c>
      <c r="N83" s="173">
        <v>1.3970196738508474</v>
      </c>
      <c r="O83" s="173">
        <v>7.3454628560496653</v>
      </c>
      <c r="P83" s="173">
        <v>18.274026212769812</v>
      </c>
      <c r="Q83" s="173">
        <v>22.459003609744194</v>
      </c>
      <c r="R83" s="173">
        <v>7.7104509035941335</v>
      </c>
      <c r="S83" s="173">
        <v>68.17906807</v>
      </c>
      <c r="T83" s="172">
        <v>4.9741425406964218E-2</v>
      </c>
      <c r="U83" s="172">
        <v>0.15069195860015666</v>
      </c>
      <c r="V83" s="172">
        <v>0.1138596997532106</v>
      </c>
      <c r="W83" s="172">
        <v>0.47974527461100563</v>
      </c>
      <c r="X83" s="172">
        <v>0.33456424043994271</v>
      </c>
      <c r="Y83" s="172">
        <v>5.9483802001344954E-2</v>
      </c>
      <c r="Z83" s="172">
        <v>5.9483802001344954E-2</v>
      </c>
      <c r="AA83" s="174">
        <v>0.33505217703126305</v>
      </c>
    </row>
    <row r="84" spans="1:27">
      <c r="A84" s="170" t="s">
        <v>858</v>
      </c>
      <c r="B84" s="171">
        <v>29</v>
      </c>
      <c r="C84" s="172">
        <v>0.19720833330000001</v>
      </c>
      <c r="D84" s="172">
        <v>1.311510803818907E-2</v>
      </c>
      <c r="E84" s="172">
        <v>2.9315361747272173E-2</v>
      </c>
      <c r="F84" s="172">
        <v>0.12622972608967076</v>
      </c>
      <c r="G84" s="173">
        <v>1.5986239005097629</v>
      </c>
      <c r="H84" s="173">
        <v>1.687026441</v>
      </c>
      <c r="I84" s="172">
        <v>0.11884824489529999</v>
      </c>
      <c r="J84" s="172">
        <v>0.55616697800000003</v>
      </c>
      <c r="K84" s="172">
        <v>5.7800000000000004E-2</v>
      </c>
      <c r="L84" s="172">
        <v>0.10348217224030058</v>
      </c>
      <c r="M84" s="172">
        <v>0.11103552251320417</v>
      </c>
      <c r="N84" s="173">
        <v>1.2317197291379707</v>
      </c>
      <c r="O84" s="173">
        <v>7.5890875657943946</v>
      </c>
      <c r="P84" s="173">
        <v>28.08006683746375</v>
      </c>
      <c r="Q84" s="173" t="s">
        <v>285</v>
      </c>
      <c r="R84" s="173">
        <v>8.7194278211802132</v>
      </c>
      <c r="S84" s="173">
        <v>50.641260799999998</v>
      </c>
      <c r="T84" s="172">
        <v>0.10195017636271114</v>
      </c>
      <c r="U84" s="172">
        <v>4.2868643121157263E-2</v>
      </c>
      <c r="V84" s="172">
        <v>2.4250902453430468E-2</v>
      </c>
      <c r="W84" s="172">
        <v>3.764390677507587</v>
      </c>
      <c r="X84" s="172">
        <v>-3.085095614661618E-2</v>
      </c>
      <c r="Y84" s="172">
        <v>1.3770325000000001E-4</v>
      </c>
      <c r="Z84" s="172">
        <v>1.377032499999542E-4</v>
      </c>
      <c r="AA84" s="174">
        <v>4.2337843902451065E-2</v>
      </c>
    </row>
    <row r="85" spans="1:27">
      <c r="A85" s="170" t="s">
        <v>859</v>
      </c>
      <c r="B85" s="171">
        <v>333</v>
      </c>
      <c r="C85" s="172">
        <v>0.15553154929999999</v>
      </c>
      <c r="D85" s="172">
        <v>0.28631658213930083</v>
      </c>
      <c r="E85" s="172">
        <v>0.26854772852899061</v>
      </c>
      <c r="F85" s="172">
        <v>0.17372113877129391</v>
      </c>
      <c r="G85" s="173">
        <v>1.2190339285497593</v>
      </c>
      <c r="H85" s="173">
        <v>1.2417608339999999</v>
      </c>
      <c r="I85" s="172">
        <v>9.9568244112199999E-2</v>
      </c>
      <c r="J85" s="172">
        <v>0.63628486399999995</v>
      </c>
      <c r="K85" s="172">
        <v>5.7800000000000004E-2</v>
      </c>
      <c r="L85" s="172">
        <v>4.6671097579359853E-2</v>
      </c>
      <c r="M85" s="172">
        <v>9.6944476955499251E-2</v>
      </c>
      <c r="N85" s="173">
        <v>1.7141776006664302</v>
      </c>
      <c r="O85" s="173">
        <v>11.543734848591981</v>
      </c>
      <c r="P85" s="173">
        <v>27.978212114920282</v>
      </c>
      <c r="Q85" s="173">
        <v>37.850738061107265</v>
      </c>
      <c r="R85" s="173">
        <v>10.733765678170464</v>
      </c>
      <c r="S85" s="173">
        <v>203.77192980000001</v>
      </c>
      <c r="T85" s="172">
        <v>0.10581055834537492</v>
      </c>
      <c r="U85" s="172">
        <v>0.11958977395044544</v>
      </c>
      <c r="V85" s="172">
        <v>0.21011597941116059</v>
      </c>
      <c r="W85" s="172">
        <v>0.93539436133576004</v>
      </c>
      <c r="X85" s="172">
        <v>0.27664221670097855</v>
      </c>
      <c r="Y85" s="172">
        <v>0.23176224004903084</v>
      </c>
      <c r="Z85" s="172">
        <v>0.2317622400490309</v>
      </c>
      <c r="AA85" s="174">
        <v>0.30049989034140007</v>
      </c>
    </row>
    <row r="86" spans="1:27">
      <c r="A86" s="170" t="s">
        <v>860</v>
      </c>
      <c r="B86" s="171">
        <v>27</v>
      </c>
      <c r="C86" s="172">
        <v>6.0515833329999998E-2</v>
      </c>
      <c r="D86" s="172">
        <v>7.6058228876925316E-2</v>
      </c>
      <c r="E86" s="172">
        <v>0.12494672128873931</v>
      </c>
      <c r="F86" s="172">
        <v>0.18669407658842091</v>
      </c>
      <c r="G86" s="173">
        <v>0.96393903348148247</v>
      </c>
      <c r="H86" s="173">
        <v>1.0597792100000001</v>
      </c>
      <c r="I86" s="172">
        <v>9.1688439793000009E-2</v>
      </c>
      <c r="J86" s="172">
        <v>0.46790273599999999</v>
      </c>
      <c r="K86" s="172">
        <v>5.7800000000000004E-2</v>
      </c>
      <c r="L86" s="172">
        <v>0.20569820385899051</v>
      </c>
      <c r="M86" s="172">
        <v>8.1745309550233958E-2</v>
      </c>
      <c r="N86" s="173">
        <v>1.855004733537124</v>
      </c>
      <c r="O86" s="173">
        <v>0.88738811682505903</v>
      </c>
      <c r="P86" s="173">
        <v>7.5173168626524731</v>
      </c>
      <c r="Q86" s="173">
        <v>11.566499852584055</v>
      </c>
      <c r="R86" s="173">
        <v>1.4229678027129475</v>
      </c>
      <c r="S86" s="173">
        <v>15.02257097</v>
      </c>
      <c r="T86" s="172">
        <v>0.19146593285137128</v>
      </c>
      <c r="U86" s="172">
        <v>7.5305799854802999E-2</v>
      </c>
      <c r="V86" s="172">
        <v>4.9794273240634554E-2</v>
      </c>
      <c r="W86" s="172">
        <v>0.60845245527000558</v>
      </c>
      <c r="X86" s="172">
        <v>0.10041297286139539</v>
      </c>
      <c r="Y86" s="172">
        <v>0.20943523814289522</v>
      </c>
      <c r="Z86" s="172">
        <v>0.20943523814289522</v>
      </c>
      <c r="AA86" s="174">
        <v>7.6474906662489572E-2</v>
      </c>
    </row>
    <row r="87" spans="1:27">
      <c r="A87" s="170" t="s">
        <v>861</v>
      </c>
      <c r="B87" s="171">
        <v>11</v>
      </c>
      <c r="C87" s="172">
        <v>0.28067249999999999</v>
      </c>
      <c r="D87" s="172">
        <v>0.20147395975539462</v>
      </c>
      <c r="E87" s="172">
        <v>8.3054259364976443E-2</v>
      </c>
      <c r="F87" s="172">
        <v>0.24089288108515727</v>
      </c>
      <c r="G87" s="173">
        <v>0.58526739373043002</v>
      </c>
      <c r="H87" s="173">
        <v>0.77253914599999995</v>
      </c>
      <c r="I87" s="172">
        <v>7.9250945021799996E-2</v>
      </c>
      <c r="J87" s="172">
        <v>0.66732691499999996</v>
      </c>
      <c r="K87" s="172">
        <v>6.4100000000000004E-2</v>
      </c>
      <c r="L87" s="172">
        <v>0.32254087570054973</v>
      </c>
      <c r="M87" s="172">
        <v>6.919542841367643E-2</v>
      </c>
      <c r="N87" s="173">
        <v>0.51675463191342708</v>
      </c>
      <c r="O87" s="173">
        <v>4.1515030889879903</v>
      </c>
      <c r="P87" s="173">
        <v>9.8437019546986768</v>
      </c>
      <c r="Q87" s="173">
        <v>21.967971806851832</v>
      </c>
      <c r="R87" s="173">
        <v>3.5080037399413166</v>
      </c>
      <c r="S87" s="173">
        <v>13.359762699999999</v>
      </c>
      <c r="T87" s="172">
        <v>9.0352075288529482E-2</v>
      </c>
      <c r="U87" s="172">
        <v>0.11373822804120673</v>
      </c>
      <c r="V87" s="172">
        <v>-4.7718937847524664E-2</v>
      </c>
      <c r="W87" s="172">
        <v>6.822127620077649E-2</v>
      </c>
      <c r="X87" s="172">
        <v>0.13417482253514232</v>
      </c>
      <c r="Y87" s="172">
        <v>0.31533666947629641</v>
      </c>
      <c r="Z87" s="172">
        <v>0.31533666947629646</v>
      </c>
      <c r="AA87" s="174">
        <v>0.18900872750163605</v>
      </c>
    </row>
    <row r="88" spans="1:27">
      <c r="A88" s="170" t="s">
        <v>16</v>
      </c>
      <c r="B88" s="171">
        <v>61</v>
      </c>
      <c r="C88" s="172">
        <v>2.5522291670000002E-2</v>
      </c>
      <c r="D88" s="172">
        <v>0.17490719670287783</v>
      </c>
      <c r="E88" s="172">
        <v>0.21770547180939451</v>
      </c>
      <c r="F88" s="172">
        <v>0.10244037219902397</v>
      </c>
      <c r="G88" s="173">
        <v>0.94839632159299792</v>
      </c>
      <c r="H88" s="173">
        <v>0.99961464799999999</v>
      </c>
      <c r="I88" s="172">
        <v>8.9083314258399993E-2</v>
      </c>
      <c r="J88" s="172">
        <v>0.56093442599999999</v>
      </c>
      <c r="K88" s="172">
        <v>5.7800000000000004E-2</v>
      </c>
      <c r="L88" s="172">
        <v>0.11350800707772311</v>
      </c>
      <c r="M88" s="172">
        <v>8.3892216899869795E-2</v>
      </c>
      <c r="N88" s="173">
        <v>2.6691836427011228</v>
      </c>
      <c r="O88" s="173">
        <v>5.4799000529607049</v>
      </c>
      <c r="P88" s="173">
        <v>21.766350676481835</v>
      </c>
      <c r="Q88" s="173">
        <v>29.902931442066308</v>
      </c>
      <c r="R88" s="173">
        <v>6.9110046888687693</v>
      </c>
      <c r="S88" s="173">
        <v>46.055971649999996</v>
      </c>
      <c r="T88" s="172">
        <v>0.24911288660028066</v>
      </c>
      <c r="U88" s="172">
        <v>2.9582183569742293E-2</v>
      </c>
      <c r="V88" s="172">
        <v>0.26114498331874886</v>
      </c>
      <c r="W88" s="172">
        <v>1.5162671716874174</v>
      </c>
      <c r="X88" s="172">
        <v>0.15034527875228451</v>
      </c>
      <c r="Y88" s="172">
        <v>0.6691295820704013</v>
      </c>
      <c r="Z88" s="172">
        <v>0.6691295820704013</v>
      </c>
      <c r="AA88" s="174">
        <v>0.18414536479657151</v>
      </c>
    </row>
    <row r="89" spans="1:27">
      <c r="A89" s="170" t="s">
        <v>72</v>
      </c>
      <c r="B89" s="171">
        <v>32</v>
      </c>
      <c r="C89" s="172">
        <v>0.105799</v>
      </c>
      <c r="D89" s="172">
        <v>0.20346195325377506</v>
      </c>
      <c r="E89" s="172">
        <v>0.1168586516115778</v>
      </c>
      <c r="F89" s="172">
        <v>0.28301670118193933</v>
      </c>
      <c r="G89" s="173">
        <v>0.51507264095190353</v>
      </c>
      <c r="H89" s="173">
        <v>0.88603861399999995</v>
      </c>
      <c r="I89" s="172">
        <v>8.4165471986200002E-2</v>
      </c>
      <c r="J89" s="172">
        <v>0.63709117900000001</v>
      </c>
      <c r="K89" s="172">
        <v>5.7800000000000004E-2</v>
      </c>
      <c r="L89" s="172">
        <v>0.50041697696437237</v>
      </c>
      <c r="M89" s="172">
        <v>6.3740716881491771E-2</v>
      </c>
      <c r="N89" s="173">
        <v>0.59226786178126434</v>
      </c>
      <c r="O89" s="173">
        <v>2.5635058648544642</v>
      </c>
      <c r="P89" s="173">
        <v>6.6189662381019314</v>
      </c>
      <c r="Q89" s="173">
        <v>12.281153635423223</v>
      </c>
      <c r="R89" s="173">
        <v>1.6220825706185245</v>
      </c>
      <c r="S89" s="173">
        <v>25.517080329999999</v>
      </c>
      <c r="T89" s="172">
        <v>-2.6194258044344949E-2</v>
      </c>
      <c r="U89" s="172">
        <v>0.14643746938324614</v>
      </c>
      <c r="V89" s="172">
        <v>1.6218816990425423E-3</v>
      </c>
      <c r="W89" s="172">
        <v>3.8956674413500404E-2</v>
      </c>
      <c r="X89" s="172">
        <v>7.7465137533441628E-2</v>
      </c>
      <c r="Y89" s="172">
        <v>1.1784208073760309</v>
      </c>
      <c r="Z89" s="172">
        <v>1.1784208073760309</v>
      </c>
      <c r="AA89" s="174">
        <v>0.20646024162442983</v>
      </c>
    </row>
    <row r="90" spans="1:27">
      <c r="A90" s="170" t="s">
        <v>263</v>
      </c>
      <c r="B90" s="171">
        <v>12</v>
      </c>
      <c r="C90" s="172">
        <v>-5.1542857099999995E-3</v>
      </c>
      <c r="D90" s="172">
        <v>0.41046960706900121</v>
      </c>
      <c r="E90" s="172">
        <v>0.57899212485822715</v>
      </c>
      <c r="F90" s="172">
        <v>0.22089489521036715</v>
      </c>
      <c r="G90" s="173">
        <v>0.8250398443426944</v>
      </c>
      <c r="H90" s="173">
        <v>0.97996825300000001</v>
      </c>
      <c r="I90" s="172">
        <v>8.8232625354900007E-2</v>
      </c>
      <c r="J90" s="172">
        <v>0.68343250700000002</v>
      </c>
      <c r="K90" s="172">
        <v>6.4100000000000004E-2</v>
      </c>
      <c r="L90" s="172">
        <v>0.21850684001661214</v>
      </c>
      <c r="M90" s="172">
        <v>7.9457909536029825E-2</v>
      </c>
      <c r="N90" s="173">
        <v>1.7295163968284217</v>
      </c>
      <c r="O90" s="173">
        <v>5.5373739749755284</v>
      </c>
      <c r="P90" s="173">
        <v>12.351530214414623</v>
      </c>
      <c r="Q90" s="173">
        <v>13.422569017122045</v>
      </c>
      <c r="R90" s="173" t="s">
        <v>285</v>
      </c>
      <c r="S90" s="173">
        <v>15.289643140000001</v>
      </c>
      <c r="T90" s="172">
        <v>0.15221849660983588</v>
      </c>
      <c r="U90" s="172">
        <v>2.7304164693991221E-2</v>
      </c>
      <c r="V90" s="172">
        <v>-6.0251026375366364E-3</v>
      </c>
      <c r="W90" s="172">
        <v>-1.3103944020907228E-2</v>
      </c>
      <c r="X90" s="172" t="s">
        <v>285</v>
      </c>
      <c r="Y90" s="172">
        <v>0.74476751525352403</v>
      </c>
      <c r="Z90" s="172">
        <v>0.74476751525352403</v>
      </c>
      <c r="AA90" s="174">
        <v>0.41216607778207126</v>
      </c>
    </row>
    <row r="91" spans="1:27">
      <c r="A91" s="170" t="s">
        <v>862</v>
      </c>
      <c r="B91" s="171">
        <v>21</v>
      </c>
      <c r="C91" s="172">
        <v>8.5724285710000001E-2</v>
      </c>
      <c r="D91" s="172">
        <v>6.8344413085163175E-2</v>
      </c>
      <c r="E91" s="172">
        <v>0.10895423734411661</v>
      </c>
      <c r="F91" s="172">
        <v>0.19644394413311603</v>
      </c>
      <c r="G91" s="173">
        <v>0.8323467894508807</v>
      </c>
      <c r="H91" s="173">
        <v>1.026899078</v>
      </c>
      <c r="I91" s="172">
        <v>9.0264730077399991E-2</v>
      </c>
      <c r="J91" s="172">
        <v>0.51675340199999997</v>
      </c>
      <c r="K91" s="172">
        <v>5.7800000000000004E-2</v>
      </c>
      <c r="L91" s="172">
        <v>0.27905061935740655</v>
      </c>
      <c r="M91" s="172">
        <v>7.7173145592315973E-2</v>
      </c>
      <c r="N91" s="173">
        <v>1.9438034247568625</v>
      </c>
      <c r="O91" s="173">
        <v>1.5760401872467884</v>
      </c>
      <c r="P91" s="173">
        <v>11.794225725241436</v>
      </c>
      <c r="Q91" s="173">
        <v>21.822021474964121</v>
      </c>
      <c r="R91" s="173">
        <v>4.8854504792465905</v>
      </c>
      <c r="S91" s="173">
        <v>24.83280336</v>
      </c>
      <c r="T91" s="172">
        <v>7.0722194977857464E-2</v>
      </c>
      <c r="U91" s="172">
        <v>5.6130368694257853E-2</v>
      </c>
      <c r="V91" s="172">
        <v>3.4716455347616589E-2</v>
      </c>
      <c r="W91" s="172">
        <v>1.0095105897567116</v>
      </c>
      <c r="X91" s="172">
        <v>0.1732466371886561</v>
      </c>
      <c r="Y91" s="172">
        <v>0.59783163336154532</v>
      </c>
      <c r="Z91" s="172">
        <v>0.59783163336154532</v>
      </c>
      <c r="AA91" s="174">
        <v>6.8305927345044565E-2</v>
      </c>
    </row>
    <row r="92" spans="1:27">
      <c r="A92" s="170" t="s">
        <v>863</v>
      </c>
      <c r="B92" s="171">
        <v>4</v>
      </c>
      <c r="C92" s="172">
        <v>2.23E-2</v>
      </c>
      <c r="D92" s="172">
        <v>0.38313530147727365</v>
      </c>
      <c r="E92" s="172">
        <v>0.15062156493399784</v>
      </c>
      <c r="F92" s="172">
        <v>0.23259321829371304</v>
      </c>
      <c r="G92" s="173">
        <v>0.82680427657044109</v>
      </c>
      <c r="H92" s="173">
        <v>0.99185610700000004</v>
      </c>
      <c r="I92" s="172">
        <v>8.8747369433099993E-2</v>
      </c>
      <c r="J92" s="172">
        <v>0.265599529</v>
      </c>
      <c r="K92" s="172">
        <v>5.0799999999999998E-2</v>
      </c>
      <c r="L92" s="172">
        <v>0.22113827756660989</v>
      </c>
      <c r="M92" s="172">
        <v>7.7547297393384493E-2</v>
      </c>
      <c r="N92" s="173">
        <v>0.47509810066637165</v>
      </c>
      <c r="O92" s="173">
        <v>6.2760962190032874</v>
      </c>
      <c r="P92" s="173">
        <v>12.558833786429959</v>
      </c>
      <c r="Q92" s="173">
        <v>16.403978960543967</v>
      </c>
      <c r="R92" s="173">
        <v>5.7917933026902615</v>
      </c>
      <c r="S92" s="173">
        <v>19.927687089999999</v>
      </c>
      <c r="T92" s="172">
        <v>1.012760038233488E-2</v>
      </c>
      <c r="U92" s="172">
        <v>0.1988219112081627</v>
      </c>
      <c r="V92" s="172">
        <v>9.4309271620960033E-2</v>
      </c>
      <c r="W92" s="172">
        <v>0.3189368237221375</v>
      </c>
      <c r="X92" s="172">
        <v>0.31992256328814483</v>
      </c>
      <c r="Y92" s="172">
        <v>0.42724562146779754</v>
      </c>
      <c r="Z92" s="172">
        <v>0.42724562146779754</v>
      </c>
      <c r="AA92" s="174">
        <v>0.38259596858170858</v>
      </c>
    </row>
    <row r="93" spans="1:27">
      <c r="A93" s="170" t="s">
        <v>864</v>
      </c>
      <c r="B93" s="171">
        <v>24</v>
      </c>
      <c r="C93" s="172">
        <v>0.1022627778</v>
      </c>
      <c r="D93" s="172">
        <v>6.9683456617177703E-2</v>
      </c>
      <c r="E93" s="172">
        <v>9.2994405161781868E-2</v>
      </c>
      <c r="F93" s="172">
        <v>0.24091420495127222</v>
      </c>
      <c r="G93" s="173">
        <v>0.96465362565367474</v>
      </c>
      <c r="H93" s="173">
        <v>1.104813204</v>
      </c>
      <c r="I93" s="172">
        <v>9.3638411733200005E-2</v>
      </c>
      <c r="J93" s="172">
        <v>0.32180094199999998</v>
      </c>
      <c r="K93" s="172">
        <v>5.5300000000000002E-2</v>
      </c>
      <c r="L93" s="172">
        <v>0.18643277958512136</v>
      </c>
      <c r="M93" s="172">
        <v>8.3913441891136392E-2</v>
      </c>
      <c r="N93" s="173">
        <v>1.6281746952724945</v>
      </c>
      <c r="O93" s="173">
        <v>1.8533738985390344</v>
      </c>
      <c r="P93" s="173">
        <v>11.329962641638978</v>
      </c>
      <c r="Q93" s="173">
        <v>25.314404890062036</v>
      </c>
      <c r="R93" s="173">
        <v>3.2266705489891581</v>
      </c>
      <c r="S93" s="173">
        <v>335.51513019999999</v>
      </c>
      <c r="T93" s="172">
        <v>7.0440298603836299E-2</v>
      </c>
      <c r="U93" s="172">
        <v>0.14730258749801634</v>
      </c>
      <c r="V93" s="172">
        <v>9.0853693674562669E-2</v>
      </c>
      <c r="W93" s="172">
        <v>1.6422339837953763</v>
      </c>
      <c r="X93" s="172">
        <v>9.3236257226682662E-2</v>
      </c>
      <c r="Y93" s="172">
        <v>0.23428414208931425</v>
      </c>
      <c r="Z93" s="172">
        <v>0.23428414208931425</v>
      </c>
      <c r="AA93" s="174">
        <v>7.161627256450262E-2</v>
      </c>
    </row>
    <row r="94" spans="1:27">
      <c r="A94" s="170" t="s">
        <v>865</v>
      </c>
      <c r="B94" s="171">
        <v>14</v>
      </c>
      <c r="C94" s="172">
        <v>2.3622142860000001E-2</v>
      </c>
      <c r="D94" s="172">
        <v>0.23277003858979722</v>
      </c>
      <c r="E94" s="172">
        <v>6.0541913857707054E-2</v>
      </c>
      <c r="F94" s="172">
        <v>0.10640099363124654</v>
      </c>
      <c r="G94" s="173">
        <v>0.2501807366180015</v>
      </c>
      <c r="H94" s="173">
        <v>0.393437747</v>
      </c>
      <c r="I94" s="172">
        <v>6.2835854445099995E-2</v>
      </c>
      <c r="J94" s="172">
        <v>0.18214476399999999</v>
      </c>
      <c r="K94" s="172">
        <v>5.0799999999999998E-2</v>
      </c>
      <c r="L94" s="172">
        <v>0.43837816797525603</v>
      </c>
      <c r="M94" s="172">
        <v>5.1992195890154469E-2</v>
      </c>
      <c r="N94" s="173">
        <v>0.29371422898224059</v>
      </c>
      <c r="O94" s="173">
        <v>5.2386033733076012</v>
      </c>
      <c r="P94" s="173">
        <v>13.439817358637111</v>
      </c>
      <c r="Q94" s="173">
        <v>22.708466614939166</v>
      </c>
      <c r="R94" s="173">
        <v>1.8234183995388085</v>
      </c>
      <c r="S94" s="173">
        <v>18.717166150000001</v>
      </c>
      <c r="T94" s="172">
        <v>6.0863152512305625E-2</v>
      </c>
      <c r="U94" s="172">
        <v>0.46439281293870399</v>
      </c>
      <c r="V94" s="172">
        <v>0.30653922157705915</v>
      </c>
      <c r="W94" s="172">
        <v>1.5320810969483256</v>
      </c>
      <c r="X94" s="172">
        <v>0.10812006094726512</v>
      </c>
      <c r="Y94" s="172">
        <v>0.63228137222703251</v>
      </c>
      <c r="Z94" s="172">
        <v>0.63228137222703251</v>
      </c>
      <c r="AA94" s="174">
        <v>0.23068943676986509</v>
      </c>
    </row>
    <row r="95" spans="1:27">
      <c r="A95" s="170" t="s">
        <v>866</v>
      </c>
      <c r="B95" s="171">
        <v>15</v>
      </c>
      <c r="C95" s="172">
        <v>0.1164666667</v>
      </c>
      <c r="D95" s="172">
        <v>0.33106423551087982</v>
      </c>
      <c r="E95" s="172">
        <v>6.9592373211453354E-2</v>
      </c>
      <c r="F95" s="172">
        <v>0.16358856638156224</v>
      </c>
      <c r="G95" s="173">
        <v>0.47321201737160523</v>
      </c>
      <c r="H95" s="173">
        <v>0.67856719700000001</v>
      </c>
      <c r="I95" s="172">
        <v>7.5181959630099993E-2</v>
      </c>
      <c r="J95" s="172">
        <v>0.29167780100000001</v>
      </c>
      <c r="K95" s="172">
        <v>5.0799999999999998E-2</v>
      </c>
      <c r="L95" s="172">
        <v>0.36963856764413655</v>
      </c>
      <c r="M95" s="172">
        <v>6.1475037186992133E-2</v>
      </c>
      <c r="N95" s="173">
        <v>0.23750271221398803</v>
      </c>
      <c r="O95" s="173">
        <v>7.5093192749480862</v>
      </c>
      <c r="P95" s="173">
        <v>15.027217298270639</v>
      </c>
      <c r="Q95" s="173">
        <v>22.558596050932096</v>
      </c>
      <c r="R95" s="173">
        <v>2.0547679174434674</v>
      </c>
      <c r="S95" s="173">
        <v>23.134377090000001</v>
      </c>
      <c r="T95" s="172">
        <v>0.10763973741455986</v>
      </c>
      <c r="U95" s="172">
        <v>0.55872847488709976</v>
      </c>
      <c r="V95" s="172">
        <v>0.4184202999074465</v>
      </c>
      <c r="W95" s="172">
        <v>1.5664814339057058</v>
      </c>
      <c r="X95" s="172">
        <v>0.15933623251563078</v>
      </c>
      <c r="Y95" s="172">
        <v>0.57826181089477313</v>
      </c>
      <c r="Z95" s="172">
        <v>0.37933536416241576</v>
      </c>
      <c r="AA95" s="174">
        <v>0.33063785757080549</v>
      </c>
    </row>
    <row r="96" spans="1:27">
      <c r="A96" t="s">
        <v>874</v>
      </c>
      <c r="B96">
        <v>6062</v>
      </c>
      <c r="C96" s="243">
        <v>9.9662820360000015E-2</v>
      </c>
      <c r="D96" s="243">
        <v>0.12082027487417142</v>
      </c>
      <c r="E96" s="243">
        <v>8.7282709945582834E-2</v>
      </c>
      <c r="F96" s="243">
        <v>0.19324455633307253</v>
      </c>
      <c r="G96" s="263">
        <v>0.81675187642856839</v>
      </c>
      <c r="H96" s="263">
        <v>1.0027796680000001</v>
      </c>
      <c r="I96" s="243">
        <v>8.9220359624400003E-2</v>
      </c>
      <c r="J96" s="243">
        <v>0.52532639199999998</v>
      </c>
      <c r="K96" s="243">
        <v>5.7800000000000004E-2</v>
      </c>
      <c r="L96" s="243">
        <v>0.28151279078230818</v>
      </c>
      <c r="M96" s="243">
        <v>7.6307266672347052E-2</v>
      </c>
      <c r="N96" s="263">
        <v>0.8431269668834348</v>
      </c>
      <c r="O96" s="263">
        <v>3.6461555004355399</v>
      </c>
      <c r="P96" s="263">
        <v>18.597580056961124</v>
      </c>
      <c r="Q96" s="263">
        <v>28.26574274666995</v>
      </c>
      <c r="R96" s="263">
        <v>4.308601916726718</v>
      </c>
      <c r="S96" s="263">
        <v>48.856127440000002</v>
      </c>
      <c r="T96" s="243">
        <v>-0.21701985477065053</v>
      </c>
      <c r="U96" s="243">
        <v>5.8751429774844113E-2</v>
      </c>
      <c r="V96" s="243">
        <v>4.2148320413931871E-2</v>
      </c>
      <c r="W96" s="243">
        <v>0.47727231933717679</v>
      </c>
      <c r="X96" s="243">
        <v>0.15933623251563078</v>
      </c>
      <c r="Y96" s="243">
        <v>0.3793353641624157</v>
      </c>
      <c r="Z96" s="243">
        <v>0.37933536416241576</v>
      </c>
      <c r="AA96" s="243">
        <v>0.12264077943971394</v>
      </c>
    </row>
    <row r="97" spans="1:27">
      <c r="A97" t="s">
        <v>873</v>
      </c>
      <c r="B97">
        <v>4935</v>
      </c>
      <c r="C97" s="243">
        <v>0.10246298224008107</v>
      </c>
      <c r="D97" s="243">
        <v>0.11934234745453784</v>
      </c>
      <c r="E97" s="243">
        <v>0.15008472975146017</v>
      </c>
      <c r="F97" s="243">
        <v>0.19335597694893408</v>
      </c>
      <c r="G97" s="263">
        <v>0.97679306437065361</v>
      </c>
      <c r="H97" s="263">
        <v>1.0857816776984806</v>
      </c>
      <c r="I97" s="243">
        <v>9.2814346644344209E-2</v>
      </c>
      <c r="J97" s="243">
        <v>0.57396285471894626</v>
      </c>
      <c r="K97" s="243">
        <v>5.7800000000000004E-2</v>
      </c>
      <c r="L97" s="243">
        <v>0.16170905004468053</v>
      </c>
      <c r="M97" s="243">
        <v>8.4815514137406539E-2</v>
      </c>
      <c r="N97" s="263">
        <v>1.5606598104159137</v>
      </c>
      <c r="O97" s="263">
        <v>2.9877222862024149</v>
      </c>
      <c r="P97" s="263">
        <v>15.831102273722884</v>
      </c>
      <c r="Q97" s="263">
        <v>24.411761199614997</v>
      </c>
      <c r="R97" s="263">
        <v>5.0970317355598365</v>
      </c>
      <c r="S97" s="263">
        <v>53.282762874549164</v>
      </c>
      <c r="T97" s="243">
        <v>8.2522039416223048E-2</v>
      </c>
      <c r="U97" s="243">
        <v>6.0781593174589768E-2</v>
      </c>
      <c r="V97" s="243">
        <v>4.3473903201840802E-2</v>
      </c>
      <c r="W97" s="243">
        <v>0.50790118641989512</v>
      </c>
      <c r="X97" s="243">
        <v>0.16407375407096406</v>
      </c>
      <c r="Y97" s="243">
        <v>0.39682647940453203</v>
      </c>
      <c r="Z97" s="243">
        <v>0.39682647940453197</v>
      </c>
      <c r="AA97" s="243">
        <v>0.1213209947335242</v>
      </c>
    </row>
  </sheetData>
  <phoneticPr fontId="21"/>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97"/>
  <sheetViews>
    <sheetView workbookViewId="0">
      <selection sqref="A1:AA1048576"/>
    </sheetView>
  </sheetViews>
  <sheetFormatPr baseColWidth="10" defaultRowHeight="14"/>
  <cols>
    <col min="1" max="1" width="17.42578125" bestFit="1" customWidth="1"/>
    <col min="2" max="2" width="9.85546875" bestFit="1" customWidth="1"/>
    <col min="3" max="3" width="8.140625" bestFit="1" customWidth="1"/>
    <col min="4" max="4" width="10.140625" bestFit="1" customWidth="1"/>
    <col min="6" max="6" width="9" bestFit="1" customWidth="1"/>
    <col min="7" max="7" width="9.85546875" bestFit="1" customWidth="1"/>
    <col min="8" max="8" width="19.28515625" bestFit="1" customWidth="1"/>
  </cols>
  <sheetData>
    <row r="1" spans="1:27" s="229" customFormat="1" ht="84">
      <c r="A1" s="224" t="s">
        <v>169</v>
      </c>
      <c r="B1" s="122" t="s">
        <v>69</v>
      </c>
      <c r="C1" s="225" t="s">
        <v>444</v>
      </c>
      <c r="D1" s="225" t="s">
        <v>741</v>
      </c>
      <c r="E1" s="225" t="s">
        <v>445</v>
      </c>
      <c r="F1" s="122" t="s">
        <v>446</v>
      </c>
      <c r="G1" s="122" t="s">
        <v>342</v>
      </c>
      <c r="H1" s="122" t="s">
        <v>447</v>
      </c>
      <c r="I1" s="122" t="s">
        <v>448</v>
      </c>
      <c r="J1" s="122" t="s">
        <v>449</v>
      </c>
      <c r="K1" s="122" t="s">
        <v>450</v>
      </c>
      <c r="L1" s="122" t="s">
        <v>122</v>
      </c>
      <c r="M1" s="122" t="s">
        <v>451</v>
      </c>
      <c r="N1" s="226" t="s">
        <v>131</v>
      </c>
      <c r="O1" s="122" t="s">
        <v>331</v>
      </c>
      <c r="P1" s="122" t="s">
        <v>452</v>
      </c>
      <c r="Q1" s="122" t="s">
        <v>453</v>
      </c>
      <c r="R1" s="122" t="s">
        <v>454</v>
      </c>
      <c r="S1" s="122" t="s">
        <v>455</v>
      </c>
      <c r="T1" s="122" t="s">
        <v>623</v>
      </c>
      <c r="U1" s="122" t="s">
        <v>624</v>
      </c>
      <c r="V1" s="122" t="s">
        <v>625</v>
      </c>
      <c r="W1" s="122" t="s">
        <v>27</v>
      </c>
      <c r="X1" s="224" t="s">
        <v>626</v>
      </c>
      <c r="Y1" s="224" t="s">
        <v>627</v>
      </c>
      <c r="Z1" s="224" t="s">
        <v>628</v>
      </c>
      <c r="AA1" s="122" t="s">
        <v>768</v>
      </c>
    </row>
    <row r="2" spans="1:27" s="149" customFormat="1" ht="13">
      <c r="A2" s="170" t="s">
        <v>170</v>
      </c>
      <c r="B2" s="171">
        <v>417</v>
      </c>
      <c r="C2" s="172">
        <v>6.8456443514644361E-2</v>
      </c>
      <c r="D2" s="172">
        <v>7.9130672196124074E-2</v>
      </c>
      <c r="E2" s="172">
        <v>0.21482336224002138</v>
      </c>
      <c r="F2" s="172">
        <v>0.27772030741013054</v>
      </c>
      <c r="G2" s="173">
        <v>1.1531366444558786</v>
      </c>
      <c r="H2" s="173">
        <v>1.254409764675642</v>
      </c>
      <c r="I2" s="172">
        <v>0.11742679756297916</v>
      </c>
      <c r="J2" s="172">
        <v>0.47409030355897464</v>
      </c>
      <c r="K2" s="172">
        <v>6.8199999999999997E-2</v>
      </c>
      <c r="L2" s="172">
        <v>0.21907007610000434</v>
      </c>
      <c r="M2" s="172">
        <v>0.1028746652029747</v>
      </c>
      <c r="N2" s="173">
        <v>3.3834631278928158</v>
      </c>
      <c r="O2" s="173">
        <v>1.6457239785378095</v>
      </c>
      <c r="P2" s="173">
        <v>12.92025260266753</v>
      </c>
      <c r="Q2" s="173">
        <v>19.470706486361774</v>
      </c>
      <c r="R2" s="173">
        <v>2.8478508119646855</v>
      </c>
      <c r="S2" s="173">
        <v>83.111457373649571</v>
      </c>
      <c r="T2" s="172">
        <v>3.5044234029197167E-3</v>
      </c>
      <c r="U2" s="172">
        <v>1.7263749038678611E-2</v>
      </c>
      <c r="V2" s="172">
        <v>4.0198830573491979E-4</v>
      </c>
      <c r="W2" s="172">
        <v>0.19188668826893185</v>
      </c>
      <c r="X2" s="172">
        <v>6.7759425287190769E-2</v>
      </c>
      <c r="Y2" s="172">
        <v>0.88570342248591327</v>
      </c>
      <c r="Z2" s="172">
        <v>0.88570342248591327</v>
      </c>
      <c r="AA2" s="174">
        <v>8.0901122750602003E-2</v>
      </c>
    </row>
    <row r="3" spans="1:27" s="149" customFormat="1" ht="13">
      <c r="A3" s="170" t="s">
        <v>351</v>
      </c>
      <c r="B3" s="171">
        <v>300</v>
      </c>
      <c r="C3" s="172">
        <v>9.7381373626373668E-2</v>
      </c>
      <c r="D3" s="172">
        <v>7.9742623371713783E-2</v>
      </c>
      <c r="E3" s="172">
        <v>0.13729203977947993</v>
      </c>
      <c r="F3" s="172">
        <v>0.17428076979295634</v>
      </c>
      <c r="G3" s="173">
        <v>0.95908676631153411</v>
      </c>
      <c r="H3" s="173">
        <v>1.037195471112474</v>
      </c>
      <c r="I3" s="172">
        <v>0.10502386140052226</v>
      </c>
      <c r="J3" s="172">
        <v>0.40681270069304865</v>
      </c>
      <c r="K3" s="172">
        <v>6.5699999999999995E-2</v>
      </c>
      <c r="L3" s="172">
        <v>0.15916292005563432</v>
      </c>
      <c r="M3" s="172">
        <v>9.6127704421773458E-2</v>
      </c>
      <c r="N3" s="173">
        <v>2.5396295766760097</v>
      </c>
      <c r="O3" s="173">
        <v>2.4742340513883314</v>
      </c>
      <c r="P3" s="173">
        <v>17.817018442398741</v>
      </c>
      <c r="Q3" s="173">
        <v>27.493400274781134</v>
      </c>
      <c r="R3" s="173">
        <v>5.4193257404266832</v>
      </c>
      <c r="S3" s="173">
        <v>97.714564789739043</v>
      </c>
      <c r="T3" s="172">
        <v>0.36921406772918758</v>
      </c>
      <c r="U3" s="172">
        <v>3.6123988332444672E-2</v>
      </c>
      <c r="V3" s="172">
        <v>2.590480889773784E-2</v>
      </c>
      <c r="W3" s="172">
        <v>0.98982892731915639</v>
      </c>
      <c r="X3" s="172">
        <v>0.13402938524886077</v>
      </c>
      <c r="Y3" s="172">
        <v>0.45591558195131565</v>
      </c>
      <c r="Z3" s="172">
        <v>0.45591558195131565</v>
      </c>
      <c r="AA3" s="174">
        <v>8.2616418551214085E-2</v>
      </c>
    </row>
    <row r="4" spans="1:27" s="149" customFormat="1" ht="13">
      <c r="A4" s="170" t="s">
        <v>258</v>
      </c>
      <c r="B4" s="171">
        <v>151</v>
      </c>
      <c r="C4" s="172">
        <v>4.7030937500000002E-2</v>
      </c>
      <c r="D4" s="172">
        <v>7.844318023938146E-2</v>
      </c>
      <c r="E4" s="172">
        <v>8.8502450190323032E-2</v>
      </c>
      <c r="F4" s="172">
        <v>0.18327850297384737</v>
      </c>
      <c r="G4" s="173">
        <v>0.85051192121043506</v>
      </c>
      <c r="H4" s="173">
        <v>1.2946167772204054</v>
      </c>
      <c r="I4" s="172">
        <v>0.11972261797928516</v>
      </c>
      <c r="J4" s="172">
        <v>0.34980433042159803</v>
      </c>
      <c r="K4" s="172">
        <v>6.5699999999999995E-2</v>
      </c>
      <c r="L4" s="172">
        <v>0.48039790421242834</v>
      </c>
      <c r="M4" s="172">
        <v>8.5810293232203905E-2</v>
      </c>
      <c r="N4" s="173">
        <v>1.3378150412707039</v>
      </c>
      <c r="O4" s="173">
        <v>1.3140939242029011</v>
      </c>
      <c r="P4" s="173">
        <v>8.859743965106361</v>
      </c>
      <c r="Q4" s="173">
        <v>16.544135959367118</v>
      </c>
      <c r="R4" s="173">
        <v>2.3421281268207106</v>
      </c>
      <c r="S4" s="173">
        <v>42.002025746879049</v>
      </c>
      <c r="T4" s="172">
        <v>-2.9945450543038217E-2</v>
      </c>
      <c r="U4" s="172">
        <v>9.6295298839035509E-2</v>
      </c>
      <c r="V4" s="172">
        <v>3.3190936995401862E-2</v>
      </c>
      <c r="W4" s="172">
        <v>0.5393379365190375</v>
      </c>
      <c r="X4" s="172">
        <v>0.20573068588882021</v>
      </c>
      <c r="Y4" s="172">
        <v>0.29684996339851633</v>
      </c>
      <c r="Z4" s="172">
        <v>0.29684996339851633</v>
      </c>
      <c r="AA4" s="174">
        <v>7.8030329804381154E-2</v>
      </c>
    </row>
    <row r="5" spans="1:27" s="149" customFormat="1" ht="13">
      <c r="A5" s="170" t="s">
        <v>260</v>
      </c>
      <c r="B5" s="171">
        <v>1194</v>
      </c>
      <c r="C5" s="172">
        <v>3.2728793650793675E-2</v>
      </c>
      <c r="D5" s="172">
        <v>0.14208716084613029</v>
      </c>
      <c r="E5" s="172">
        <v>0.18859814493129912</v>
      </c>
      <c r="F5" s="172">
        <v>0.25196081137983978</v>
      </c>
      <c r="G5" s="173">
        <v>0.69442860807389151</v>
      </c>
      <c r="H5" s="173">
        <v>0.75053973841130484</v>
      </c>
      <c r="I5" s="172">
        <v>8.8655819063285513E-2</v>
      </c>
      <c r="J5" s="172">
        <v>0.38575066387969126</v>
      </c>
      <c r="K5" s="172">
        <v>6.5699999999999995E-2</v>
      </c>
      <c r="L5" s="172">
        <v>0.1641661410566406</v>
      </c>
      <c r="M5" s="172">
        <v>8.2167093391987814E-2</v>
      </c>
      <c r="N5" s="173">
        <v>1.5685523836893338</v>
      </c>
      <c r="O5" s="173">
        <v>2.300082542343417</v>
      </c>
      <c r="P5" s="173">
        <v>12.737551855791756</v>
      </c>
      <c r="Q5" s="173">
        <v>15.694507480997327</v>
      </c>
      <c r="R5" s="173">
        <v>3.187809316791018</v>
      </c>
      <c r="S5" s="173">
        <v>50.668187761669721</v>
      </c>
      <c r="T5" s="172">
        <v>0.23010529425138171</v>
      </c>
      <c r="U5" s="172">
        <v>4.8569456351802064E-2</v>
      </c>
      <c r="V5" s="172">
        <v>3.638036258163637E-2</v>
      </c>
      <c r="W5" s="172">
        <v>0.47113928552253975</v>
      </c>
      <c r="X5" s="172">
        <v>0.14562582622166154</v>
      </c>
      <c r="Y5" s="172">
        <v>0.52340316995626268</v>
      </c>
      <c r="Z5" s="172">
        <v>0.52340316995626268</v>
      </c>
      <c r="AA5" s="174">
        <v>0.14362963274369131</v>
      </c>
    </row>
    <row r="6" spans="1:27" s="149" customFormat="1" ht="13">
      <c r="A6" s="170" t="s">
        <v>297</v>
      </c>
      <c r="B6" s="171">
        <v>162</v>
      </c>
      <c r="C6" s="172">
        <v>0.12695689320388354</v>
      </c>
      <c r="D6" s="172">
        <v>6.7066397288694402E-2</v>
      </c>
      <c r="E6" s="172">
        <v>7.1428458919596247E-2</v>
      </c>
      <c r="F6" s="172">
        <v>0.23279848887114113</v>
      </c>
      <c r="G6" s="173">
        <v>1.2450163798565128</v>
      </c>
      <c r="H6" s="173">
        <v>1.5289121782877741</v>
      </c>
      <c r="I6" s="172">
        <v>0.1331008853802319</v>
      </c>
      <c r="J6" s="172">
        <v>0.47910660285728646</v>
      </c>
      <c r="K6" s="172">
        <v>6.8199999999999997E-2</v>
      </c>
      <c r="L6" s="172">
        <v>0.33160162018624123</v>
      </c>
      <c r="M6" s="172">
        <v>0.10587608550535731</v>
      </c>
      <c r="N6" s="173">
        <v>1.3255157215079496</v>
      </c>
      <c r="O6" s="173">
        <v>1.3688004851918063</v>
      </c>
      <c r="P6" s="173">
        <v>12.12555584215913</v>
      </c>
      <c r="Q6" s="173">
        <v>19.801842238501486</v>
      </c>
      <c r="R6" s="173">
        <v>1.9254463546374438</v>
      </c>
      <c r="S6" s="173">
        <v>280.71089678234097</v>
      </c>
      <c r="T6" s="172">
        <v>4.8572616840444525E-2</v>
      </c>
      <c r="U6" s="172">
        <v>6.6225061500638518E-2</v>
      </c>
      <c r="V6" s="172">
        <v>4.2017509132913015E-2</v>
      </c>
      <c r="W6" s="172">
        <v>0.77049467401141714</v>
      </c>
      <c r="X6" s="172">
        <v>0.11597865658055551</v>
      </c>
      <c r="Y6" s="172">
        <v>0.30537677843928696</v>
      </c>
      <c r="Z6" s="172">
        <v>0.3053767784392869</v>
      </c>
      <c r="AA6" s="174">
        <v>7.0078491247004424E-2</v>
      </c>
    </row>
    <row r="7" spans="1:27" s="149" customFormat="1" ht="13">
      <c r="A7" s="170" t="s">
        <v>803</v>
      </c>
      <c r="B7" s="171">
        <v>780</v>
      </c>
      <c r="C7" s="172">
        <v>7.5551744749596195E-2</v>
      </c>
      <c r="D7" s="172">
        <v>5.2685484232626527E-2</v>
      </c>
      <c r="E7" s="172">
        <v>7.9377704302396088E-2</v>
      </c>
      <c r="F7" s="172">
        <v>0.22585506000984751</v>
      </c>
      <c r="G7" s="173">
        <v>1.1857071522127585</v>
      </c>
      <c r="H7" s="173">
        <v>1.2988008165300675</v>
      </c>
      <c r="I7" s="172">
        <v>0.11996152662386686</v>
      </c>
      <c r="J7" s="172">
        <v>0.36388827016804043</v>
      </c>
      <c r="K7" s="172">
        <v>6.5699999999999995E-2</v>
      </c>
      <c r="L7" s="172">
        <v>0.26425914763158243</v>
      </c>
      <c r="M7" s="172">
        <v>0.10124376933200797</v>
      </c>
      <c r="N7" s="173">
        <v>2.0899721697370044</v>
      </c>
      <c r="O7" s="173">
        <v>0.73745546074822621</v>
      </c>
      <c r="P7" s="173">
        <v>7.2426584817611523</v>
      </c>
      <c r="Q7" s="173">
        <v>13.350115616373527</v>
      </c>
      <c r="R7" s="173">
        <v>1.299794235311194</v>
      </c>
      <c r="S7" s="173">
        <v>44.145380578058656</v>
      </c>
      <c r="T7" s="172">
        <v>0.11844074988072356</v>
      </c>
      <c r="U7" s="172">
        <v>5.1831986762537516E-2</v>
      </c>
      <c r="V7" s="172">
        <v>3.207403889156836E-2</v>
      </c>
      <c r="W7" s="172">
        <v>0.90977623070413993</v>
      </c>
      <c r="X7" s="172">
        <v>7.2108598828549225E-2</v>
      </c>
      <c r="Y7" s="172">
        <v>0.42003285322369399</v>
      </c>
      <c r="Z7" s="172">
        <v>0.42003285322369399</v>
      </c>
      <c r="AA7" s="174">
        <v>5.6199116348985993E-2</v>
      </c>
    </row>
    <row r="8" spans="1:27" s="149" customFormat="1" ht="13">
      <c r="A8" s="170" t="s">
        <v>804</v>
      </c>
      <c r="B8" s="171">
        <v>621</v>
      </c>
      <c r="C8" s="172">
        <v>0.13966549019607843</v>
      </c>
      <c r="D8" s="172" t="s">
        <v>285</v>
      </c>
      <c r="E8" s="172" t="s">
        <v>285</v>
      </c>
      <c r="F8" s="172">
        <v>0.19221418038942642</v>
      </c>
      <c r="G8" s="173">
        <v>0.38784572990231719</v>
      </c>
      <c r="H8" s="173">
        <v>0.79703324846926948</v>
      </c>
      <c r="I8" s="172">
        <v>9.131059848759529E-2</v>
      </c>
      <c r="J8" s="172">
        <v>0.23784037636515615</v>
      </c>
      <c r="K8" s="172">
        <v>6.1199999999999997E-2</v>
      </c>
      <c r="L8" s="172">
        <v>0.7260594506571556</v>
      </c>
      <c r="M8" s="172">
        <v>5.8242047651242718E-2</v>
      </c>
      <c r="N8" s="173">
        <v>0</v>
      </c>
      <c r="O8" s="173" t="s">
        <v>285</v>
      </c>
      <c r="P8" s="173" t="s">
        <v>285</v>
      </c>
      <c r="Q8" s="173" t="s">
        <v>285</v>
      </c>
      <c r="R8" s="173">
        <v>0.90353181008972139</v>
      </c>
      <c r="S8" s="173">
        <v>15.369409408303067</v>
      </c>
      <c r="T8" s="172" t="s">
        <v>285</v>
      </c>
      <c r="U8" s="172" t="s">
        <v>285</v>
      </c>
      <c r="V8" s="172" t="s">
        <v>285</v>
      </c>
      <c r="W8" s="172" t="s">
        <v>285</v>
      </c>
      <c r="X8" s="172">
        <v>0.11993770657008117</v>
      </c>
      <c r="Y8" s="172">
        <v>0.3829230402791724</v>
      </c>
      <c r="Z8" s="172">
        <v>0.38292304027917234</v>
      </c>
      <c r="AA8" s="174" t="s">
        <v>285</v>
      </c>
    </row>
    <row r="9" spans="1:27" s="149" customFormat="1" ht="13">
      <c r="A9" s="170" t="s">
        <v>805</v>
      </c>
      <c r="B9" s="171">
        <v>849</v>
      </c>
      <c r="C9" s="172">
        <v>7.0516584022038573E-2</v>
      </c>
      <c r="D9" s="172" t="s">
        <v>285</v>
      </c>
      <c r="E9" s="172" t="s">
        <v>285</v>
      </c>
      <c r="F9" s="172">
        <v>0.1906673120451636</v>
      </c>
      <c r="G9" s="173">
        <v>0.32581147370869468</v>
      </c>
      <c r="H9" s="173">
        <v>0.5570410856784398</v>
      </c>
      <c r="I9" s="172">
        <v>7.7607045992238916E-2</v>
      </c>
      <c r="J9" s="172">
        <v>0.27469873140890805</v>
      </c>
      <c r="K9" s="172">
        <v>6.1199999999999997E-2</v>
      </c>
      <c r="L9" s="172">
        <v>0.69353806789852634</v>
      </c>
      <c r="M9" s="172">
        <v>5.5523624610549965E-2</v>
      </c>
      <c r="N9" s="173">
        <v>0</v>
      </c>
      <c r="O9" s="173" t="s">
        <v>285</v>
      </c>
      <c r="P9" s="173" t="s">
        <v>285</v>
      </c>
      <c r="Q9" s="173" t="s">
        <v>285</v>
      </c>
      <c r="R9" s="173">
        <v>0.78022859803347233</v>
      </c>
      <c r="S9" s="173">
        <v>16.319062069258603</v>
      </c>
      <c r="T9" s="172" t="s">
        <v>285</v>
      </c>
      <c r="U9" s="172" t="s">
        <v>285</v>
      </c>
      <c r="V9" s="172" t="s">
        <v>285</v>
      </c>
      <c r="W9" s="172" t="s">
        <v>285</v>
      </c>
      <c r="X9" s="172">
        <v>7.5955809776640404E-2</v>
      </c>
      <c r="Y9" s="172">
        <v>0.39896721798767482</v>
      </c>
      <c r="Z9" s="172">
        <v>0.39896721798767487</v>
      </c>
      <c r="AA9" s="174" t="s">
        <v>285</v>
      </c>
    </row>
    <row r="10" spans="1:27" s="149" customFormat="1" ht="13">
      <c r="A10" s="170" t="s">
        <v>289</v>
      </c>
      <c r="B10" s="171">
        <v>216</v>
      </c>
      <c r="C10" s="172">
        <v>8.4664189944134063E-2</v>
      </c>
      <c r="D10" s="172">
        <v>0.22475441046323</v>
      </c>
      <c r="E10" s="172">
        <v>0.15898286131530992</v>
      </c>
      <c r="F10" s="172">
        <v>0.249070921933466</v>
      </c>
      <c r="G10" s="173">
        <v>0.78231423457594007</v>
      </c>
      <c r="H10" s="173">
        <v>0.86351323985664896</v>
      </c>
      <c r="I10" s="172">
        <v>9.5106605995814664E-2</v>
      </c>
      <c r="J10" s="172">
        <v>0.32159699196792862</v>
      </c>
      <c r="K10" s="172">
        <v>6.5699999999999995E-2</v>
      </c>
      <c r="L10" s="172">
        <v>0.19010886786225525</v>
      </c>
      <c r="M10" s="172">
        <v>8.6366132931880585E-2</v>
      </c>
      <c r="N10" s="173">
        <v>0.84834843796160442</v>
      </c>
      <c r="O10" s="173">
        <v>2.9382465622400087</v>
      </c>
      <c r="P10" s="173">
        <v>10.864403573135078</v>
      </c>
      <c r="Q10" s="173">
        <v>12.947360370099922</v>
      </c>
      <c r="R10" s="173">
        <v>2.3889454445917453</v>
      </c>
      <c r="S10" s="173">
        <v>37.119177581089552</v>
      </c>
      <c r="T10" s="172">
        <v>0.10033319989160408</v>
      </c>
      <c r="U10" s="172">
        <v>4.9327755412571755E-2</v>
      </c>
      <c r="V10" s="172">
        <v>1.4771796284374744E-2</v>
      </c>
      <c r="W10" s="172">
        <v>0.14851681898506583</v>
      </c>
      <c r="X10" s="172">
        <v>0.12953690994733089</v>
      </c>
      <c r="Y10" s="172">
        <v>0.58559871523956064</v>
      </c>
      <c r="Z10" s="172">
        <v>0.58559871523956064</v>
      </c>
      <c r="AA10" s="174">
        <v>0.22401121282496458</v>
      </c>
    </row>
    <row r="11" spans="1:27" s="149" customFormat="1" ht="13">
      <c r="A11" s="170" t="s">
        <v>806</v>
      </c>
      <c r="B11" s="171">
        <v>101</v>
      </c>
      <c r="C11" s="172">
        <v>7.2841746031746021E-2</v>
      </c>
      <c r="D11" s="172">
        <v>0.17273825570109677</v>
      </c>
      <c r="E11" s="172">
        <v>0.26466406261132963</v>
      </c>
      <c r="F11" s="172">
        <v>0.21237668954286396</v>
      </c>
      <c r="G11" s="173">
        <v>0.52415870260852537</v>
      </c>
      <c r="H11" s="173">
        <v>0.57262636973795178</v>
      </c>
      <c r="I11" s="172">
        <v>7.8496965712037042E-2</v>
      </c>
      <c r="J11" s="172">
        <v>0.34852094064678985</v>
      </c>
      <c r="K11" s="172">
        <v>6.5699999999999995E-2</v>
      </c>
      <c r="L11" s="172">
        <v>0.15617531459487424</v>
      </c>
      <c r="M11" s="172">
        <v>7.3910642443907479E-2</v>
      </c>
      <c r="N11" s="173">
        <v>1.7731795673077668</v>
      </c>
      <c r="O11" s="173">
        <v>3.373147103839262</v>
      </c>
      <c r="P11" s="173">
        <v>15.971324202788859</v>
      </c>
      <c r="Q11" s="173">
        <v>19.414654477752674</v>
      </c>
      <c r="R11" s="173">
        <v>6.0639453829153132</v>
      </c>
      <c r="S11" s="173">
        <v>27.394975805455502</v>
      </c>
      <c r="T11" s="172">
        <v>-6.6279153545552666E-2</v>
      </c>
      <c r="U11" s="172">
        <v>5.5461521619933403E-2</v>
      </c>
      <c r="V11" s="172">
        <v>3.4472421066757616E-2</v>
      </c>
      <c r="W11" s="172">
        <v>0.32446840970412993</v>
      </c>
      <c r="X11" s="172">
        <v>0.26342971153258932</v>
      </c>
      <c r="Y11" s="172">
        <v>0.64471334059424779</v>
      </c>
      <c r="Z11" s="172">
        <v>0.64471334059424779</v>
      </c>
      <c r="AA11" s="174">
        <v>0.17363889123785076</v>
      </c>
    </row>
    <row r="12" spans="1:27" s="149" customFormat="1" ht="13">
      <c r="A12" s="170" t="s">
        <v>807</v>
      </c>
      <c r="B12" s="171">
        <v>126</v>
      </c>
      <c r="C12" s="172">
        <v>1.5663523809523815E-2</v>
      </c>
      <c r="D12" s="172">
        <v>0.10026649034327256</v>
      </c>
      <c r="E12" s="172">
        <v>9.1187663969569746E-2</v>
      </c>
      <c r="F12" s="172">
        <v>0.24870391104560474</v>
      </c>
      <c r="G12" s="173">
        <v>0.69938066153575107</v>
      </c>
      <c r="H12" s="173">
        <v>1.0043908188810557</v>
      </c>
      <c r="I12" s="172">
        <v>0.10315071575810827</v>
      </c>
      <c r="J12" s="172">
        <v>0.39297438939225027</v>
      </c>
      <c r="K12" s="172">
        <v>6.5699999999999995E-2</v>
      </c>
      <c r="L12" s="172">
        <v>0.45516247895507844</v>
      </c>
      <c r="M12" s="172">
        <v>7.8562722233460364E-2</v>
      </c>
      <c r="N12" s="173">
        <v>1.0683894088183026</v>
      </c>
      <c r="O12" s="173">
        <v>1.195970558927447</v>
      </c>
      <c r="P12" s="173">
        <v>7.4336340529543712</v>
      </c>
      <c r="Q12" s="173">
        <v>11.248085810490112</v>
      </c>
      <c r="R12" s="173">
        <v>0.86208534748094001</v>
      </c>
      <c r="S12" s="173">
        <v>81.554915456227832</v>
      </c>
      <c r="T12" s="172">
        <v>0.14311964500119906</v>
      </c>
      <c r="U12" s="172">
        <v>3.3601495740461944E-2</v>
      </c>
      <c r="V12" s="172">
        <v>-9.7096431774911715E-3</v>
      </c>
      <c r="W12" s="172">
        <v>1.4386473146249832</v>
      </c>
      <c r="X12" s="172">
        <v>-1.7943670483959652E-2</v>
      </c>
      <c r="Y12" s="172">
        <v>6.0205969131575639E-3</v>
      </c>
      <c r="Z12" s="172">
        <v>6.0205969131575943E-3</v>
      </c>
      <c r="AA12" s="174">
        <v>0.10006439131743146</v>
      </c>
    </row>
    <row r="13" spans="1:27" s="149" customFormat="1" ht="13">
      <c r="A13" s="170" t="s">
        <v>808</v>
      </c>
      <c r="B13" s="171">
        <v>606</v>
      </c>
      <c r="C13" s="172">
        <v>0.19713917721518975</v>
      </c>
      <c r="D13" s="172" t="s">
        <v>285</v>
      </c>
      <c r="E13" s="172" t="s">
        <v>285</v>
      </c>
      <c r="F13" s="172">
        <v>0.19425314029367832</v>
      </c>
      <c r="G13" s="173">
        <v>0.40657974968199745</v>
      </c>
      <c r="H13" s="173">
        <v>0.90851379972544732</v>
      </c>
      <c r="I13" s="172">
        <v>9.7676137964323034E-2</v>
      </c>
      <c r="J13" s="172">
        <v>0.38888892303727779</v>
      </c>
      <c r="K13" s="172">
        <v>6.5699999999999995E-2</v>
      </c>
      <c r="L13" s="172">
        <v>0.68400208428459641</v>
      </c>
      <c r="M13" s="172">
        <v>6.4470793053717265E-2</v>
      </c>
      <c r="N13" s="173">
        <v>0</v>
      </c>
      <c r="O13" s="173" t="s">
        <v>285</v>
      </c>
      <c r="P13" s="173" t="s">
        <v>285</v>
      </c>
      <c r="Q13" s="173" t="s">
        <v>285</v>
      </c>
      <c r="R13" s="173">
        <v>1.4657788628543078</v>
      </c>
      <c r="S13" s="173">
        <v>101.58408036324856</v>
      </c>
      <c r="T13" s="172" t="s">
        <v>285</v>
      </c>
      <c r="U13" s="172" t="s">
        <v>285</v>
      </c>
      <c r="V13" s="172" t="s">
        <v>285</v>
      </c>
      <c r="W13" s="172" t="s">
        <v>285</v>
      </c>
      <c r="X13" s="172">
        <v>8.8577418654919582E-2</v>
      </c>
      <c r="Y13" s="172">
        <v>0.52114264152108358</v>
      </c>
      <c r="Z13" s="172">
        <v>0.52114264152108358</v>
      </c>
      <c r="AA13" s="174" t="s">
        <v>285</v>
      </c>
    </row>
    <row r="14" spans="1:27" s="149" customFormat="1" ht="13">
      <c r="A14" s="170" t="s">
        <v>279</v>
      </c>
      <c r="B14" s="171">
        <v>462</v>
      </c>
      <c r="C14" s="172">
        <v>4.7801337047353745E-2</v>
      </c>
      <c r="D14" s="172">
        <v>0.10550739754850814</v>
      </c>
      <c r="E14" s="172">
        <v>0.15629327131409368</v>
      </c>
      <c r="F14" s="172">
        <v>0.22959364703573754</v>
      </c>
      <c r="G14" s="173">
        <v>0.93500071432094212</v>
      </c>
      <c r="H14" s="173">
        <v>1.026465291452767</v>
      </c>
      <c r="I14" s="172">
        <v>0.104411168141953</v>
      </c>
      <c r="J14" s="172">
        <v>0.31754053539247207</v>
      </c>
      <c r="K14" s="172">
        <v>6.5699999999999995E-2</v>
      </c>
      <c r="L14" s="172">
        <v>0.17989724912380414</v>
      </c>
      <c r="M14" s="172">
        <v>9.4466320817599786E-2</v>
      </c>
      <c r="N14" s="173">
        <v>1.9021251075734757</v>
      </c>
      <c r="O14" s="173">
        <v>1.7897276422263575</v>
      </c>
      <c r="P14" s="173">
        <v>11.907869725109522</v>
      </c>
      <c r="Q14" s="173">
        <v>16.651118535377062</v>
      </c>
      <c r="R14" s="173">
        <v>2.6995663189437971</v>
      </c>
      <c r="S14" s="173">
        <v>30.110179863252046</v>
      </c>
      <c r="T14" s="172">
        <v>0.16970841977263171</v>
      </c>
      <c r="U14" s="172">
        <v>4.3768420280374733E-2</v>
      </c>
      <c r="V14" s="172">
        <v>6.6589851931292854E-2</v>
      </c>
      <c r="W14" s="172">
        <v>0.79082586501702412</v>
      </c>
      <c r="X14" s="172">
        <v>0.13491464933049338</v>
      </c>
      <c r="Y14" s="172">
        <v>0.35065128367847975</v>
      </c>
      <c r="Z14" s="172">
        <v>0.35065128367847975</v>
      </c>
      <c r="AA14" s="174">
        <v>0.10782324738340433</v>
      </c>
    </row>
    <row r="15" spans="1:27" s="149" customFormat="1" ht="13">
      <c r="A15" s="170" t="s">
        <v>809</v>
      </c>
      <c r="B15" s="171">
        <v>974</v>
      </c>
      <c r="C15" s="172">
        <v>7.7076274217585714E-2</v>
      </c>
      <c r="D15" s="172">
        <v>9.7820012620252209E-2</v>
      </c>
      <c r="E15" s="172">
        <v>0.21417691014080062</v>
      </c>
      <c r="F15" s="172">
        <v>0.23134744568769999</v>
      </c>
      <c r="G15" s="173">
        <v>0.94649819204033148</v>
      </c>
      <c r="H15" s="173">
        <v>1.0155396933661369</v>
      </c>
      <c r="I15" s="172">
        <v>0.10378731649120641</v>
      </c>
      <c r="J15" s="172">
        <v>0.38820796548927772</v>
      </c>
      <c r="K15" s="172">
        <v>6.5699999999999995E-2</v>
      </c>
      <c r="L15" s="172">
        <v>0.14718679969998058</v>
      </c>
      <c r="M15" s="172">
        <v>9.5742548702604638E-2</v>
      </c>
      <c r="N15" s="173">
        <v>2.7985865920521169</v>
      </c>
      <c r="O15" s="173">
        <v>2.2341584603955802</v>
      </c>
      <c r="P15" s="173">
        <v>15.979569702346412</v>
      </c>
      <c r="Q15" s="173">
        <v>22.033240918860638</v>
      </c>
      <c r="R15" s="173">
        <v>4.7263067820979758</v>
      </c>
      <c r="S15" s="173">
        <v>50.160271323639762</v>
      </c>
      <c r="T15" s="172">
        <v>0.11117210612160035</v>
      </c>
      <c r="U15" s="172">
        <v>2.553366038165102E-2</v>
      </c>
      <c r="V15" s="172">
        <v>5.6238531321691713E-3</v>
      </c>
      <c r="W15" s="172">
        <v>0.15404640571695835</v>
      </c>
      <c r="X15" s="172">
        <v>0.15996585353877668</v>
      </c>
      <c r="Y15" s="172">
        <v>0.46928573953951008</v>
      </c>
      <c r="Z15" s="172">
        <v>0.46928573953951003</v>
      </c>
      <c r="AA15" s="174">
        <v>9.940853263234993E-2</v>
      </c>
    </row>
    <row r="16" spans="1:27" s="149" customFormat="1" ht="13">
      <c r="A16" s="170" t="s">
        <v>387</v>
      </c>
      <c r="B16" s="171">
        <v>45</v>
      </c>
      <c r="C16" s="172">
        <v>4.1268780487804885E-2</v>
      </c>
      <c r="D16" s="172">
        <v>0.17152961199324118</v>
      </c>
      <c r="E16" s="172">
        <v>0.12395246866735661</v>
      </c>
      <c r="F16" s="172">
        <v>0.25041302283655165</v>
      </c>
      <c r="G16" s="173">
        <v>0.5924148760482556</v>
      </c>
      <c r="H16" s="173">
        <v>1.0687515972057318</v>
      </c>
      <c r="I16" s="172">
        <v>0.10682571620044728</v>
      </c>
      <c r="J16" s="172">
        <v>0.38950232042602995</v>
      </c>
      <c r="K16" s="172">
        <v>6.5699999999999995E-2</v>
      </c>
      <c r="L16" s="172">
        <v>0.53617647135134661</v>
      </c>
      <c r="M16" s="172">
        <v>7.5890877317179556E-2</v>
      </c>
      <c r="N16" s="173">
        <v>0.82540081161507262</v>
      </c>
      <c r="O16" s="173">
        <v>2.3017811696776587</v>
      </c>
      <c r="P16" s="173">
        <v>7.2771082284648241</v>
      </c>
      <c r="Q16" s="173">
        <v>13.502588554663282</v>
      </c>
      <c r="R16" s="173">
        <v>1.4440953280626694</v>
      </c>
      <c r="S16" s="173">
        <v>63.461614503409031</v>
      </c>
      <c r="T16" s="172">
        <v>2.333817089107924E-2</v>
      </c>
      <c r="U16" s="172">
        <v>0.12840740382377908</v>
      </c>
      <c r="V16" s="172">
        <v>-3.8141169095833056E-3</v>
      </c>
      <c r="W16" s="172">
        <v>4.6504520896977826E-2</v>
      </c>
      <c r="X16" s="172">
        <v>0.11186832855618259</v>
      </c>
      <c r="Y16" s="172">
        <v>0.38660462962010872</v>
      </c>
      <c r="Z16" s="172">
        <v>0.38660462962010866</v>
      </c>
      <c r="AA16" s="174">
        <v>0.16884225115837503</v>
      </c>
    </row>
    <row r="17" spans="1:27" s="149" customFormat="1" ht="13">
      <c r="A17" s="170" t="s">
        <v>304</v>
      </c>
      <c r="B17" s="171">
        <v>897</v>
      </c>
      <c r="C17" s="172">
        <v>7.8558569405099171E-2</v>
      </c>
      <c r="D17" s="172">
        <v>4.3643418482694665E-2</v>
      </c>
      <c r="E17" s="172">
        <v>4.2117702198530053E-2</v>
      </c>
      <c r="F17" s="172">
        <v>0.19032896528430887</v>
      </c>
      <c r="G17" s="173">
        <v>0.90590363506006133</v>
      </c>
      <c r="H17" s="173">
        <v>1.1492820149889402</v>
      </c>
      <c r="I17" s="172">
        <v>0.1114240030558685</v>
      </c>
      <c r="J17" s="172">
        <v>0.34088887374809757</v>
      </c>
      <c r="K17" s="172">
        <v>6.5699999999999995E-2</v>
      </c>
      <c r="L17" s="172">
        <v>0.3553919782186683</v>
      </c>
      <c r="M17" s="172">
        <v>8.9285377558993601E-2</v>
      </c>
      <c r="N17" s="173">
        <v>1.1559379942651005</v>
      </c>
      <c r="O17" s="173">
        <v>1.1972259407228243</v>
      </c>
      <c r="P17" s="173">
        <v>10.877089343936419</v>
      </c>
      <c r="Q17" s="173">
        <v>25.707501671760706</v>
      </c>
      <c r="R17" s="173">
        <v>1.21261882745677</v>
      </c>
      <c r="S17" s="173">
        <v>58.86034971850286</v>
      </c>
      <c r="T17" s="172">
        <v>0.12904778151210078</v>
      </c>
      <c r="U17" s="172">
        <v>9.1259645082884505E-2</v>
      </c>
      <c r="V17" s="172">
        <v>5.7368302148702262E-2</v>
      </c>
      <c r="W17" s="172">
        <v>0.97814310583565767</v>
      </c>
      <c r="X17" s="172">
        <v>3.0176306306210342E-2</v>
      </c>
      <c r="Y17" s="172">
        <v>1.6512525361502586</v>
      </c>
      <c r="Z17" s="172">
        <v>1.6512525361502586</v>
      </c>
      <c r="AA17" s="174">
        <v>4.4803981992907076E-2</v>
      </c>
    </row>
    <row r="18" spans="1:27" s="149" customFormat="1" ht="13">
      <c r="A18" s="170" t="s">
        <v>305</v>
      </c>
      <c r="B18" s="171">
        <v>64</v>
      </c>
      <c r="C18" s="172">
        <v>6.5249655172413781E-2</v>
      </c>
      <c r="D18" s="172">
        <v>5.4331134533132541E-2</v>
      </c>
      <c r="E18" s="172">
        <v>4.7486814943558296E-2</v>
      </c>
      <c r="F18" s="172">
        <v>0.31321076583747998</v>
      </c>
      <c r="G18" s="173">
        <v>0.84112979152776335</v>
      </c>
      <c r="H18" s="173">
        <v>1.1400490925634852</v>
      </c>
      <c r="I18" s="172">
        <v>0.11089680318537501</v>
      </c>
      <c r="J18" s="172">
        <v>0.28122766558418827</v>
      </c>
      <c r="K18" s="172">
        <v>6.1199999999999997E-2</v>
      </c>
      <c r="L18" s="172">
        <v>0.39462038216250384</v>
      </c>
      <c r="M18" s="172">
        <v>8.5194608184766915E-2</v>
      </c>
      <c r="N18" s="173">
        <v>1.1517164786342886</v>
      </c>
      <c r="O18" s="173">
        <v>1.0086358851198249</v>
      </c>
      <c r="P18" s="173">
        <v>8.4191756106108553</v>
      </c>
      <c r="Q18" s="173">
        <v>17.463822445049399</v>
      </c>
      <c r="R18" s="173">
        <v>1.1109210276463266</v>
      </c>
      <c r="S18" s="173">
        <v>29.17400284822903</v>
      </c>
      <c r="T18" s="172">
        <v>0.19455144732873944</v>
      </c>
      <c r="U18" s="172">
        <v>8.1398847067447891E-2</v>
      </c>
      <c r="V18" s="172">
        <v>3.7391688830966364E-2</v>
      </c>
      <c r="W18" s="172">
        <v>0.87609432406226295</v>
      </c>
      <c r="X18" s="172">
        <v>1.6669653664093967E-2</v>
      </c>
      <c r="Y18" s="172">
        <v>2.9180099722687398</v>
      </c>
      <c r="Z18" s="172">
        <v>2.9180099722687398</v>
      </c>
      <c r="AA18" s="174">
        <v>5.5717654732580918E-2</v>
      </c>
    </row>
    <row r="19" spans="1:27" s="149" customFormat="1" ht="13">
      <c r="A19" s="170" t="s">
        <v>22</v>
      </c>
      <c r="B19" s="171">
        <v>951</v>
      </c>
      <c r="C19" s="172">
        <v>8.4908076358296669E-2</v>
      </c>
      <c r="D19" s="172">
        <v>0.10567135821074822</v>
      </c>
      <c r="E19" s="172">
        <v>9.62744977475017E-2</v>
      </c>
      <c r="F19" s="172">
        <v>0.2302263226325249</v>
      </c>
      <c r="G19" s="173">
        <v>0.94900606136085075</v>
      </c>
      <c r="H19" s="173">
        <v>1.0488139972344594</v>
      </c>
      <c r="I19" s="172">
        <v>0.10568727924208762</v>
      </c>
      <c r="J19" s="172">
        <v>0.37283898938248589</v>
      </c>
      <c r="K19" s="172">
        <v>6.5699999999999995E-2</v>
      </c>
      <c r="L19" s="172">
        <v>0.19388773722892033</v>
      </c>
      <c r="M19" s="172">
        <v>9.4721605534374198E-2</v>
      </c>
      <c r="N19" s="173">
        <v>1.1280818260629875</v>
      </c>
      <c r="O19" s="173">
        <v>2.2179806855203226</v>
      </c>
      <c r="P19" s="173">
        <v>12.545314456391363</v>
      </c>
      <c r="Q19" s="173">
        <v>20.102124642214093</v>
      </c>
      <c r="R19" s="173">
        <v>2.133892680679617</v>
      </c>
      <c r="S19" s="173">
        <v>42.713961673858442</v>
      </c>
      <c r="T19" s="172">
        <v>0.18536199182641627</v>
      </c>
      <c r="U19" s="172">
        <v>9.0457179535370386E-2</v>
      </c>
      <c r="V19" s="172">
        <v>4.9438736103891566E-2</v>
      </c>
      <c r="W19" s="172">
        <v>0.62846707119024903</v>
      </c>
      <c r="X19" s="172">
        <v>7.4547691383732198E-2</v>
      </c>
      <c r="Y19" s="172">
        <v>0.67257541911830077</v>
      </c>
      <c r="Z19" s="172">
        <v>0.67257541911830077</v>
      </c>
      <c r="AA19" s="174">
        <v>0.10690822933918473</v>
      </c>
    </row>
    <row r="20" spans="1:27" s="149" customFormat="1" ht="13">
      <c r="A20" s="170" t="s">
        <v>810</v>
      </c>
      <c r="B20" s="171">
        <v>216</v>
      </c>
      <c r="C20" s="172">
        <v>7.4630825688073374E-2</v>
      </c>
      <c r="D20" s="172">
        <v>0.20749330061841298</v>
      </c>
      <c r="E20" s="172">
        <v>0.24085864121433487</v>
      </c>
      <c r="F20" s="172">
        <v>0.21027079935349902</v>
      </c>
      <c r="G20" s="173">
        <v>1.2437417630056871</v>
      </c>
      <c r="H20" s="173">
        <v>1.1962106644965751</v>
      </c>
      <c r="I20" s="172">
        <v>0.11410362894275444</v>
      </c>
      <c r="J20" s="172">
        <v>0.5561230830367363</v>
      </c>
      <c r="K20" s="172">
        <v>6.8199999999999997E-2</v>
      </c>
      <c r="L20" s="172">
        <v>0.16049759891512955</v>
      </c>
      <c r="M20" s="172">
        <v>0.10397564159470712</v>
      </c>
      <c r="N20" s="173">
        <v>1.3211596897978948</v>
      </c>
      <c r="O20" s="173">
        <v>1.6107026774646396</v>
      </c>
      <c r="P20" s="173">
        <v>5.3519535082121825</v>
      </c>
      <c r="Q20" s="173">
        <v>7.3831426225960541</v>
      </c>
      <c r="R20" s="173">
        <v>1.5023583544911636</v>
      </c>
      <c r="S20" s="173">
        <v>38.397651129084849</v>
      </c>
      <c r="T20" s="172">
        <v>-2.7227901279599405E-2</v>
      </c>
      <c r="U20" s="172">
        <v>0.11453327004675845</v>
      </c>
      <c r="V20" s="172">
        <v>6.9047279801428912E-2</v>
      </c>
      <c r="W20" s="172">
        <v>0.63777689362099765</v>
      </c>
      <c r="X20" s="172">
        <v>0.17139697152965847</v>
      </c>
      <c r="Y20" s="172">
        <v>0.7985503298587916</v>
      </c>
      <c r="Z20" s="172">
        <v>0.7985503298587916</v>
      </c>
      <c r="AA20" s="174">
        <v>0.20788174483635727</v>
      </c>
    </row>
    <row r="21" spans="1:27" s="149" customFormat="1" ht="13">
      <c r="A21" s="170" t="s">
        <v>811</v>
      </c>
      <c r="B21" s="171">
        <v>1182</v>
      </c>
      <c r="C21" s="172">
        <v>9.1584691046658215E-2</v>
      </c>
      <c r="D21" s="172">
        <v>7.1765132486212885E-2</v>
      </c>
      <c r="E21" s="172">
        <v>0.20377160576210954</v>
      </c>
      <c r="F21" s="172">
        <v>0.22494048259484503</v>
      </c>
      <c r="G21" s="173">
        <v>1.0477595461622089</v>
      </c>
      <c r="H21" s="173">
        <v>1.0925800372394801</v>
      </c>
      <c r="I21" s="172">
        <v>0.1081863201263743</v>
      </c>
      <c r="J21" s="172">
        <v>0.39454245280932948</v>
      </c>
      <c r="K21" s="172">
        <v>6.5699999999999995E-2</v>
      </c>
      <c r="L21" s="172">
        <v>0.12910175825900239</v>
      </c>
      <c r="M21" s="172">
        <v>0.10056210474856167</v>
      </c>
      <c r="N21" s="173">
        <v>3.8438543424357055</v>
      </c>
      <c r="O21" s="173">
        <v>1.5137031692330656</v>
      </c>
      <c r="P21" s="173">
        <v>15.245954362476072</v>
      </c>
      <c r="Q21" s="173">
        <v>20.351275427379321</v>
      </c>
      <c r="R21" s="173">
        <v>4.0209696632387502</v>
      </c>
      <c r="S21" s="173">
        <v>59.67930916295105</v>
      </c>
      <c r="T21" s="172">
        <v>0.15935117887976563</v>
      </c>
      <c r="U21" s="172">
        <v>1.5571470094428969E-2</v>
      </c>
      <c r="V21" s="172">
        <v>1.8251439665462266E-2</v>
      </c>
      <c r="W21" s="172">
        <v>0.32694832881756869</v>
      </c>
      <c r="X21" s="172">
        <v>0.14443881145636611</v>
      </c>
      <c r="Y21" s="172">
        <v>0.55655909766881129</v>
      </c>
      <c r="Z21" s="172">
        <v>0.55655909766881129</v>
      </c>
      <c r="AA21" s="174">
        <v>7.3272656811952164E-2</v>
      </c>
    </row>
    <row r="22" spans="1:27" s="149" customFormat="1" ht="13">
      <c r="A22" s="170" t="s">
        <v>286</v>
      </c>
      <c r="B22" s="171">
        <v>342</v>
      </c>
      <c r="C22" s="172">
        <v>3.4963609022556415E-2</v>
      </c>
      <c r="D22" s="172">
        <v>0.13062874139416539</v>
      </c>
      <c r="E22" s="172">
        <v>0.20415937267651255</v>
      </c>
      <c r="F22" s="172">
        <v>0.19680016648684778</v>
      </c>
      <c r="G22" s="173">
        <v>1.2452856029038846</v>
      </c>
      <c r="H22" s="173">
        <v>1.26185646056331</v>
      </c>
      <c r="I22" s="172">
        <v>0.117852003898165</v>
      </c>
      <c r="J22" s="172">
        <v>0.41480392467646005</v>
      </c>
      <c r="K22" s="172">
        <v>6.5699999999999995E-2</v>
      </c>
      <c r="L22" s="172">
        <v>6.1860212296684716E-2</v>
      </c>
      <c r="M22" s="172">
        <v>0.11360087460326858</v>
      </c>
      <c r="N22" s="173">
        <v>2.4658781226112927</v>
      </c>
      <c r="O22" s="173">
        <v>3.3510269146523033</v>
      </c>
      <c r="P22" s="173">
        <v>19.044383449948704</v>
      </c>
      <c r="Q22" s="173">
        <v>25.458165307974447</v>
      </c>
      <c r="R22" s="173">
        <v>7.5761693537431523</v>
      </c>
      <c r="S22" s="173">
        <v>92.110977301406578</v>
      </c>
      <c r="T22" s="172">
        <v>2.9771803028010399E-2</v>
      </c>
      <c r="U22" s="172">
        <v>4.8325901214352485E-2</v>
      </c>
      <c r="V22" s="172">
        <v>3.6192197384131278E-2</v>
      </c>
      <c r="W22" s="172">
        <v>0.34307128387551117</v>
      </c>
      <c r="X22" s="172">
        <v>0.26403231303039632</v>
      </c>
      <c r="Y22" s="172">
        <v>0.25427509954663369</v>
      </c>
      <c r="Z22" s="172">
        <v>0.25427509954663363</v>
      </c>
      <c r="AA22" s="174">
        <v>0.13536126174578905</v>
      </c>
    </row>
    <row r="23" spans="1:27" s="149" customFormat="1" ht="13">
      <c r="A23" s="170" t="s">
        <v>812</v>
      </c>
      <c r="B23" s="171">
        <v>804</v>
      </c>
      <c r="C23" s="172">
        <v>9.3048897637795308E-2</v>
      </c>
      <c r="D23" s="172">
        <v>9.4591147525766486E-2</v>
      </c>
      <c r="E23" s="172">
        <v>9.7290499081626097E-2</v>
      </c>
      <c r="F23" s="172">
        <v>0.23089860732564285</v>
      </c>
      <c r="G23" s="173">
        <v>0.8467977037752572</v>
      </c>
      <c r="H23" s="173">
        <v>0.97817928919457886</v>
      </c>
      <c r="I23" s="172">
        <v>0.10165403741301045</v>
      </c>
      <c r="J23" s="172">
        <v>0.35215652971694239</v>
      </c>
      <c r="K23" s="172">
        <v>6.5699999999999995E-2</v>
      </c>
      <c r="L23" s="172">
        <v>0.27237044931706339</v>
      </c>
      <c r="M23" s="172">
        <v>8.7348167033289237E-2</v>
      </c>
      <c r="N23" s="173">
        <v>1.2994151191669421</v>
      </c>
      <c r="O23" s="173">
        <v>1.4443804605364166</v>
      </c>
      <c r="P23" s="173">
        <v>10.268126391930863</v>
      </c>
      <c r="Q23" s="173">
        <v>14.965943010321554</v>
      </c>
      <c r="R23" s="173">
        <v>1.6552858516841096</v>
      </c>
      <c r="S23" s="173">
        <v>69.547936214740972</v>
      </c>
      <c r="T23" s="172">
        <v>0.16694497876572217</v>
      </c>
      <c r="U23" s="172">
        <v>5.2150183493532877E-2</v>
      </c>
      <c r="V23" s="172">
        <v>3.1958497853375498E-2</v>
      </c>
      <c r="W23" s="172">
        <v>0.54186016693699735</v>
      </c>
      <c r="X23" s="172">
        <v>0.1018600199160753</v>
      </c>
      <c r="Y23" s="172">
        <v>0.44686899740976965</v>
      </c>
      <c r="Z23" s="172">
        <v>0.44686899740976971</v>
      </c>
      <c r="AA23" s="174">
        <v>9.6370212346788817E-2</v>
      </c>
    </row>
    <row r="24" spans="1:27" s="149" customFormat="1" ht="13">
      <c r="A24" s="170" t="s">
        <v>813</v>
      </c>
      <c r="B24" s="171">
        <v>335</v>
      </c>
      <c r="C24" s="172">
        <v>0.12454670411985019</v>
      </c>
      <c r="D24" s="172">
        <v>0.19126688259957439</v>
      </c>
      <c r="E24" s="172">
        <v>0.13052165404030189</v>
      </c>
      <c r="F24" s="172">
        <v>0.1666769275061829</v>
      </c>
      <c r="G24" s="173">
        <v>0.69550763386591818</v>
      </c>
      <c r="H24" s="173">
        <v>0.88856194869420702</v>
      </c>
      <c r="I24" s="172">
        <v>9.6536887270439214E-2</v>
      </c>
      <c r="J24" s="172">
        <v>0.29019574720420455</v>
      </c>
      <c r="K24" s="172">
        <v>6.1199999999999997E-2</v>
      </c>
      <c r="L24" s="172">
        <v>0.3345993493863077</v>
      </c>
      <c r="M24" s="172">
        <v>7.9548767278401072E-2</v>
      </c>
      <c r="N24" s="173">
        <v>0.80990477661258864</v>
      </c>
      <c r="O24" s="173">
        <v>1.959813502253223</v>
      </c>
      <c r="P24" s="173">
        <v>8.3981307244855898</v>
      </c>
      <c r="Q24" s="173">
        <v>10.126118827408375</v>
      </c>
      <c r="R24" s="173">
        <v>1.1389672590741291</v>
      </c>
      <c r="S24" s="173">
        <v>23.624756576034539</v>
      </c>
      <c r="T24" s="172">
        <v>-0.10274984833872372</v>
      </c>
      <c r="U24" s="172">
        <v>5.0695893854381356E-2</v>
      </c>
      <c r="V24" s="172">
        <v>2.7932500911276342E-2</v>
      </c>
      <c r="W24" s="172">
        <v>0.22130686642225372</v>
      </c>
      <c r="X24" s="172">
        <v>0.15189767624625436</v>
      </c>
      <c r="Y24" s="172">
        <v>0.15552381391113076</v>
      </c>
      <c r="Z24" s="172">
        <v>0.15552381391113079</v>
      </c>
      <c r="AA24" s="174">
        <v>0.19127387240244151</v>
      </c>
    </row>
    <row r="25" spans="1:27" s="149" customFormat="1" ht="13">
      <c r="A25" s="170" t="s">
        <v>814</v>
      </c>
      <c r="B25" s="171">
        <v>1223</v>
      </c>
      <c r="C25" s="172">
        <v>0.25387421052631592</v>
      </c>
      <c r="D25" s="172">
        <v>1.7550043440366014E-3</v>
      </c>
      <c r="E25" s="172">
        <v>1.9137906017770365E-2</v>
      </c>
      <c r="F25" s="172">
        <v>0.17256640484311581</v>
      </c>
      <c r="G25" s="173">
        <v>1.2281686132974015</v>
      </c>
      <c r="H25" s="173">
        <v>1.2918900121586152</v>
      </c>
      <c r="I25" s="172">
        <v>0.11956691969425692</v>
      </c>
      <c r="J25" s="172">
        <v>0.70050115224219156</v>
      </c>
      <c r="K25" s="172">
        <v>7.4499999999999997E-2</v>
      </c>
      <c r="L25" s="172">
        <v>0.13168780428541141</v>
      </c>
      <c r="M25" s="172">
        <v>0.1111578870078751</v>
      </c>
      <c r="N25" s="173">
        <v>0.80985859847924313</v>
      </c>
      <c r="O25" s="173">
        <v>6.7442010984757115</v>
      </c>
      <c r="P25" s="173">
        <v>15.972191315595955</v>
      </c>
      <c r="Q25" s="173" t="s">
        <v>285</v>
      </c>
      <c r="R25" s="173">
        <v>4.6947249145207106</v>
      </c>
      <c r="S25" s="173">
        <v>91.229240818099967</v>
      </c>
      <c r="T25" s="172">
        <v>0.21363002889103208</v>
      </c>
      <c r="U25" s="172">
        <v>4.5585384253091901E-2</v>
      </c>
      <c r="V25" s="172">
        <v>0.1884363873554751</v>
      </c>
      <c r="W25" s="172" t="s">
        <v>285</v>
      </c>
      <c r="X25" s="172">
        <v>-8.2210733329689825E-2</v>
      </c>
      <c r="Y25" s="172">
        <v>6.4958693706511465E-3</v>
      </c>
      <c r="Z25" s="172">
        <v>6.4958693706511639E-3</v>
      </c>
      <c r="AA25" s="174">
        <v>4.6415057448888852E-2</v>
      </c>
    </row>
    <row r="26" spans="1:27" s="149" customFormat="1" ht="13">
      <c r="A26" s="170" t="s">
        <v>815</v>
      </c>
      <c r="B26" s="171">
        <v>1271</v>
      </c>
      <c r="C26" s="172">
        <v>0.12712799270073</v>
      </c>
      <c r="D26" s="172">
        <v>0.20418324101127519</v>
      </c>
      <c r="E26" s="172">
        <v>0.13663932508445867</v>
      </c>
      <c r="F26" s="172">
        <v>0.16064147614048158</v>
      </c>
      <c r="G26" s="173">
        <v>0.97444555013695755</v>
      </c>
      <c r="H26" s="173">
        <v>1.0459900460346432</v>
      </c>
      <c r="I26" s="172">
        <v>0.10552603162857813</v>
      </c>
      <c r="J26" s="172">
        <v>0.47680688411555949</v>
      </c>
      <c r="K26" s="172">
        <v>6.8199999999999997E-2</v>
      </c>
      <c r="L26" s="172">
        <v>0.14274968253928402</v>
      </c>
      <c r="M26" s="172">
        <v>9.7742452213484349E-2</v>
      </c>
      <c r="N26" s="173">
        <v>1.0855796526615398</v>
      </c>
      <c r="O26" s="173">
        <v>3.9470092833666963</v>
      </c>
      <c r="P26" s="173">
        <v>13.408666143145313</v>
      </c>
      <c r="Q26" s="173">
        <v>18.824918010965483</v>
      </c>
      <c r="R26" s="173">
        <v>3.7441871673985103</v>
      </c>
      <c r="S26" s="173">
        <v>73.374286206412037</v>
      </c>
      <c r="T26" s="172">
        <v>0.16774712060056221</v>
      </c>
      <c r="U26" s="172">
        <v>5.146301720590947E-2</v>
      </c>
      <c r="V26" s="172">
        <v>9.8143127790698892E-2</v>
      </c>
      <c r="W26" s="172">
        <v>0.64377067279844402</v>
      </c>
      <c r="X26" s="172">
        <v>0.12357116156594297</v>
      </c>
      <c r="Y26" s="172">
        <v>0.72629035683739729</v>
      </c>
      <c r="Z26" s="172">
        <v>0.72629035683739729</v>
      </c>
      <c r="AA26" s="174">
        <v>0.21726947442920141</v>
      </c>
    </row>
    <row r="27" spans="1:27" s="149" customFormat="1" ht="13">
      <c r="A27" s="170" t="s">
        <v>816</v>
      </c>
      <c r="B27" s="171">
        <v>272</v>
      </c>
      <c r="C27" s="172">
        <v>7.0044431137724544E-2</v>
      </c>
      <c r="D27" s="172">
        <v>0.13433608259016611</v>
      </c>
      <c r="E27" s="172">
        <v>0.11595776073954202</v>
      </c>
      <c r="F27" s="172">
        <v>0.20811150771496137</v>
      </c>
      <c r="G27" s="173">
        <v>0.7837802085517217</v>
      </c>
      <c r="H27" s="173">
        <v>0.86268907071886347</v>
      </c>
      <c r="I27" s="172">
        <v>9.5059545938047108E-2</v>
      </c>
      <c r="J27" s="172">
        <v>0.42984198755760755</v>
      </c>
      <c r="K27" s="172">
        <v>6.5699999999999995E-2</v>
      </c>
      <c r="L27" s="172">
        <v>0.22558028976535599</v>
      </c>
      <c r="M27" s="172">
        <v>8.469884942348449E-2</v>
      </c>
      <c r="N27" s="173">
        <v>1.113273313686314</v>
      </c>
      <c r="O27" s="173">
        <v>2.3146099924052739</v>
      </c>
      <c r="P27" s="173">
        <v>11.187385345832285</v>
      </c>
      <c r="Q27" s="173">
        <v>16.921324079239835</v>
      </c>
      <c r="R27" s="173">
        <v>2.0558121302891568</v>
      </c>
      <c r="S27" s="173">
        <v>50.526279449022176</v>
      </c>
      <c r="T27" s="172">
        <v>5.1706754165409388E-2</v>
      </c>
      <c r="U27" s="172">
        <v>5.5874489052127947E-2</v>
      </c>
      <c r="V27" s="172">
        <v>2.3931514815740806E-2</v>
      </c>
      <c r="W27" s="172">
        <v>0.3957936490287724</v>
      </c>
      <c r="X27" s="172">
        <v>6.7839230722683733E-2</v>
      </c>
      <c r="Y27" s="172">
        <v>0.63601840080105643</v>
      </c>
      <c r="Z27" s="172">
        <v>0.63601840080105643</v>
      </c>
      <c r="AA27" s="174">
        <v>0.13151150797078059</v>
      </c>
    </row>
    <row r="28" spans="1:27" s="149" customFormat="1" ht="13">
      <c r="A28" s="170" t="s">
        <v>81</v>
      </c>
      <c r="B28" s="171">
        <v>1101</v>
      </c>
      <c r="C28" s="172">
        <v>0.10367485714285714</v>
      </c>
      <c r="D28" s="172">
        <v>7.2910053520748294E-2</v>
      </c>
      <c r="E28" s="172">
        <v>0.1059167172061984</v>
      </c>
      <c r="F28" s="172">
        <v>0.18997957183314162</v>
      </c>
      <c r="G28" s="173">
        <v>1.1801425031628325</v>
      </c>
      <c r="H28" s="173">
        <v>1.215668392683982</v>
      </c>
      <c r="I28" s="172">
        <v>0.11521466522225537</v>
      </c>
      <c r="J28" s="172">
        <v>0.43176608961512536</v>
      </c>
      <c r="K28" s="172">
        <v>6.5699999999999995E-2</v>
      </c>
      <c r="L28" s="172">
        <v>0.1466570863500688</v>
      </c>
      <c r="M28" s="172">
        <v>0.10552294823059941</v>
      </c>
      <c r="N28" s="173">
        <v>1.8766458092541503</v>
      </c>
      <c r="O28" s="173">
        <v>2.1500587989364002</v>
      </c>
      <c r="P28" s="173">
        <v>17.143812161217038</v>
      </c>
      <c r="Q28" s="173">
        <v>27.802776777855911</v>
      </c>
      <c r="R28" s="173">
        <v>2.9876405679544003</v>
      </c>
      <c r="S28" s="173">
        <v>47.215518793463666</v>
      </c>
      <c r="T28" s="172">
        <v>0.23318262917278393</v>
      </c>
      <c r="U28" s="172">
        <v>7.1189950150182937E-2</v>
      </c>
      <c r="V28" s="172">
        <v>6.6381329053922092E-2</v>
      </c>
      <c r="W28" s="172">
        <v>1.3156207360980665</v>
      </c>
      <c r="X28" s="172">
        <v>9.1174666083068595E-2</v>
      </c>
      <c r="Y28" s="172">
        <v>0.55243608970812952</v>
      </c>
      <c r="Z28" s="172">
        <v>0.55243608970812952</v>
      </c>
      <c r="AA28" s="174">
        <v>7.570008997986713E-2</v>
      </c>
    </row>
    <row r="29" spans="1:27" s="149" customFormat="1" ht="13">
      <c r="A29" s="170" t="s">
        <v>817</v>
      </c>
      <c r="B29" s="171">
        <v>125</v>
      </c>
      <c r="C29" s="172">
        <v>2.1197961165048542E-2</v>
      </c>
      <c r="D29" s="172">
        <v>5.800555637569238E-2</v>
      </c>
      <c r="E29" s="172">
        <v>0.10563964900091696</v>
      </c>
      <c r="F29" s="172">
        <v>0.21689689306216253</v>
      </c>
      <c r="G29" s="173">
        <v>1.1198908994583037</v>
      </c>
      <c r="H29" s="173">
        <v>1.2099501889035962</v>
      </c>
      <c r="I29" s="172">
        <v>0.11488815578639533</v>
      </c>
      <c r="J29" s="172">
        <v>0.45184781142729097</v>
      </c>
      <c r="K29" s="172">
        <v>6.8199999999999997E-2</v>
      </c>
      <c r="L29" s="172">
        <v>0.21344316858760534</v>
      </c>
      <c r="M29" s="172">
        <v>0.10125165684240181</v>
      </c>
      <c r="N29" s="173">
        <v>2.0670829469847414</v>
      </c>
      <c r="O29" s="173">
        <v>0.95581522850182177</v>
      </c>
      <c r="P29" s="173">
        <v>10.518161345684888</v>
      </c>
      <c r="Q29" s="173">
        <v>16.117104817395361</v>
      </c>
      <c r="R29" s="173">
        <v>1.7815824953269306</v>
      </c>
      <c r="S29" s="173">
        <v>33.498845812540615</v>
      </c>
      <c r="T29" s="172">
        <v>4.9128228781795555E-2</v>
      </c>
      <c r="U29" s="172">
        <v>4.4635348037750384E-2</v>
      </c>
      <c r="V29" s="172">
        <v>5.0417669449723014E-2</v>
      </c>
      <c r="W29" s="172">
        <v>1.00459417915495</v>
      </c>
      <c r="X29" s="172">
        <v>9.3154716752839886E-2</v>
      </c>
      <c r="Y29" s="172">
        <v>0.26621712484707033</v>
      </c>
      <c r="Z29" s="172">
        <v>0.26621712484707039</v>
      </c>
      <c r="AA29" s="174">
        <v>7.3430942743690025E-2</v>
      </c>
    </row>
    <row r="30" spans="1:27" s="149" customFormat="1" ht="13">
      <c r="A30" s="170" t="s">
        <v>818</v>
      </c>
      <c r="B30" s="171">
        <v>1480</v>
      </c>
      <c r="C30" s="172">
        <v>5.8368749999999955E-2</v>
      </c>
      <c r="D30" s="172">
        <v>5.847756642278254E-2</v>
      </c>
      <c r="E30" s="172">
        <v>7.7569988764995768E-2</v>
      </c>
      <c r="F30" s="172">
        <v>0.16900845025701186</v>
      </c>
      <c r="G30" s="173">
        <v>1.3619377589137938</v>
      </c>
      <c r="H30" s="173">
        <v>1.3767895708284481</v>
      </c>
      <c r="I30" s="172">
        <v>0.12441468449430437</v>
      </c>
      <c r="J30" s="172">
        <v>0.41931738089668508</v>
      </c>
      <c r="K30" s="172">
        <v>6.5699999999999995E-2</v>
      </c>
      <c r="L30" s="172">
        <v>0.1489011520554098</v>
      </c>
      <c r="M30" s="172">
        <v>0.11320477673550434</v>
      </c>
      <c r="N30" s="173">
        <v>1.721452209725421</v>
      </c>
      <c r="O30" s="173">
        <v>1.6413704225339114</v>
      </c>
      <c r="P30" s="173">
        <v>13.89883400396274</v>
      </c>
      <c r="Q30" s="173">
        <v>26.487674851947386</v>
      </c>
      <c r="R30" s="173">
        <v>2.3099800117304179</v>
      </c>
      <c r="S30" s="173">
        <v>70.86083442086094</v>
      </c>
      <c r="T30" s="172">
        <v>0.19103082751396167</v>
      </c>
      <c r="U30" s="172">
        <v>5.9116679682454307E-2</v>
      </c>
      <c r="V30" s="172">
        <v>3.5242926148357841E-2</v>
      </c>
      <c r="W30" s="172">
        <v>0.80480399888960563</v>
      </c>
      <c r="X30" s="172">
        <v>7.9542099843843334E-2</v>
      </c>
      <c r="Y30" s="172">
        <v>0.52682903781455637</v>
      </c>
      <c r="Z30" s="172">
        <v>0.52682903781455637</v>
      </c>
      <c r="AA30" s="174">
        <v>6.1680090817974209E-2</v>
      </c>
    </row>
    <row r="31" spans="1:27" s="149" customFormat="1" ht="13">
      <c r="A31" s="170" t="s">
        <v>819</v>
      </c>
      <c r="B31" s="171">
        <v>1327</v>
      </c>
      <c r="C31" s="172">
        <v>6.7785062893081699E-2</v>
      </c>
      <c r="D31" s="172">
        <v>4.8119137923535574E-2</v>
      </c>
      <c r="E31" s="172">
        <v>7.7848896112480456E-2</v>
      </c>
      <c r="F31" s="172">
        <v>0.22533742620492453</v>
      </c>
      <c r="G31" s="173">
        <v>0.66313405375528411</v>
      </c>
      <c r="H31" s="173">
        <v>0.92879864741205909</v>
      </c>
      <c r="I31" s="172">
        <v>9.8834402767228574E-2</v>
      </c>
      <c r="J31" s="172">
        <v>0.37039888325428788</v>
      </c>
      <c r="K31" s="172">
        <v>6.5699999999999995E-2</v>
      </c>
      <c r="L31" s="172">
        <v>0.4847341107984981</v>
      </c>
      <c r="M31" s="172">
        <v>7.4741206266776578E-2</v>
      </c>
      <c r="N31" s="173">
        <v>2.1204934498710473</v>
      </c>
      <c r="O31" s="173">
        <v>0.69293734885948677</v>
      </c>
      <c r="P31" s="173">
        <v>9.9450246014868053</v>
      </c>
      <c r="Q31" s="173">
        <v>13.87488635539866</v>
      </c>
      <c r="R31" s="173">
        <v>1.079329524157367</v>
      </c>
      <c r="S31" s="173">
        <v>40.073373974610952</v>
      </c>
      <c r="T31" s="172">
        <v>0.15915697069730544</v>
      </c>
      <c r="U31" s="172">
        <v>0.10185507267633107</v>
      </c>
      <c r="V31" s="172">
        <v>9.2472438958028688E-2</v>
      </c>
      <c r="W31" s="172">
        <v>1.6076085598549554</v>
      </c>
      <c r="X31" s="172">
        <v>9.4666687050894954E-2</v>
      </c>
      <c r="Y31" s="172">
        <v>0.68362281761760735</v>
      </c>
      <c r="Z31" s="172">
        <v>0.68362281761760735</v>
      </c>
      <c r="AA31" s="174">
        <v>4.8665930653464987E-2</v>
      </c>
    </row>
    <row r="32" spans="1:27" s="149" customFormat="1" ht="13">
      <c r="A32" s="170" t="s">
        <v>381</v>
      </c>
      <c r="B32" s="171">
        <v>748</v>
      </c>
      <c r="C32" s="172">
        <v>9.0673049040511738E-2</v>
      </c>
      <c r="D32" s="172">
        <v>9.2377328927054414E-2</v>
      </c>
      <c r="E32" s="172">
        <v>9.6520740873123526E-2</v>
      </c>
      <c r="F32" s="172">
        <v>0.21491862789103236</v>
      </c>
      <c r="G32" s="173">
        <v>0.99467610256334837</v>
      </c>
      <c r="H32" s="173">
        <v>1.0554392738374743</v>
      </c>
      <c r="I32" s="172">
        <v>0.10606558253611978</v>
      </c>
      <c r="J32" s="172">
        <v>0.47466301980519926</v>
      </c>
      <c r="K32" s="172">
        <v>6.8199999999999997E-2</v>
      </c>
      <c r="L32" s="172">
        <v>0.15039781096904528</v>
      </c>
      <c r="M32" s="172">
        <v>9.7783833447039642E-2</v>
      </c>
      <c r="N32" s="173">
        <v>1.3248974637190056</v>
      </c>
      <c r="O32" s="173">
        <v>3.3973575630232959</v>
      </c>
      <c r="P32" s="173">
        <v>10.018113981196533</v>
      </c>
      <c r="Q32" s="173">
        <v>35.037371694133945</v>
      </c>
      <c r="R32" s="173">
        <v>3.1483119784955673</v>
      </c>
      <c r="S32" s="173">
        <v>75.605023478327709</v>
      </c>
      <c r="T32" s="172">
        <v>2.5583647390353237E-2</v>
      </c>
      <c r="U32" s="172">
        <v>0.14379701961210459</v>
      </c>
      <c r="V32" s="172">
        <v>7.7895712154181951E-2</v>
      </c>
      <c r="W32" s="172">
        <v>28.107357937046039</v>
      </c>
      <c r="X32" s="172">
        <v>1.5830256978802845E-2</v>
      </c>
      <c r="Y32" s="172">
        <v>1.5537993739780185</v>
      </c>
      <c r="Z32" s="172">
        <v>1.5537993739780185</v>
      </c>
      <c r="AA32" s="174">
        <v>9.356457567164092E-2</v>
      </c>
    </row>
    <row r="33" spans="1:27" s="149" customFormat="1" ht="13">
      <c r="A33" s="170" t="s">
        <v>820</v>
      </c>
      <c r="B33" s="171">
        <v>391</v>
      </c>
      <c r="C33" s="172">
        <v>8.6715972222222201E-2</v>
      </c>
      <c r="D33" s="172">
        <v>0.11387736489673332</v>
      </c>
      <c r="E33" s="172">
        <v>0.11120965355361774</v>
      </c>
      <c r="F33" s="172">
        <v>0.21895076839111779</v>
      </c>
      <c r="G33" s="173">
        <v>0.85595081939369189</v>
      </c>
      <c r="H33" s="173">
        <v>1.0297058112156112</v>
      </c>
      <c r="I33" s="172">
        <v>0.10459620182041141</v>
      </c>
      <c r="J33" s="172">
        <v>0.42938191566121314</v>
      </c>
      <c r="K33" s="172">
        <v>6.5699999999999995E-2</v>
      </c>
      <c r="L33" s="172">
        <v>0.25587568713515008</v>
      </c>
      <c r="M33" s="172">
        <v>9.0403867019652806E-2</v>
      </c>
      <c r="N33" s="173">
        <v>1.1393893248941391</v>
      </c>
      <c r="O33" s="173">
        <v>2.7574506520977793</v>
      </c>
      <c r="P33" s="173">
        <v>13.975562127508603</v>
      </c>
      <c r="Q33" s="173">
        <v>23.293637829550324</v>
      </c>
      <c r="R33" s="173">
        <v>3.0119188545835449</v>
      </c>
      <c r="S33" s="173">
        <v>44.10085849980927</v>
      </c>
      <c r="T33" s="172">
        <v>0.16827458844233123</v>
      </c>
      <c r="U33" s="172">
        <v>8.6631587662120091E-2</v>
      </c>
      <c r="V33" s="172">
        <v>5.9779432305062379E-2</v>
      </c>
      <c r="W33" s="172">
        <v>1.0005490818623171</v>
      </c>
      <c r="X33" s="172">
        <v>9.9550320954967395E-2</v>
      </c>
      <c r="Y33" s="172">
        <v>0.48887102486871731</v>
      </c>
      <c r="Z33" s="172">
        <v>0.48887102486871736</v>
      </c>
      <c r="AA33" s="174">
        <v>0.11487977472409466</v>
      </c>
    </row>
    <row r="34" spans="1:27" s="149" customFormat="1" ht="13">
      <c r="A34" s="170" t="s">
        <v>821</v>
      </c>
      <c r="B34" s="171">
        <v>429</v>
      </c>
      <c r="C34" s="172">
        <v>0.10853714285714278</v>
      </c>
      <c r="D34" s="172">
        <v>6.7597822581839009E-2</v>
      </c>
      <c r="E34" s="172">
        <v>7.513685742168924E-2</v>
      </c>
      <c r="F34" s="172">
        <v>0.20940564970482062</v>
      </c>
      <c r="G34" s="173">
        <v>0.55752413535009082</v>
      </c>
      <c r="H34" s="173">
        <v>0.77354538154095709</v>
      </c>
      <c r="I34" s="172">
        <v>8.9969441285988647E-2</v>
      </c>
      <c r="J34" s="172">
        <v>0.37236302477623251</v>
      </c>
      <c r="K34" s="172">
        <v>6.5699999999999995E-2</v>
      </c>
      <c r="L34" s="172">
        <v>0.39044782434722086</v>
      </c>
      <c r="M34" s="172">
        <v>7.4023949894317501E-2</v>
      </c>
      <c r="N34" s="173">
        <v>1.3429171541514722</v>
      </c>
      <c r="O34" s="173">
        <v>1.1025697181373753</v>
      </c>
      <c r="P34" s="173">
        <v>11.010459556981896</v>
      </c>
      <c r="Q34" s="173">
        <v>15.699242510868901</v>
      </c>
      <c r="R34" s="173">
        <v>1.6010274631657162</v>
      </c>
      <c r="S34" s="173">
        <v>207.49711514436956</v>
      </c>
      <c r="T34" s="172">
        <v>0.17353879002544681</v>
      </c>
      <c r="U34" s="172">
        <v>4.4746904720463623E-2</v>
      </c>
      <c r="V34" s="172">
        <v>2.9266162724058364E-2</v>
      </c>
      <c r="W34" s="172">
        <v>0.4317750383078226</v>
      </c>
      <c r="X34" s="172">
        <v>0.1214179778158247</v>
      </c>
      <c r="Y34" s="172">
        <v>0.37246247707872582</v>
      </c>
      <c r="Z34" s="172">
        <v>0.37246247707872582</v>
      </c>
      <c r="AA34" s="174">
        <v>6.8982077464638053E-2</v>
      </c>
    </row>
    <row r="35" spans="1:27" s="149" customFormat="1" ht="13">
      <c r="A35" s="170" t="s">
        <v>822</v>
      </c>
      <c r="B35" s="171">
        <v>1117</v>
      </c>
      <c r="C35" s="172">
        <v>0.15429169191919181</v>
      </c>
      <c r="D35" s="172" t="s">
        <v>285</v>
      </c>
      <c r="E35" s="172" t="s">
        <v>285</v>
      </c>
      <c r="F35" s="172">
        <v>0.17474488044171121</v>
      </c>
      <c r="G35" s="173">
        <v>0.27307489021810905</v>
      </c>
      <c r="H35" s="173">
        <v>0.82085647616265467</v>
      </c>
      <c r="I35" s="172">
        <v>9.2670904788887579E-2</v>
      </c>
      <c r="J35" s="172">
        <v>0.40822234595011475</v>
      </c>
      <c r="K35" s="172">
        <v>6.5699999999999995E-2</v>
      </c>
      <c r="L35" s="172">
        <v>0.74740509981221981</v>
      </c>
      <c r="M35" s="172">
        <v>6.012855430558061E-2</v>
      </c>
      <c r="N35" s="173">
        <v>0</v>
      </c>
      <c r="O35" s="173" t="s">
        <v>285</v>
      </c>
      <c r="P35" s="173">
        <v>46.49336057762887</v>
      </c>
      <c r="Q35" s="173">
        <v>59.411574439410536</v>
      </c>
      <c r="R35" s="173">
        <v>2.3699459395108122</v>
      </c>
      <c r="S35" s="173">
        <v>73.381928186877332</v>
      </c>
      <c r="T35" s="172" t="s">
        <v>285</v>
      </c>
      <c r="U35" s="172" t="s">
        <v>285</v>
      </c>
      <c r="V35" s="172" t="s">
        <v>285</v>
      </c>
      <c r="W35" s="172" t="s">
        <v>285</v>
      </c>
      <c r="X35" s="172">
        <v>0.20077722411122489</v>
      </c>
      <c r="Y35" s="172">
        <v>0.20913029006425635</v>
      </c>
      <c r="Z35" s="172">
        <v>0.20913029006425632</v>
      </c>
      <c r="AA35" s="174" t="s">
        <v>285</v>
      </c>
    </row>
    <row r="36" spans="1:27" s="149" customFormat="1" ht="13">
      <c r="A36" s="170" t="s">
        <v>349</v>
      </c>
      <c r="B36" s="171">
        <v>1424</v>
      </c>
      <c r="C36" s="172">
        <v>8.8634765550239206E-2</v>
      </c>
      <c r="D36" s="172">
        <v>8.4467385546525442E-2</v>
      </c>
      <c r="E36" s="172">
        <v>0.12288224100938813</v>
      </c>
      <c r="F36" s="172">
        <v>0.22148943024213846</v>
      </c>
      <c r="G36" s="173">
        <v>0.57391526097450285</v>
      </c>
      <c r="H36" s="173">
        <v>0.68123561080375894</v>
      </c>
      <c r="I36" s="172">
        <v>8.4698553376894636E-2</v>
      </c>
      <c r="J36" s="172">
        <v>0.32702488022790016</v>
      </c>
      <c r="K36" s="172">
        <v>6.5699999999999995E-2</v>
      </c>
      <c r="L36" s="172">
        <v>0.26551510426144387</v>
      </c>
      <c r="M36" s="172">
        <v>7.5254687355547689E-2</v>
      </c>
      <c r="N36" s="173">
        <v>1.7566913458225955</v>
      </c>
      <c r="O36" s="173">
        <v>1.3014172037859071</v>
      </c>
      <c r="P36" s="173">
        <v>10.759608452938423</v>
      </c>
      <c r="Q36" s="173">
        <v>15.155316867147562</v>
      </c>
      <c r="R36" s="173">
        <v>2.0450972747782026</v>
      </c>
      <c r="S36" s="173">
        <v>38.646736231744654</v>
      </c>
      <c r="T36" s="172">
        <v>0.10267806314266137</v>
      </c>
      <c r="U36" s="172">
        <v>4.3420696308912897E-2</v>
      </c>
      <c r="V36" s="172">
        <v>2.5182532696515107E-2</v>
      </c>
      <c r="W36" s="172">
        <v>0.38792610500439118</v>
      </c>
      <c r="X36" s="172">
        <v>0.11468592374483505</v>
      </c>
      <c r="Y36" s="172">
        <v>0.60222321521653199</v>
      </c>
      <c r="Z36" s="172">
        <v>0.60222321521653199</v>
      </c>
      <c r="AA36" s="174">
        <v>8.5037584901107119E-2</v>
      </c>
    </row>
    <row r="37" spans="1:27" s="149" customFormat="1" ht="13">
      <c r="A37" s="170" t="s">
        <v>350</v>
      </c>
      <c r="B37" s="171">
        <v>188</v>
      </c>
      <c r="C37" s="172">
        <v>0.10498807407407403</v>
      </c>
      <c r="D37" s="172">
        <v>2.5910812651305338E-2</v>
      </c>
      <c r="E37" s="172">
        <v>0.11568187281193071</v>
      </c>
      <c r="F37" s="172">
        <v>0.2218641335934656</v>
      </c>
      <c r="G37" s="173">
        <v>0.44056581692882124</v>
      </c>
      <c r="H37" s="173">
        <v>0.59854811525370277</v>
      </c>
      <c r="I37" s="172">
        <v>7.9977097380986434E-2</v>
      </c>
      <c r="J37" s="172">
        <v>0.36762294661109274</v>
      </c>
      <c r="K37" s="172">
        <v>6.5699999999999995E-2</v>
      </c>
      <c r="L37" s="172">
        <v>0.36926625147402031</v>
      </c>
      <c r="M37" s="172">
        <v>6.8586475224731186E-2</v>
      </c>
      <c r="N37" s="173">
        <v>5.3925818068012097</v>
      </c>
      <c r="O37" s="173">
        <v>0.41608581368850289</v>
      </c>
      <c r="P37" s="173">
        <v>10.39348774075683</v>
      </c>
      <c r="Q37" s="173">
        <v>15.92968702038703</v>
      </c>
      <c r="R37" s="173">
        <v>2.05295409132877</v>
      </c>
      <c r="S37" s="173">
        <v>45.134850601511182</v>
      </c>
      <c r="T37" s="172">
        <v>6.547689620104731E-2</v>
      </c>
      <c r="U37" s="172">
        <v>1.1412606456288341E-2</v>
      </c>
      <c r="V37" s="172">
        <v>9.6968629450778429E-3</v>
      </c>
      <c r="W37" s="172">
        <v>0.92897573245163212</v>
      </c>
      <c r="X37" s="172">
        <v>0.11576016004286808</v>
      </c>
      <c r="Y37" s="172">
        <v>0.40988709749757013</v>
      </c>
      <c r="Z37" s="172">
        <v>0.40988709749757013</v>
      </c>
      <c r="AA37" s="174">
        <v>2.5783349498618283E-2</v>
      </c>
    </row>
    <row r="38" spans="1:27" s="149" customFormat="1" ht="13">
      <c r="A38" s="170" t="s">
        <v>823</v>
      </c>
      <c r="B38" s="171">
        <v>380</v>
      </c>
      <c r="C38" s="172">
        <v>5.0241892857142777E-2</v>
      </c>
      <c r="D38" s="172">
        <v>7.3618827082154753E-2</v>
      </c>
      <c r="E38" s="172">
        <v>0.13806762745308379</v>
      </c>
      <c r="F38" s="172">
        <v>0.17581133155931547</v>
      </c>
      <c r="G38" s="173">
        <v>0.95133462764957899</v>
      </c>
      <c r="H38" s="173">
        <v>0.93610405178081413</v>
      </c>
      <c r="I38" s="172">
        <v>9.9251541356684486E-2</v>
      </c>
      <c r="J38" s="172">
        <v>0.35335197113155625</v>
      </c>
      <c r="K38" s="172">
        <v>6.5699999999999995E-2</v>
      </c>
      <c r="L38" s="172">
        <v>0.19864980056980275</v>
      </c>
      <c r="M38" s="172">
        <v>8.9294998540836251E-2</v>
      </c>
      <c r="N38" s="173">
        <v>2.5392050969848499</v>
      </c>
      <c r="O38" s="173">
        <v>1.0822094988657878</v>
      </c>
      <c r="P38" s="173">
        <v>10.231658597772654</v>
      </c>
      <c r="Q38" s="173">
        <v>14.106460925913412</v>
      </c>
      <c r="R38" s="173">
        <v>2.0734336899003707</v>
      </c>
      <c r="S38" s="173">
        <v>35.630919780927357</v>
      </c>
      <c r="T38" s="172">
        <v>3.1899069043746217E-2</v>
      </c>
      <c r="U38" s="172">
        <v>3.2181185797326518E-2</v>
      </c>
      <c r="V38" s="172">
        <v>1.5116134251715823E-2</v>
      </c>
      <c r="W38" s="172">
        <v>-0.22974118520506204</v>
      </c>
      <c r="X38" s="172">
        <v>0.13459586762813505</v>
      </c>
      <c r="Y38" s="172">
        <v>0.61746919865166838</v>
      </c>
      <c r="Z38" s="172">
        <v>0.61746919865166838</v>
      </c>
      <c r="AA38" s="174">
        <v>7.639137155405705E-2</v>
      </c>
    </row>
    <row r="39" spans="1:27" s="149" customFormat="1" ht="13">
      <c r="A39" s="170" t="s">
        <v>824</v>
      </c>
      <c r="B39" s="171">
        <v>260</v>
      </c>
      <c r="C39" s="172">
        <v>0.12277534591194965</v>
      </c>
      <c r="D39" s="172">
        <v>0.30365434678921766</v>
      </c>
      <c r="E39" s="172">
        <v>6.2926485592334047E-2</v>
      </c>
      <c r="F39" s="172">
        <v>0.20300952271559281</v>
      </c>
      <c r="G39" s="173">
        <v>0.59631188584844141</v>
      </c>
      <c r="H39" s="173">
        <v>0.88597908202182851</v>
      </c>
      <c r="I39" s="172">
        <v>9.6389405583446414E-2</v>
      </c>
      <c r="J39" s="172">
        <v>0.38164888111143741</v>
      </c>
      <c r="K39" s="172">
        <v>6.5699999999999995E-2</v>
      </c>
      <c r="L39" s="172">
        <v>0.42171118317258166</v>
      </c>
      <c r="M39" s="172">
        <v>7.6459779725962573E-2</v>
      </c>
      <c r="N39" s="173">
        <v>0.23558645301830311</v>
      </c>
      <c r="O39" s="173">
        <v>6.9891317213058972</v>
      </c>
      <c r="P39" s="173">
        <v>13.697589576827577</v>
      </c>
      <c r="Q39" s="173">
        <v>22.890412127309926</v>
      </c>
      <c r="R39" s="173">
        <v>1.7709188169336842</v>
      </c>
      <c r="S39" s="173">
        <v>41.036665765995295</v>
      </c>
      <c r="T39" s="172">
        <v>9.6460085253778735E-2</v>
      </c>
      <c r="U39" s="172">
        <v>0.5113710987724096</v>
      </c>
      <c r="V39" s="172">
        <v>0.27548673955186526</v>
      </c>
      <c r="W39" s="172">
        <v>1.2755393760527536</v>
      </c>
      <c r="X39" s="172">
        <v>7.6889107525507205E-2</v>
      </c>
      <c r="Y39" s="172">
        <v>0.89466576172268941</v>
      </c>
      <c r="Z39" s="172">
        <v>0.89466576172268941</v>
      </c>
      <c r="AA39" s="174">
        <v>0.30278700002973258</v>
      </c>
    </row>
    <row r="40" spans="1:27" s="149" customFormat="1" ht="13">
      <c r="A40" s="170" t="s">
        <v>825</v>
      </c>
      <c r="B40" s="171">
        <v>850</v>
      </c>
      <c r="C40" s="172">
        <v>0.13721645472061658</v>
      </c>
      <c r="D40" s="172">
        <v>0.13832356020472056</v>
      </c>
      <c r="E40" s="172">
        <v>0.1218233026244545</v>
      </c>
      <c r="F40" s="172">
        <v>0.17241350822608986</v>
      </c>
      <c r="G40" s="173">
        <v>1.0816981151098504</v>
      </c>
      <c r="H40" s="173">
        <v>1.1457756246639703</v>
      </c>
      <c r="I40" s="172">
        <v>0.11122378816831271</v>
      </c>
      <c r="J40" s="172">
        <v>0.49084979637043874</v>
      </c>
      <c r="K40" s="172">
        <v>6.8199999999999997E-2</v>
      </c>
      <c r="L40" s="172">
        <v>0.12459018106802841</v>
      </c>
      <c r="M40" s="172">
        <v>0.1037204905122128</v>
      </c>
      <c r="N40" s="173">
        <v>1.1765513584055438</v>
      </c>
      <c r="O40" s="173">
        <v>4.3888031059759482</v>
      </c>
      <c r="P40" s="173">
        <v>19.377323312465347</v>
      </c>
      <c r="Q40" s="173">
        <v>30.316856189334839</v>
      </c>
      <c r="R40" s="173">
        <v>3.521970817747559</v>
      </c>
      <c r="S40" s="173">
        <v>67.939546735528111</v>
      </c>
      <c r="T40" s="172">
        <v>0.27893792598004885</v>
      </c>
      <c r="U40" s="172">
        <v>5.4383620154039844E-2</v>
      </c>
      <c r="V40" s="172">
        <v>4.1649918596979522E-2</v>
      </c>
      <c r="W40" s="172">
        <v>0.53804819527745773</v>
      </c>
      <c r="X40" s="172">
        <v>7.8106320715503885E-2</v>
      </c>
      <c r="Y40" s="172">
        <v>0.51061568275909719</v>
      </c>
      <c r="Z40" s="172">
        <v>0.51061568275909719</v>
      </c>
      <c r="AA40" s="174">
        <v>0.14275881397717696</v>
      </c>
    </row>
    <row r="41" spans="1:27" s="149" customFormat="1" ht="13">
      <c r="A41" s="170" t="s">
        <v>826</v>
      </c>
      <c r="B41" s="171">
        <v>480</v>
      </c>
      <c r="C41" s="172">
        <v>0.1349915570934257</v>
      </c>
      <c r="D41" s="172">
        <v>3.5089065418329506E-2</v>
      </c>
      <c r="E41" s="172">
        <v>0.23334053461573592</v>
      </c>
      <c r="F41" s="172">
        <v>0.23951022022842386</v>
      </c>
      <c r="G41" s="173">
        <v>0.73175950945889423</v>
      </c>
      <c r="H41" s="173">
        <v>0.86832079191349421</v>
      </c>
      <c r="I41" s="172">
        <v>9.5381117218260508E-2</v>
      </c>
      <c r="J41" s="172">
        <v>0.4113975379400226</v>
      </c>
      <c r="K41" s="172">
        <v>6.5699999999999995E-2</v>
      </c>
      <c r="L41" s="172">
        <v>0.27971874306131178</v>
      </c>
      <c r="M41" s="172">
        <v>8.2443941515409083E-2</v>
      </c>
      <c r="N41" s="173">
        <v>8.1724892824030597</v>
      </c>
      <c r="O41" s="173">
        <v>0.54856014455409829</v>
      </c>
      <c r="P41" s="173">
        <v>10.837305629682863</v>
      </c>
      <c r="Q41" s="173">
        <v>15.603649398440352</v>
      </c>
      <c r="R41" s="173">
        <v>2.3248576628802273</v>
      </c>
      <c r="S41" s="173">
        <v>73.034518345673746</v>
      </c>
      <c r="T41" s="172">
        <v>-3.4464194284608271E-2</v>
      </c>
      <c r="U41" s="172">
        <v>7.7418391054467758E-3</v>
      </c>
      <c r="V41" s="172">
        <v>7.1607832218305023E-3</v>
      </c>
      <c r="W41" s="172">
        <v>0.45876009446127347</v>
      </c>
      <c r="X41" s="172">
        <v>9.4227885466827546E-2</v>
      </c>
      <c r="Y41" s="172">
        <v>0.46555883737359283</v>
      </c>
      <c r="Z41" s="172">
        <v>0.46555883737359283</v>
      </c>
      <c r="AA41" s="174">
        <v>3.464149122791732E-2</v>
      </c>
    </row>
    <row r="42" spans="1:27" s="149" customFormat="1" ht="13">
      <c r="A42" s="170" t="s">
        <v>827</v>
      </c>
      <c r="B42" s="171">
        <v>435</v>
      </c>
      <c r="C42" s="172">
        <v>0.13021968127490038</v>
      </c>
      <c r="D42" s="172">
        <v>0.12799840863570688</v>
      </c>
      <c r="E42" s="172">
        <v>0.11111500595339449</v>
      </c>
      <c r="F42" s="172">
        <v>0.17487821027373782</v>
      </c>
      <c r="G42" s="173">
        <v>1.1322537170643541</v>
      </c>
      <c r="H42" s="173">
        <v>1.2059921327413936</v>
      </c>
      <c r="I42" s="172">
        <v>0.11466215077953357</v>
      </c>
      <c r="J42" s="172">
        <v>0.52671259281059979</v>
      </c>
      <c r="K42" s="172">
        <v>6.8199999999999997E-2</v>
      </c>
      <c r="L42" s="172">
        <v>0.12344132624849466</v>
      </c>
      <c r="M42" s="172">
        <v>0.10680360551782325</v>
      </c>
      <c r="N42" s="173">
        <v>1.1152274195001748</v>
      </c>
      <c r="O42" s="173">
        <v>5.1178580455061047</v>
      </c>
      <c r="P42" s="173">
        <v>21.558804145590301</v>
      </c>
      <c r="Q42" s="173">
        <v>38.098256038023372</v>
      </c>
      <c r="R42" s="173">
        <v>3.6674533983982971</v>
      </c>
      <c r="S42" s="173">
        <v>146.24483142937692</v>
      </c>
      <c r="T42" s="172">
        <v>0.24428343343175751</v>
      </c>
      <c r="U42" s="172">
        <v>6.6635166623492378E-2</v>
      </c>
      <c r="V42" s="172">
        <v>6.446813924673489E-2</v>
      </c>
      <c r="W42" s="172">
        <v>0.58530094403736654</v>
      </c>
      <c r="X42" s="172">
        <v>4.3618944508061926E-2</v>
      </c>
      <c r="Y42" s="172">
        <v>0.33030864379188873</v>
      </c>
      <c r="Z42" s="172">
        <v>0.33030864379188873</v>
      </c>
      <c r="AA42" s="174">
        <v>0.12991518646922223</v>
      </c>
    </row>
    <row r="43" spans="1:27" s="149" customFormat="1" ht="13">
      <c r="A43" s="170" t="s">
        <v>301</v>
      </c>
      <c r="B43" s="171">
        <v>165</v>
      </c>
      <c r="C43" s="172">
        <v>5.9902348484848517E-2</v>
      </c>
      <c r="D43" s="172">
        <v>0.12393975964590233</v>
      </c>
      <c r="E43" s="172">
        <v>0.1361031622471103</v>
      </c>
      <c r="F43" s="172">
        <v>0.23822705247367071</v>
      </c>
      <c r="G43" s="173">
        <v>0.94957586706950337</v>
      </c>
      <c r="H43" s="173">
        <v>1.0677356476037183</v>
      </c>
      <c r="I43" s="172">
        <v>0.10676770547817231</v>
      </c>
      <c r="J43" s="172">
        <v>0.3342135660466185</v>
      </c>
      <c r="K43" s="172">
        <v>6.5699999999999995E-2</v>
      </c>
      <c r="L43" s="172">
        <v>0.25804280316384937</v>
      </c>
      <c r="M43" s="172">
        <v>9.1894829088341831E-2</v>
      </c>
      <c r="N43" s="173">
        <v>1.4026520779873481</v>
      </c>
      <c r="O43" s="173">
        <v>1.1458028565386256</v>
      </c>
      <c r="P43" s="173">
        <v>8.3146553369124856</v>
      </c>
      <c r="Q43" s="173">
        <v>9.463226781099026</v>
      </c>
      <c r="R43" s="173">
        <v>1.4237005303027135</v>
      </c>
      <c r="S43" s="173">
        <v>17.251372536531051</v>
      </c>
      <c r="T43" s="172">
        <v>0.66268538665376053</v>
      </c>
      <c r="U43" s="172">
        <v>5.7896921689231098E-3</v>
      </c>
      <c r="V43" s="172">
        <v>5.4960746852593849E-3</v>
      </c>
      <c r="W43" s="172">
        <v>0.48593342951853447</v>
      </c>
      <c r="X43" s="172">
        <v>0.15264333224858359</v>
      </c>
      <c r="Y43" s="172">
        <v>0.17225114219829524</v>
      </c>
      <c r="Z43" s="172">
        <v>0.17225114219829529</v>
      </c>
      <c r="AA43" s="174">
        <v>0.11997238739126523</v>
      </c>
    </row>
    <row r="44" spans="1:27" s="149" customFormat="1" ht="13">
      <c r="A44" s="170" t="s">
        <v>828</v>
      </c>
      <c r="B44" s="171">
        <v>245</v>
      </c>
      <c r="C44" s="172">
        <v>0.1010432515337423</v>
      </c>
      <c r="D44" s="172">
        <v>0.1130258173060321</v>
      </c>
      <c r="E44" s="172">
        <v>0.12874281292439879</v>
      </c>
      <c r="F44" s="172">
        <v>0.19476987168278334</v>
      </c>
      <c r="G44" s="173">
        <v>0.58809202065855837</v>
      </c>
      <c r="H44" s="173">
        <v>0.77367833349541271</v>
      </c>
      <c r="I44" s="172">
        <v>8.9977032842588067E-2</v>
      </c>
      <c r="J44" s="172">
        <v>0.34422329078677011</v>
      </c>
      <c r="K44" s="172">
        <v>6.5699999999999995E-2</v>
      </c>
      <c r="L44" s="172">
        <v>0.33381945480346914</v>
      </c>
      <c r="M44" s="172">
        <v>7.6341652165685128E-2</v>
      </c>
      <c r="N44" s="173">
        <v>1.4074174666695256</v>
      </c>
      <c r="O44" s="173">
        <v>1.9890356888551743</v>
      </c>
      <c r="P44" s="173">
        <v>11.947380885526506</v>
      </c>
      <c r="Q44" s="173">
        <v>17.878504321618458</v>
      </c>
      <c r="R44" s="173">
        <v>3.2272819963627066</v>
      </c>
      <c r="S44" s="173">
        <v>51.420464696355708</v>
      </c>
      <c r="T44" s="172">
        <v>5.3432249045919179E-2</v>
      </c>
      <c r="U44" s="172">
        <v>6.7695067401564363E-2</v>
      </c>
      <c r="V44" s="172">
        <v>3.6319820369769093E-2</v>
      </c>
      <c r="W44" s="172">
        <v>0.52320318385418174</v>
      </c>
      <c r="X44" s="172">
        <v>0.25378011944883411</v>
      </c>
      <c r="Y44" s="172">
        <v>0.33409824897174106</v>
      </c>
      <c r="Z44" s="172">
        <v>0.33409824897174101</v>
      </c>
      <c r="AA44" s="174">
        <v>0.11056840824888346</v>
      </c>
    </row>
    <row r="45" spans="1:27" s="149" customFormat="1" ht="13">
      <c r="A45" s="170" t="s">
        <v>302</v>
      </c>
      <c r="B45" s="171">
        <v>660</v>
      </c>
      <c r="C45" s="172">
        <v>7.520172744721694E-2</v>
      </c>
      <c r="D45" s="172">
        <v>0.15571477839598694</v>
      </c>
      <c r="E45" s="172">
        <v>0.10909506308719386</v>
      </c>
      <c r="F45" s="172">
        <v>0.17470171860241521</v>
      </c>
      <c r="G45" s="173">
        <v>0.74231545449564618</v>
      </c>
      <c r="H45" s="173">
        <v>0.91305267791501576</v>
      </c>
      <c r="I45" s="172">
        <v>9.7935307908947389E-2</v>
      </c>
      <c r="J45" s="172">
        <v>0.37039743711619999</v>
      </c>
      <c r="K45" s="172">
        <v>6.5699999999999995E-2</v>
      </c>
      <c r="L45" s="172">
        <v>0.29801697871686506</v>
      </c>
      <c r="M45" s="172">
        <v>8.3390634588386775E-2</v>
      </c>
      <c r="N45" s="173">
        <v>0.92715962507186955</v>
      </c>
      <c r="O45" s="173">
        <v>3.3799125612463863</v>
      </c>
      <c r="P45" s="173">
        <v>14.079987190558994</v>
      </c>
      <c r="Q45" s="173">
        <v>23.518510056852431</v>
      </c>
      <c r="R45" s="173">
        <v>4.5164369945511291</v>
      </c>
      <c r="S45" s="173">
        <v>53.997068577157464</v>
      </c>
      <c r="T45" s="172">
        <v>-1.6755297209510932E-2</v>
      </c>
      <c r="U45" s="172">
        <v>6.716390170745104E-2</v>
      </c>
      <c r="V45" s="172">
        <v>1.1232514421773726E-2</v>
      </c>
      <c r="W45" s="172">
        <v>0.14794105203092242</v>
      </c>
      <c r="X45" s="172">
        <v>0.14828396167408225</v>
      </c>
      <c r="Y45" s="172">
        <v>0.30999423776035268</v>
      </c>
      <c r="Z45" s="172">
        <v>0.30999423776035262</v>
      </c>
      <c r="AA45" s="174">
        <v>0.1415379940292289</v>
      </c>
    </row>
    <row r="46" spans="1:27" s="149" customFormat="1" ht="13">
      <c r="A46" s="170" t="s">
        <v>311</v>
      </c>
      <c r="B46" s="171">
        <v>554</v>
      </c>
      <c r="C46" s="172">
        <v>6.5729731903485258E-2</v>
      </c>
      <c r="D46" s="172">
        <v>0.16021742351863261</v>
      </c>
      <c r="E46" s="172">
        <v>0.22277651316453786</v>
      </c>
      <c r="F46" s="172">
        <v>0.24047782734097919</v>
      </c>
      <c r="G46" s="173">
        <v>0.82758451693980695</v>
      </c>
      <c r="H46" s="173">
        <v>0.87995434722373944</v>
      </c>
      <c r="I46" s="172">
        <v>9.6045393226475512E-2</v>
      </c>
      <c r="J46" s="172">
        <v>0.39284610486733684</v>
      </c>
      <c r="K46" s="172">
        <v>6.5699999999999995E-2</v>
      </c>
      <c r="L46" s="172">
        <v>0.1237449627466964</v>
      </c>
      <c r="M46" s="172">
        <v>9.0239906562101554E-2</v>
      </c>
      <c r="N46" s="173">
        <v>1.761434215021396</v>
      </c>
      <c r="O46" s="173">
        <v>3.0331969122898039</v>
      </c>
      <c r="P46" s="173">
        <v>15.31120597913071</v>
      </c>
      <c r="Q46" s="173">
        <v>18.692511149399856</v>
      </c>
      <c r="R46" s="173">
        <v>4.6956404535505332</v>
      </c>
      <c r="S46" s="173">
        <v>67.363778705672388</v>
      </c>
      <c r="T46" s="172">
        <v>5.8834030995191605E-2</v>
      </c>
      <c r="U46" s="172">
        <v>3.4708927475133676E-2</v>
      </c>
      <c r="V46" s="172">
        <v>2.4621545246325278E-2</v>
      </c>
      <c r="W46" s="172">
        <v>0.23145141603777733</v>
      </c>
      <c r="X46" s="172">
        <v>0.17827338579111895</v>
      </c>
      <c r="Y46" s="172">
        <v>0.70123488680260115</v>
      </c>
      <c r="Z46" s="172">
        <v>0.70123488680260115</v>
      </c>
      <c r="AA46" s="174">
        <v>0.16119326947087548</v>
      </c>
    </row>
    <row r="47" spans="1:27" s="149" customFormat="1" ht="13">
      <c r="A47" s="170" t="s">
        <v>829</v>
      </c>
      <c r="B47" s="171">
        <v>85</v>
      </c>
      <c r="C47" s="172">
        <v>6.6317368421052625E-2</v>
      </c>
      <c r="D47" s="172">
        <v>0.1104412456289791</v>
      </c>
      <c r="E47" s="172">
        <v>0.21256133010877326</v>
      </c>
      <c r="F47" s="172">
        <v>0.23667823985110378</v>
      </c>
      <c r="G47" s="173">
        <v>0.94618581496744769</v>
      </c>
      <c r="H47" s="173">
        <v>1.1245610499517515</v>
      </c>
      <c r="I47" s="172">
        <v>0.11001243595224502</v>
      </c>
      <c r="J47" s="172">
        <v>0.41228863867953691</v>
      </c>
      <c r="K47" s="172">
        <v>6.5699999999999995E-2</v>
      </c>
      <c r="L47" s="172">
        <v>0.25438748341972206</v>
      </c>
      <c r="M47" s="172">
        <v>9.4524823304133379E-2</v>
      </c>
      <c r="N47" s="173">
        <v>2.5968899920630952</v>
      </c>
      <c r="O47" s="173">
        <v>1.9465266072689704</v>
      </c>
      <c r="P47" s="173">
        <v>11.286514405100725</v>
      </c>
      <c r="Q47" s="173">
        <v>16.835615265579136</v>
      </c>
      <c r="R47" s="173">
        <v>3.1330702066977385</v>
      </c>
      <c r="S47" s="173">
        <v>47.863780258628985</v>
      </c>
      <c r="T47" s="172">
        <v>0.16890946785103858</v>
      </c>
      <c r="U47" s="172">
        <v>2.0278829661343024E-2</v>
      </c>
      <c r="V47" s="172">
        <v>4.5093737120037503E-2</v>
      </c>
      <c r="W47" s="172">
        <v>0.60152156370152698</v>
      </c>
      <c r="X47" s="172">
        <v>0.13730676677374132</v>
      </c>
      <c r="Y47" s="172">
        <v>0.37477605380667883</v>
      </c>
      <c r="Z47" s="172">
        <v>0.37477605380667889</v>
      </c>
      <c r="AA47" s="174">
        <v>0.11434607310740295</v>
      </c>
    </row>
    <row r="48" spans="1:27" s="149" customFormat="1" ht="13">
      <c r="A48" s="170" t="s">
        <v>830</v>
      </c>
      <c r="B48" s="171">
        <v>199</v>
      </c>
      <c r="C48" s="172">
        <v>0.10226335403726711</v>
      </c>
      <c r="D48" s="172">
        <v>0.14502498633664851</v>
      </c>
      <c r="E48" s="172">
        <v>0.22284268214086758</v>
      </c>
      <c r="F48" s="172">
        <v>0.21263286343715071</v>
      </c>
      <c r="G48" s="173">
        <v>0.53391351966848943</v>
      </c>
      <c r="H48" s="173">
        <v>0.57451200187217744</v>
      </c>
      <c r="I48" s="172">
        <v>7.860463530690133E-2</v>
      </c>
      <c r="J48" s="172">
        <v>0.30078474160730762</v>
      </c>
      <c r="K48" s="172">
        <v>6.5699999999999995E-2</v>
      </c>
      <c r="L48" s="172">
        <v>0.23821384546215085</v>
      </c>
      <c r="M48" s="172">
        <v>7.1583478665218789E-2</v>
      </c>
      <c r="N48" s="173">
        <v>1.8452373630409193</v>
      </c>
      <c r="O48" s="173">
        <v>1.3098108224415517</v>
      </c>
      <c r="P48" s="173">
        <v>7.7615397103578427</v>
      </c>
      <c r="Q48" s="173">
        <v>7.9372116939490747</v>
      </c>
      <c r="R48" s="173">
        <v>1.8832308583242523</v>
      </c>
      <c r="S48" s="173">
        <v>23.78237417655259</v>
      </c>
      <c r="T48" s="172">
        <v>0.11397206981003143</v>
      </c>
      <c r="U48" s="172">
        <v>7.3332162322568414E-3</v>
      </c>
      <c r="V48" s="172">
        <v>2.2188751726752758E-2</v>
      </c>
      <c r="W48" s="172">
        <v>4.9583279170288701E-2</v>
      </c>
      <c r="X48" s="172">
        <v>0.14580483534717362</v>
      </c>
      <c r="Y48" s="172">
        <v>0.451685279800353</v>
      </c>
      <c r="Z48" s="172">
        <v>0.451685279800353</v>
      </c>
      <c r="AA48" s="174">
        <v>0.14517319228042763</v>
      </c>
    </row>
    <row r="49" spans="1:27" s="149" customFormat="1" ht="13">
      <c r="A49" s="170" t="s">
        <v>220</v>
      </c>
      <c r="B49" s="171">
        <v>137</v>
      </c>
      <c r="C49" s="172">
        <v>6.7765833333333345E-2</v>
      </c>
      <c r="D49" s="172">
        <v>0.13239068925968889</v>
      </c>
      <c r="E49" s="172">
        <v>0.11188409574679048</v>
      </c>
      <c r="F49" s="172">
        <v>0.17516897912997553</v>
      </c>
      <c r="G49" s="173">
        <v>0.83666484331650837</v>
      </c>
      <c r="H49" s="173">
        <v>0.94159894483721496</v>
      </c>
      <c r="I49" s="172">
        <v>9.9565299750204977E-2</v>
      </c>
      <c r="J49" s="172">
        <v>0.291910176346379</v>
      </c>
      <c r="K49" s="172">
        <v>6.1199999999999997E-2</v>
      </c>
      <c r="L49" s="172">
        <v>0.49640506386260391</v>
      </c>
      <c r="M49" s="172">
        <v>7.285873722270024E-2</v>
      </c>
      <c r="N49" s="173">
        <v>1.0049548349312696</v>
      </c>
      <c r="O49" s="173">
        <v>1.1648377995828094</v>
      </c>
      <c r="P49" s="173">
        <v>7.87577449768657</v>
      </c>
      <c r="Q49" s="173">
        <v>8.210704074127591</v>
      </c>
      <c r="R49" s="173">
        <v>1.1391819987430885</v>
      </c>
      <c r="S49" s="173">
        <v>54.920685356257813</v>
      </c>
      <c r="T49" s="172">
        <v>-1.0013505509374121</v>
      </c>
      <c r="U49" s="172">
        <v>6.3609571022236154E-3</v>
      </c>
      <c r="V49" s="172">
        <v>7.8017723425885897E-3</v>
      </c>
      <c r="W49" s="172">
        <v>-5.6726772918359231E-2</v>
      </c>
      <c r="X49" s="172">
        <v>0.12029518289031958</v>
      </c>
      <c r="Y49" s="172">
        <v>0.40808777594839868</v>
      </c>
      <c r="Z49" s="172">
        <v>0.40808777594839873</v>
      </c>
      <c r="AA49" s="174">
        <v>0.13250955227861244</v>
      </c>
    </row>
    <row r="50" spans="1:27" s="149" customFormat="1" ht="13">
      <c r="A50" s="170" t="s">
        <v>831</v>
      </c>
      <c r="B50" s="171">
        <v>240</v>
      </c>
      <c r="C50" s="172">
        <v>0.11804827411167505</v>
      </c>
      <c r="D50" s="172">
        <v>0.14728006877704281</v>
      </c>
      <c r="E50" s="172">
        <v>0.20496800449489791</v>
      </c>
      <c r="F50" s="172">
        <v>0.1757133229465237</v>
      </c>
      <c r="G50" s="173">
        <v>0.47753753007082456</v>
      </c>
      <c r="H50" s="173">
        <v>0.49854866099290202</v>
      </c>
      <c r="I50" s="172">
        <v>7.426712854269471E-2</v>
      </c>
      <c r="J50" s="172">
        <v>0.29601677327192982</v>
      </c>
      <c r="K50" s="172">
        <v>6.1199999999999997E-2</v>
      </c>
      <c r="L50" s="172">
        <v>0.14412767676679425</v>
      </c>
      <c r="M50" s="172">
        <v>7.0159234858891223E-2</v>
      </c>
      <c r="N50" s="173">
        <v>1.6841376149261809</v>
      </c>
      <c r="O50" s="173">
        <v>1.2631238543860641</v>
      </c>
      <c r="P50" s="173">
        <v>7.966622953668649</v>
      </c>
      <c r="Q50" s="173">
        <v>8.5317884833395699</v>
      </c>
      <c r="R50" s="173">
        <v>1.7020450530710609</v>
      </c>
      <c r="S50" s="173">
        <v>17.683477325569502</v>
      </c>
      <c r="T50" s="172">
        <v>-0.2753750414904087</v>
      </c>
      <c r="U50" s="172">
        <v>6.9888741409074619E-3</v>
      </c>
      <c r="V50" s="172">
        <v>2.2022869312401535E-3</v>
      </c>
      <c r="W50" s="172">
        <v>1.7433284377891239E-2</v>
      </c>
      <c r="X50" s="172">
        <v>0.1998132179259425</v>
      </c>
      <c r="Y50" s="172">
        <v>0.22294196711072889</v>
      </c>
      <c r="Z50" s="172">
        <v>0.22294196711072889</v>
      </c>
      <c r="AA50" s="174">
        <v>0.14756512604875174</v>
      </c>
    </row>
    <row r="51" spans="1:27" s="149" customFormat="1" ht="13">
      <c r="A51" s="170" t="s">
        <v>832</v>
      </c>
      <c r="B51" s="171">
        <v>1291</v>
      </c>
      <c r="C51" s="172">
        <v>0.14752180357142863</v>
      </c>
      <c r="D51" s="172">
        <v>0.187998113367846</v>
      </c>
      <c r="E51" s="172">
        <v>6.2863427604451072E-2</v>
      </c>
      <c r="F51" s="172">
        <v>0.1683613810326697</v>
      </c>
      <c r="G51" s="173">
        <v>0.5751603220865722</v>
      </c>
      <c r="H51" s="173">
        <v>0.76702681119427663</v>
      </c>
      <c r="I51" s="172">
        <v>8.9597230919193194E-2</v>
      </c>
      <c r="J51" s="172">
        <v>0.37580311665485761</v>
      </c>
      <c r="K51" s="172">
        <v>6.5699999999999995E-2</v>
      </c>
      <c r="L51" s="172">
        <v>0.38145630617884313</v>
      </c>
      <c r="M51" s="172">
        <v>7.4160925961372332E-2</v>
      </c>
      <c r="N51" s="173">
        <v>0.36621452823011791</v>
      </c>
      <c r="O51" s="173">
        <v>5.1390496197574</v>
      </c>
      <c r="P51" s="173">
        <v>19.776535857034077</v>
      </c>
      <c r="Q51" s="173">
        <v>21.922168532184187</v>
      </c>
      <c r="R51" s="173">
        <v>1.6370771000274509</v>
      </c>
      <c r="S51" s="173">
        <v>46.242031629286892</v>
      </c>
      <c r="T51" s="172" t="s">
        <v>285</v>
      </c>
      <c r="U51" s="172">
        <v>4.0419357934407221E-2</v>
      </c>
      <c r="V51" s="172">
        <v>4.7434479811513962E-2</v>
      </c>
      <c r="W51" s="172">
        <v>0.38395888903852277</v>
      </c>
      <c r="X51" s="172">
        <v>0.10266771326817513</v>
      </c>
      <c r="Y51" s="172">
        <v>0.53433366848776886</v>
      </c>
      <c r="Z51" s="172">
        <v>0.53433366848776886</v>
      </c>
      <c r="AA51" s="174">
        <v>0.18660042820908357</v>
      </c>
    </row>
    <row r="52" spans="1:27" s="149" customFormat="1" ht="13">
      <c r="A52" s="170" t="s">
        <v>130</v>
      </c>
      <c r="B52" s="171">
        <v>1548</v>
      </c>
      <c r="C52" s="172">
        <v>6.5576247833622189E-2</v>
      </c>
      <c r="D52" s="172">
        <v>0.10246595144206258</v>
      </c>
      <c r="E52" s="172">
        <v>0.1287927559074887</v>
      </c>
      <c r="F52" s="172">
        <v>0.21773331936373322</v>
      </c>
      <c r="G52" s="173">
        <v>1.1230406760043468</v>
      </c>
      <c r="H52" s="173">
        <v>1.1576883260119293</v>
      </c>
      <c r="I52" s="172">
        <v>0.11190400341528117</v>
      </c>
      <c r="J52" s="172">
        <v>0.37357026284951733</v>
      </c>
      <c r="K52" s="172">
        <v>6.5699999999999995E-2</v>
      </c>
      <c r="L52" s="172">
        <v>0.13500058346634231</v>
      </c>
      <c r="M52" s="172">
        <v>0.10342953842796844</v>
      </c>
      <c r="N52" s="173">
        <v>1.6428307320616382</v>
      </c>
      <c r="O52" s="173">
        <v>2.0885541427672822</v>
      </c>
      <c r="P52" s="173">
        <v>13.952773356683227</v>
      </c>
      <c r="Q52" s="173">
        <v>19.45620670699655</v>
      </c>
      <c r="R52" s="173">
        <v>2.7643975780752923</v>
      </c>
      <c r="S52" s="173">
        <v>79.078821709442309</v>
      </c>
      <c r="T52" s="172">
        <v>0.2859034765943716</v>
      </c>
      <c r="U52" s="172">
        <v>4.1186579049869033E-2</v>
      </c>
      <c r="V52" s="172">
        <v>3.932809856546194E-2</v>
      </c>
      <c r="W52" s="172">
        <v>0.65716452959140015</v>
      </c>
      <c r="X52" s="172">
        <v>0.11487605886746285</v>
      </c>
      <c r="Y52" s="172">
        <v>0.44634026397491028</v>
      </c>
      <c r="Z52" s="172">
        <v>0.44634026397491033</v>
      </c>
      <c r="AA52" s="174">
        <v>0.10466244081141049</v>
      </c>
    </row>
    <row r="53" spans="1:27" s="149" customFormat="1" ht="13">
      <c r="A53" s="170" t="s">
        <v>833</v>
      </c>
      <c r="B53" s="171">
        <v>1832</v>
      </c>
      <c r="C53" s="172">
        <v>0.22555768442622956</v>
      </c>
      <c r="D53" s="172">
        <v>0.1094090172100248</v>
      </c>
      <c r="E53" s="172">
        <v>0.15028461661979697</v>
      </c>
      <c r="F53" s="172">
        <v>0.30618328833655339</v>
      </c>
      <c r="G53" s="173">
        <v>1.0067152939696256</v>
      </c>
      <c r="H53" s="173">
        <v>1.1212472099030004</v>
      </c>
      <c r="I53" s="172">
        <v>0.10982321568546133</v>
      </c>
      <c r="J53" s="172">
        <v>0.69554926408399675</v>
      </c>
      <c r="K53" s="172">
        <v>7.4499999999999997E-2</v>
      </c>
      <c r="L53" s="172">
        <v>0.23391739719832377</v>
      </c>
      <c r="M53" s="172">
        <v>9.7165450427423625E-2</v>
      </c>
      <c r="N53" s="173">
        <v>1.451332582140876</v>
      </c>
      <c r="O53" s="173">
        <v>1.2222894523844456</v>
      </c>
      <c r="P53" s="173">
        <v>7.0211688298292181</v>
      </c>
      <c r="Q53" s="173">
        <v>10.577326797748654</v>
      </c>
      <c r="R53" s="173">
        <v>1.6658670310855495</v>
      </c>
      <c r="S53" s="173">
        <v>64.704007747124834</v>
      </c>
      <c r="T53" s="172">
        <v>0.12476590159998122</v>
      </c>
      <c r="U53" s="172">
        <v>8.3569178365828528E-2</v>
      </c>
      <c r="V53" s="172">
        <v>4.7809900225116629E-2</v>
      </c>
      <c r="W53" s="172">
        <v>0.71295511411300638</v>
      </c>
      <c r="X53" s="172">
        <v>8.6061057564051247E-2</v>
      </c>
      <c r="Y53" s="172">
        <v>0.79645908215129202</v>
      </c>
      <c r="Z53" s="172">
        <v>0.79645908215129202</v>
      </c>
      <c r="AA53" s="174">
        <v>0.11009706683729671</v>
      </c>
    </row>
    <row r="54" spans="1:27" s="149" customFormat="1" ht="13">
      <c r="A54" s="170" t="s">
        <v>834</v>
      </c>
      <c r="B54" s="171">
        <v>140</v>
      </c>
      <c r="C54" s="172">
        <v>5.0200416666666664E-2</v>
      </c>
      <c r="D54" s="172">
        <v>7.3582063238203793E-2</v>
      </c>
      <c r="E54" s="172">
        <v>0.12805012241363092</v>
      </c>
      <c r="F54" s="172">
        <v>0.23349150983357081</v>
      </c>
      <c r="G54" s="173">
        <v>0.72673248540203206</v>
      </c>
      <c r="H54" s="173">
        <v>0.76010840945964098</v>
      </c>
      <c r="I54" s="172">
        <v>8.9202190180145496E-2</v>
      </c>
      <c r="J54" s="172">
        <v>0.35550865977630808</v>
      </c>
      <c r="K54" s="172">
        <v>6.5699999999999995E-2</v>
      </c>
      <c r="L54" s="172">
        <v>0.21923460408682288</v>
      </c>
      <c r="M54" s="172">
        <v>8.0417080279027303E-2</v>
      </c>
      <c r="N54" s="173">
        <v>2.1812277740154595</v>
      </c>
      <c r="O54" s="173">
        <v>1.0044524807823128</v>
      </c>
      <c r="P54" s="173">
        <v>8.8270849557783233</v>
      </c>
      <c r="Q54" s="173">
        <v>13.169039986290381</v>
      </c>
      <c r="R54" s="173">
        <v>1.8026558924622069</v>
      </c>
      <c r="S54" s="173">
        <v>133.87204494827162</v>
      </c>
      <c r="T54" s="172">
        <v>0.13156634716952909</v>
      </c>
      <c r="U54" s="172">
        <v>2.6356483004655675E-2</v>
      </c>
      <c r="V54" s="172">
        <v>7.2583319753580164E-3</v>
      </c>
      <c r="W54" s="172">
        <v>4.364067057892862E-2</v>
      </c>
      <c r="X54" s="172">
        <v>8.1991966017553708E-2</v>
      </c>
      <c r="Y54" s="172">
        <v>0.60150665369214262</v>
      </c>
      <c r="Z54" s="172">
        <v>0.60150665369214262</v>
      </c>
      <c r="AA54" s="174">
        <v>7.5575132669539122E-2</v>
      </c>
    </row>
    <row r="55" spans="1:27" s="149" customFormat="1" ht="13">
      <c r="A55" s="170" t="s">
        <v>835</v>
      </c>
      <c r="B55" s="171">
        <v>36</v>
      </c>
      <c r="C55" s="172">
        <v>7.216314285714287E-2</v>
      </c>
      <c r="D55" s="172">
        <v>0.14913790374495575</v>
      </c>
      <c r="E55" s="172">
        <v>0.16942432319584688</v>
      </c>
      <c r="F55" s="172">
        <v>0.42409460137349425</v>
      </c>
      <c r="G55" s="173">
        <v>0.87051190476478035</v>
      </c>
      <c r="H55" s="173">
        <v>0.9316777107029921</v>
      </c>
      <c r="I55" s="172">
        <v>9.8998797281140846E-2</v>
      </c>
      <c r="J55" s="172">
        <v>0.30370601991749058</v>
      </c>
      <c r="K55" s="172">
        <v>6.5699999999999995E-2</v>
      </c>
      <c r="L55" s="172">
        <v>0.1671788898395993</v>
      </c>
      <c r="M55" s="172">
        <v>9.0661864016333013E-2</v>
      </c>
      <c r="N55" s="173">
        <v>1.5340470392934398</v>
      </c>
      <c r="O55" s="173">
        <v>1.232030082877976</v>
      </c>
      <c r="P55" s="173">
        <v>5.7550248832166426</v>
      </c>
      <c r="Q55" s="173">
        <v>8.2293208286654469</v>
      </c>
      <c r="R55" s="173">
        <v>1.7561517688182717</v>
      </c>
      <c r="S55" s="173">
        <v>11.847866338187274</v>
      </c>
      <c r="T55" s="172">
        <v>2.3309151996768189E-2</v>
      </c>
      <c r="U55" s="172">
        <v>8.2820856409154833E-2</v>
      </c>
      <c r="V55" s="172">
        <v>1.5681400322980307E-2</v>
      </c>
      <c r="W55" s="172">
        <v>9.8175070091666608E-2</v>
      </c>
      <c r="X55" s="172">
        <v>0.14992924499222218</v>
      </c>
      <c r="Y55" s="172">
        <v>0.78217316824523664</v>
      </c>
      <c r="Z55" s="172">
        <v>0.78217316824523664</v>
      </c>
      <c r="AA55" s="174">
        <v>0.14986110374459949</v>
      </c>
    </row>
    <row r="56" spans="1:27" s="149" customFormat="1" ht="13">
      <c r="A56" s="170" t="s">
        <v>836</v>
      </c>
      <c r="B56" s="171">
        <v>548</v>
      </c>
      <c r="C56" s="172">
        <v>0.15812938709677413</v>
      </c>
      <c r="D56" s="172">
        <v>0.31594019100097365</v>
      </c>
      <c r="E56" s="172">
        <v>0.18249955677562199</v>
      </c>
      <c r="F56" s="172">
        <v>0.32747213138447279</v>
      </c>
      <c r="G56" s="173">
        <v>0.89387196288306059</v>
      </c>
      <c r="H56" s="173">
        <v>1.0156805607417236</v>
      </c>
      <c r="I56" s="172">
        <v>0.10379536001835242</v>
      </c>
      <c r="J56" s="172">
        <v>0.50379767727481561</v>
      </c>
      <c r="K56" s="172">
        <v>6.8199999999999997E-2</v>
      </c>
      <c r="L56" s="172">
        <v>0.22437288709513967</v>
      </c>
      <c r="M56" s="172">
        <v>9.1949503690891901E-2</v>
      </c>
      <c r="N56" s="173">
        <v>0.6400592252236873</v>
      </c>
      <c r="O56" s="173">
        <v>2.5494331061581561</v>
      </c>
      <c r="P56" s="173">
        <v>4.5585159475016965</v>
      </c>
      <c r="Q56" s="173">
        <v>7.8694358105821278</v>
      </c>
      <c r="R56" s="173">
        <v>1.4319196086027774</v>
      </c>
      <c r="S56" s="173">
        <v>17.962340113955602</v>
      </c>
      <c r="T56" s="172">
        <v>5.9598585242162704E-3</v>
      </c>
      <c r="U56" s="172">
        <v>0.31442503101585412</v>
      </c>
      <c r="V56" s="172">
        <v>0.1443228919197149</v>
      </c>
      <c r="W56" s="172">
        <v>0.59162933601576284</v>
      </c>
      <c r="X56" s="172">
        <v>0.15066651084632068</v>
      </c>
      <c r="Y56" s="172">
        <v>0.44928168898043747</v>
      </c>
      <c r="Z56" s="172">
        <v>0.44928168898043741</v>
      </c>
      <c r="AA56" s="174">
        <v>0.31855474196185918</v>
      </c>
    </row>
    <row r="57" spans="1:27" s="149" customFormat="1" ht="13">
      <c r="A57" s="170" t="s">
        <v>837</v>
      </c>
      <c r="B57" s="171">
        <v>179</v>
      </c>
      <c r="C57" s="172">
        <v>9.0194104477611919E-2</v>
      </c>
      <c r="D57" s="172">
        <v>0.17409116789879855</v>
      </c>
      <c r="E57" s="172">
        <v>0.10213474768823065</v>
      </c>
      <c r="F57" s="172">
        <v>0.16519016799620251</v>
      </c>
      <c r="G57" s="173">
        <v>0.47137829737850173</v>
      </c>
      <c r="H57" s="173">
        <v>0.67213343237645196</v>
      </c>
      <c r="I57" s="172">
        <v>8.4178818988695406E-2</v>
      </c>
      <c r="J57" s="172">
        <v>0.31500689454079139</v>
      </c>
      <c r="K57" s="172">
        <v>6.5699999999999995E-2</v>
      </c>
      <c r="L57" s="172">
        <v>0.38697010564897161</v>
      </c>
      <c r="M57" s="172">
        <v>7.0616151808016864E-2</v>
      </c>
      <c r="N57" s="173">
        <v>0.66470142983201175</v>
      </c>
      <c r="O57" s="173">
        <v>2.9100056336869229</v>
      </c>
      <c r="P57" s="173">
        <v>11.347357731814801</v>
      </c>
      <c r="Q57" s="173">
        <v>16.22649339563943</v>
      </c>
      <c r="R57" s="173">
        <v>2.038517779472103</v>
      </c>
      <c r="S57" s="173">
        <v>24.232799172879478</v>
      </c>
      <c r="T57" s="172">
        <v>6.5329282377489972E-2</v>
      </c>
      <c r="U57" s="172">
        <v>0.14358433840334278</v>
      </c>
      <c r="V57" s="172">
        <v>0.1240093479658206</v>
      </c>
      <c r="W57" s="172">
        <v>0.83980367537669875</v>
      </c>
      <c r="X57" s="172">
        <v>0.16128448737467838</v>
      </c>
      <c r="Y57" s="172">
        <v>0.69747698597032337</v>
      </c>
      <c r="Z57" s="172">
        <v>0.69747698597032337</v>
      </c>
      <c r="AA57" s="174">
        <v>0.17536332519693851</v>
      </c>
    </row>
    <row r="58" spans="1:27" s="149" customFormat="1" ht="13">
      <c r="A58" s="170" t="s">
        <v>838</v>
      </c>
      <c r="B58" s="171">
        <v>437</v>
      </c>
      <c r="C58" s="172">
        <v>7.4979648093841653E-2</v>
      </c>
      <c r="D58" s="172">
        <v>4.8700398828817389E-2</v>
      </c>
      <c r="E58" s="172">
        <v>0.10190717522939738</v>
      </c>
      <c r="F58" s="172">
        <v>0.23041430225670032</v>
      </c>
      <c r="G58" s="173">
        <v>0.76914615084633831</v>
      </c>
      <c r="H58" s="173">
        <v>0.95299983986783698</v>
      </c>
      <c r="I58" s="172">
        <v>0.10021629085645349</v>
      </c>
      <c r="J58" s="172">
        <v>0.40800244927459106</v>
      </c>
      <c r="K58" s="172">
        <v>6.5699999999999995E-2</v>
      </c>
      <c r="L58" s="172">
        <v>0.3223037966730864</v>
      </c>
      <c r="M58" s="172">
        <v>8.3751133615219422E-2</v>
      </c>
      <c r="N58" s="173">
        <v>2.4092616300678835</v>
      </c>
      <c r="O58" s="173">
        <v>0.60960485962386535</v>
      </c>
      <c r="P58" s="173">
        <v>7.5802355183581627</v>
      </c>
      <c r="Q58" s="173">
        <v>12.034566811785607</v>
      </c>
      <c r="R58" s="173">
        <v>1.301592544900414</v>
      </c>
      <c r="S58" s="173">
        <v>38.633843482565432</v>
      </c>
      <c r="T58" s="172">
        <v>6.2711256881102295E-2</v>
      </c>
      <c r="U58" s="172">
        <v>4.1870931609964766E-2</v>
      </c>
      <c r="V58" s="172">
        <v>2.2181706438933448E-2</v>
      </c>
      <c r="W58" s="172">
        <v>0.43719646591703759</v>
      </c>
      <c r="X58" s="172">
        <v>9.6284313348654116E-2</v>
      </c>
      <c r="Y58" s="172">
        <v>0.51220459292545295</v>
      </c>
      <c r="Z58" s="172">
        <v>0.51220459292545295</v>
      </c>
      <c r="AA58" s="174">
        <v>4.9703678052126221E-2</v>
      </c>
    </row>
    <row r="59" spans="1:27" s="149" customFormat="1" ht="13">
      <c r="A59" s="170" t="s">
        <v>296</v>
      </c>
      <c r="B59" s="171">
        <v>438</v>
      </c>
      <c r="C59" s="172">
        <v>5.4073194029850731E-2</v>
      </c>
      <c r="D59" s="172">
        <v>8.2364517535187975E-2</v>
      </c>
      <c r="E59" s="172">
        <v>0.10687018671898328</v>
      </c>
      <c r="F59" s="172">
        <v>0.22615723883544117</v>
      </c>
      <c r="G59" s="173">
        <v>0.61110625598482426</v>
      </c>
      <c r="H59" s="173">
        <v>0.77880183257517388</v>
      </c>
      <c r="I59" s="172">
        <v>9.0269584640042422E-2</v>
      </c>
      <c r="J59" s="172">
        <v>0.33083795313025388</v>
      </c>
      <c r="K59" s="172">
        <v>6.5699999999999995E-2</v>
      </c>
      <c r="L59" s="172">
        <v>0.32394015773860135</v>
      </c>
      <c r="M59" s="172">
        <v>7.6942970114919101E-2</v>
      </c>
      <c r="N59" s="173">
        <v>1.5613159703303021</v>
      </c>
      <c r="O59" s="173">
        <v>1.4527002195861074</v>
      </c>
      <c r="P59" s="173">
        <v>10.066296705708428</v>
      </c>
      <c r="Q59" s="173">
        <v>17.200550439305598</v>
      </c>
      <c r="R59" s="173">
        <v>1.9039652615763276</v>
      </c>
      <c r="S59" s="173">
        <v>368.70254755029885</v>
      </c>
      <c r="T59" s="172">
        <v>0.15444680287895513</v>
      </c>
      <c r="U59" s="172">
        <v>6.3285563539990555E-2</v>
      </c>
      <c r="V59" s="172">
        <v>2.9401525254814469E-2</v>
      </c>
      <c r="W59" s="172">
        <v>0.39229166744482608</v>
      </c>
      <c r="X59" s="172">
        <v>0.11623958944351027</v>
      </c>
      <c r="Y59" s="172">
        <v>0.50699856891135331</v>
      </c>
      <c r="Z59" s="172">
        <v>0.50699856891135331</v>
      </c>
      <c r="AA59" s="174">
        <v>8.3691566873251008E-2</v>
      </c>
    </row>
    <row r="60" spans="1:27" s="149" customFormat="1" ht="13">
      <c r="A60" s="170" t="s">
        <v>839</v>
      </c>
      <c r="B60" s="171">
        <v>269</v>
      </c>
      <c r="C60" s="172">
        <v>3.1712136363636373E-2</v>
      </c>
      <c r="D60" s="172">
        <v>6.9877995392099324E-2</v>
      </c>
      <c r="E60" s="172">
        <v>5.2728666855588621E-2</v>
      </c>
      <c r="F60" s="172">
        <v>0.20538045297098367</v>
      </c>
      <c r="G60" s="173">
        <v>0.58691701866931811</v>
      </c>
      <c r="H60" s="173">
        <v>0.86640849131078868</v>
      </c>
      <c r="I60" s="172">
        <v>9.5271924853846029E-2</v>
      </c>
      <c r="J60" s="172">
        <v>0.34316383153762042</v>
      </c>
      <c r="K60" s="172">
        <v>6.5699999999999995E-2</v>
      </c>
      <c r="L60" s="172">
        <v>0.45102299551231512</v>
      </c>
      <c r="M60" s="172">
        <v>7.4461063158138191E-2</v>
      </c>
      <c r="N60" s="173">
        <v>0.87332834126115777</v>
      </c>
      <c r="O60" s="173">
        <v>1.2574426720984482</v>
      </c>
      <c r="P60" s="173">
        <v>9.3905072816298123</v>
      </c>
      <c r="Q60" s="173">
        <v>17.422383534388768</v>
      </c>
      <c r="R60" s="173">
        <v>0.83913400445088748</v>
      </c>
      <c r="S60" s="173">
        <v>564.66420501498817</v>
      </c>
      <c r="T60" s="172">
        <v>0.23127248565986247</v>
      </c>
      <c r="U60" s="172">
        <v>0.100163451218125</v>
      </c>
      <c r="V60" s="172">
        <v>6.4560554364979955E-2</v>
      </c>
      <c r="W60" s="172">
        <v>1.1950005445747607</v>
      </c>
      <c r="X60" s="172">
        <v>3.8734812012047773E-2</v>
      </c>
      <c r="Y60" s="172">
        <v>0.89287246485083549</v>
      </c>
      <c r="Z60" s="172">
        <v>0.89287246485083549</v>
      </c>
      <c r="AA60" s="174">
        <v>7.0743213812741887E-2</v>
      </c>
    </row>
    <row r="61" spans="1:27" s="149" customFormat="1" ht="13">
      <c r="A61" s="170" t="s">
        <v>840</v>
      </c>
      <c r="B61" s="171">
        <v>492</v>
      </c>
      <c r="C61" s="172">
        <v>9.4705961538461614E-2</v>
      </c>
      <c r="D61" s="172">
        <v>0.14046122994065985</v>
      </c>
      <c r="E61" s="172">
        <v>7.0509061095973824E-2</v>
      </c>
      <c r="F61" s="172">
        <v>0.22193021233481208</v>
      </c>
      <c r="G61" s="173">
        <v>0.42664852259748909</v>
      </c>
      <c r="H61" s="173">
        <v>0.70294824976129355</v>
      </c>
      <c r="I61" s="172">
        <v>8.5938345061369853E-2</v>
      </c>
      <c r="J61" s="172">
        <v>0.28515599074056369</v>
      </c>
      <c r="K61" s="172">
        <v>6.1199999999999997E-2</v>
      </c>
      <c r="L61" s="172">
        <v>0.49461605837835343</v>
      </c>
      <c r="M61" s="172">
        <v>6.6068141537022618E-2</v>
      </c>
      <c r="N61" s="173">
        <v>0.60835933929095909</v>
      </c>
      <c r="O61" s="173">
        <v>2.2428031241496234</v>
      </c>
      <c r="P61" s="173">
        <v>9.5212249808937699</v>
      </c>
      <c r="Q61" s="173">
        <v>15.894373349360979</v>
      </c>
      <c r="R61" s="173">
        <v>1.3092156724559636</v>
      </c>
      <c r="S61" s="173">
        <v>23.937128067272884</v>
      </c>
      <c r="T61" s="172">
        <v>4.8894777979807257E-2</v>
      </c>
      <c r="U61" s="172">
        <v>0.18962666985428472</v>
      </c>
      <c r="V61" s="172">
        <v>0.11282124652140116</v>
      </c>
      <c r="W61" s="172">
        <v>1.0749431149609059</v>
      </c>
      <c r="X61" s="172">
        <v>0.10420386209633929</v>
      </c>
      <c r="Y61" s="172">
        <v>0.59452604660019892</v>
      </c>
      <c r="Z61" s="172">
        <v>0.59452604660019892</v>
      </c>
      <c r="AA61" s="174">
        <v>0.1404434071462865</v>
      </c>
    </row>
    <row r="62" spans="1:27" s="149" customFormat="1" ht="13">
      <c r="A62" s="170" t="s">
        <v>841</v>
      </c>
      <c r="B62" s="171">
        <v>823</v>
      </c>
      <c r="C62" s="172">
        <v>0.23166027322404364</v>
      </c>
      <c r="D62" s="172">
        <v>0.12678782153632981</v>
      </c>
      <c r="E62" s="172">
        <v>0.10269894013168175</v>
      </c>
      <c r="F62" s="172">
        <v>0.27555218036402884</v>
      </c>
      <c r="G62" s="173">
        <v>1.1122272531127146</v>
      </c>
      <c r="H62" s="173">
        <v>1.1733808838398774</v>
      </c>
      <c r="I62" s="172">
        <v>0.112800048467257</v>
      </c>
      <c r="J62" s="172">
        <v>0.70789524038942631</v>
      </c>
      <c r="K62" s="172">
        <v>7.4499999999999997E-2</v>
      </c>
      <c r="L62" s="172">
        <v>0.15751587434249664</v>
      </c>
      <c r="M62" s="172">
        <v>0.10380763283414328</v>
      </c>
      <c r="N62" s="173">
        <v>0.85278951418531657</v>
      </c>
      <c r="O62" s="173">
        <v>2.3138332837840294</v>
      </c>
      <c r="P62" s="173">
        <v>8.1912443780464272</v>
      </c>
      <c r="Q62" s="173">
        <v>16.961329808372106</v>
      </c>
      <c r="R62" s="173">
        <v>1.6595540828753375</v>
      </c>
      <c r="S62" s="173">
        <v>43.668297531113026</v>
      </c>
      <c r="T62" s="172">
        <v>0.1045200496032405</v>
      </c>
      <c r="U62" s="172">
        <v>0.18342540915819863</v>
      </c>
      <c r="V62" s="172">
        <v>8.6916995603468578E-2</v>
      </c>
      <c r="W62" s="172">
        <v>1.1399813900044753</v>
      </c>
      <c r="X62" s="172">
        <v>3.3011304254075849E-2</v>
      </c>
      <c r="Y62" s="172">
        <v>1.5292432877623996</v>
      </c>
      <c r="Z62" s="172">
        <v>1.5292432877623996</v>
      </c>
      <c r="AA62" s="174">
        <v>0.12719775590183677</v>
      </c>
    </row>
    <row r="63" spans="1:27" s="149" customFormat="1" ht="13">
      <c r="A63" s="170" t="s">
        <v>842</v>
      </c>
      <c r="B63" s="171">
        <v>321</v>
      </c>
      <c r="C63" s="172">
        <v>1.2444810606060619E-2</v>
      </c>
      <c r="D63" s="172">
        <v>7.5547164726724875E-2</v>
      </c>
      <c r="E63" s="172">
        <v>0.10343449946067172</v>
      </c>
      <c r="F63" s="172">
        <v>0.18182837004215871</v>
      </c>
      <c r="G63" s="173">
        <v>0.84045319850089784</v>
      </c>
      <c r="H63" s="173">
        <v>0.83383463709598016</v>
      </c>
      <c r="I63" s="172">
        <v>9.3411957778180468E-2</v>
      </c>
      <c r="J63" s="172">
        <v>0.37553461134817656</v>
      </c>
      <c r="K63" s="172">
        <v>6.5699999999999995E-2</v>
      </c>
      <c r="L63" s="172">
        <v>0.17225527053311818</v>
      </c>
      <c r="M63" s="172">
        <v>8.5784236398788322E-2</v>
      </c>
      <c r="N63" s="173">
        <v>1.6459546584453943</v>
      </c>
      <c r="O63" s="173">
        <v>1.3284966418875108</v>
      </c>
      <c r="P63" s="173">
        <v>10.162094800454826</v>
      </c>
      <c r="Q63" s="173">
        <v>16.33410413148988</v>
      </c>
      <c r="R63" s="173">
        <v>1.6114673198853551</v>
      </c>
      <c r="S63" s="173">
        <v>40.614205191646981</v>
      </c>
      <c r="T63" s="172">
        <v>8.4151005518894581E-2</v>
      </c>
      <c r="U63" s="172">
        <v>3.6172415136937502E-2</v>
      </c>
      <c r="V63" s="172">
        <v>2.6847916843477787E-3</v>
      </c>
      <c r="W63" s="172">
        <v>6.2371265601094343E-2</v>
      </c>
      <c r="X63" s="172">
        <v>8.8102395886549056E-2</v>
      </c>
      <c r="Y63" s="172">
        <v>0.66450510081664615</v>
      </c>
      <c r="Z63" s="172">
        <v>0.66450510081664615</v>
      </c>
      <c r="AA63" s="174">
        <v>7.6601904609937585E-2</v>
      </c>
    </row>
    <row r="64" spans="1:27" s="149" customFormat="1" ht="13">
      <c r="A64" s="170" t="s">
        <v>201</v>
      </c>
      <c r="B64" s="171">
        <v>650</v>
      </c>
      <c r="C64" s="172">
        <v>8.5668185483870937E-2</v>
      </c>
      <c r="D64" s="172">
        <v>0.31117064377034764</v>
      </c>
      <c r="E64" s="172">
        <v>3.460415465330588E-2</v>
      </c>
      <c r="F64" s="172">
        <v>3.301692565825981E-2</v>
      </c>
      <c r="G64" s="173">
        <v>0.49452464538210045</v>
      </c>
      <c r="H64" s="173">
        <v>0.78734679848823808</v>
      </c>
      <c r="I64" s="172">
        <v>9.0757502193678397E-2</v>
      </c>
      <c r="J64" s="172">
        <v>0.25184912324488745</v>
      </c>
      <c r="K64" s="172">
        <v>6.1199999999999997E-2</v>
      </c>
      <c r="L64" s="172">
        <v>0.45710454740859624</v>
      </c>
      <c r="M64" s="172">
        <v>7.0191389399293827E-2</v>
      </c>
      <c r="N64" s="173">
        <v>0.12057399553090244</v>
      </c>
      <c r="O64" s="173">
        <v>10.963769622475731</v>
      </c>
      <c r="P64" s="173">
        <v>20.05881850007929</v>
      </c>
      <c r="Q64" s="173">
        <v>33.079933689832885</v>
      </c>
      <c r="R64" s="173">
        <v>1.45614324862315</v>
      </c>
      <c r="S64" s="173">
        <v>36.793980326828695</v>
      </c>
      <c r="T64" s="172">
        <v>1.069664429672774</v>
      </c>
      <c r="U64" s="172">
        <v>4.7348482113510851E-2</v>
      </c>
      <c r="V64" s="172">
        <v>-6.9858232116719987E-2</v>
      </c>
      <c r="W64" s="172">
        <v>-0.23265421518672788</v>
      </c>
      <c r="X64" s="172">
        <v>3.5187491628849231E-2</v>
      </c>
      <c r="Y64" s="172">
        <v>1.9985981394850141</v>
      </c>
      <c r="Z64" s="172">
        <v>1.9985981394850141</v>
      </c>
      <c r="AA64" s="174">
        <v>0.29343298938675028</v>
      </c>
    </row>
    <row r="65" spans="1:27" s="149" customFormat="1" ht="13">
      <c r="A65" s="170" t="s">
        <v>843</v>
      </c>
      <c r="B65" s="171">
        <v>879</v>
      </c>
      <c r="C65" s="172">
        <v>5.7720512091038359E-2</v>
      </c>
      <c r="D65" s="172">
        <v>5.5132881617830462E-2</v>
      </c>
      <c r="E65" s="172">
        <v>2.1146449116557203E-2</v>
      </c>
      <c r="F65" s="172">
        <v>0.29682126687447241</v>
      </c>
      <c r="G65" s="173">
        <v>0.4321952750030903</v>
      </c>
      <c r="H65" s="173">
        <v>0.93721382525010932</v>
      </c>
      <c r="I65" s="172">
        <v>9.9314909421781242E-2</v>
      </c>
      <c r="J65" s="172">
        <v>0.41235401305466174</v>
      </c>
      <c r="K65" s="172">
        <v>6.5699999999999995E-2</v>
      </c>
      <c r="L65" s="172">
        <v>0.67427207490044017</v>
      </c>
      <c r="M65" s="172">
        <v>6.5476936582420597E-2</v>
      </c>
      <c r="N65" s="173">
        <v>0.45314505601031874</v>
      </c>
      <c r="O65" s="173">
        <v>1.8901276128687499</v>
      </c>
      <c r="P65" s="173">
        <v>14.910613926783386</v>
      </c>
      <c r="Q65" s="173">
        <v>24.783043140230752</v>
      </c>
      <c r="R65" s="173">
        <v>0.49002187200416442</v>
      </c>
      <c r="S65" s="173">
        <v>53.279715780946972</v>
      </c>
      <c r="T65" s="172">
        <v>3.2456416329960609</v>
      </c>
      <c r="U65" s="172">
        <v>3.0774302205135811E-2</v>
      </c>
      <c r="V65" s="172">
        <v>2.0828016741098767E-2</v>
      </c>
      <c r="W65" s="172">
        <v>-3.6704462969517571</v>
      </c>
      <c r="X65" s="172">
        <v>-1.7116229122804562E-2</v>
      </c>
      <c r="Y65" s="172">
        <v>7.0901179081967166E-3</v>
      </c>
      <c r="Z65" s="172">
        <v>7.0901179081966914E-3</v>
      </c>
      <c r="AA65" s="174">
        <v>5.4881051216714501E-2</v>
      </c>
    </row>
    <row r="66" spans="1:27" s="149" customFormat="1" ht="13">
      <c r="A66" s="170" t="s">
        <v>844</v>
      </c>
      <c r="B66" s="171">
        <v>309</v>
      </c>
      <c r="C66" s="172">
        <v>7.1752674418604653E-2</v>
      </c>
      <c r="D66" s="172">
        <v>0.14863328964235034</v>
      </c>
      <c r="E66" s="172">
        <v>3.5428705146793783E-2</v>
      </c>
      <c r="F66" s="172">
        <v>0.27251577642034019</v>
      </c>
      <c r="G66" s="173">
        <v>0.52775166295353615</v>
      </c>
      <c r="H66" s="173">
        <v>0.94535241907080036</v>
      </c>
      <c r="I66" s="172">
        <v>9.9779623128942702E-2</v>
      </c>
      <c r="J66" s="172">
        <v>0.3176306571722835</v>
      </c>
      <c r="K66" s="172">
        <v>6.5699999999999995E-2</v>
      </c>
      <c r="L66" s="172">
        <v>0.55463628189212621</v>
      </c>
      <c r="M66" s="172">
        <v>7.168775961015815E-2</v>
      </c>
      <c r="N66" s="173">
        <v>0.26993760898108565</v>
      </c>
      <c r="O66" s="173">
        <v>3.4523419558692625</v>
      </c>
      <c r="P66" s="173">
        <v>13.785148217782979</v>
      </c>
      <c r="Q66" s="173">
        <v>20.446975972530712</v>
      </c>
      <c r="R66" s="173">
        <v>0.71636727266480504</v>
      </c>
      <c r="S66" s="173">
        <v>29.2542097458327</v>
      </c>
      <c r="T66" s="172">
        <v>1.2231403828503178</v>
      </c>
      <c r="U66" s="172">
        <v>8.6813820149535093E-2</v>
      </c>
      <c r="V66" s="172">
        <v>7.1181742296745995E-2</v>
      </c>
      <c r="W66" s="172">
        <v>1.1726856999630171</v>
      </c>
      <c r="X66" s="172">
        <v>2.8230967320701322E-2</v>
      </c>
      <c r="Y66" s="172">
        <v>0.89703000323658122</v>
      </c>
      <c r="Z66" s="172">
        <v>0.89703000323658122</v>
      </c>
      <c r="AA66" s="174">
        <v>0.15464921545883958</v>
      </c>
    </row>
    <row r="67" spans="1:27" s="149" customFormat="1" ht="13">
      <c r="A67" s="170" t="s">
        <v>845</v>
      </c>
      <c r="B67" s="171">
        <v>749</v>
      </c>
      <c r="C67" s="172">
        <v>7.4275909943714871E-2</v>
      </c>
      <c r="D67" s="172">
        <v>0.17510345882073594</v>
      </c>
      <c r="E67" s="172">
        <v>4.1447470400459013E-2</v>
      </c>
      <c r="F67" s="172">
        <v>0.21824282806506626</v>
      </c>
      <c r="G67" s="173">
        <v>0.56035498608486212</v>
      </c>
      <c r="H67" s="173">
        <v>0.88199839761239596</v>
      </c>
      <c r="I67" s="172">
        <v>9.6162108503667798E-2</v>
      </c>
      <c r="J67" s="172">
        <v>0.35968379636045256</v>
      </c>
      <c r="K67" s="172">
        <v>6.5699999999999995E-2</v>
      </c>
      <c r="L67" s="172">
        <v>0.47785424459110171</v>
      </c>
      <c r="M67" s="172">
        <v>7.3687835636073395E-2</v>
      </c>
      <c r="N67" s="173">
        <v>0.26402837363555315</v>
      </c>
      <c r="O67" s="173">
        <v>3.9947941196473966</v>
      </c>
      <c r="P67" s="173">
        <v>16.687504936509356</v>
      </c>
      <c r="Q67" s="173">
        <v>20.405802401998368</v>
      </c>
      <c r="R67" s="173">
        <v>0.8964444972275748</v>
      </c>
      <c r="S67" s="173">
        <v>94.647202670400375</v>
      </c>
      <c r="T67" s="172">
        <v>0.22078779853759253</v>
      </c>
      <c r="U67" s="172">
        <v>2.2938933571137618E-2</v>
      </c>
      <c r="V67" s="172">
        <v>3.0877327544336957E-2</v>
      </c>
      <c r="W67" s="172">
        <v>0.29482180308598988</v>
      </c>
      <c r="X67" s="172">
        <v>-4.2761271154102089E-4</v>
      </c>
      <c r="Y67" s="172">
        <v>9.063149645655473E-3</v>
      </c>
      <c r="Z67" s="172">
        <v>9.0631496456554661E-3</v>
      </c>
      <c r="AA67" s="174">
        <v>0.17939982235728005</v>
      </c>
    </row>
    <row r="68" spans="1:27" s="149" customFormat="1" ht="13">
      <c r="A68" s="170" t="s">
        <v>203</v>
      </c>
      <c r="B68" s="171">
        <v>320</v>
      </c>
      <c r="C68" s="172">
        <v>4.9946122448979606E-2</v>
      </c>
      <c r="D68" s="172">
        <v>0.10483252540858064</v>
      </c>
      <c r="E68" s="172">
        <v>9.8280124610970437E-2</v>
      </c>
      <c r="F68" s="172">
        <v>0.24470492031754193</v>
      </c>
      <c r="G68" s="173">
        <v>0.94844428863854446</v>
      </c>
      <c r="H68" s="173">
        <v>1.0667202545900192</v>
      </c>
      <c r="I68" s="172">
        <v>0.1067097265370901</v>
      </c>
      <c r="J68" s="172">
        <v>0.36603477278833879</v>
      </c>
      <c r="K68" s="172">
        <v>6.5699999999999995E-2</v>
      </c>
      <c r="L68" s="172">
        <v>0.24249789964099594</v>
      </c>
      <c r="M68" s="172">
        <v>9.2746875338976659E-2</v>
      </c>
      <c r="N68" s="173">
        <v>1.2590547993679317</v>
      </c>
      <c r="O68" s="173">
        <v>2.0170035035455416</v>
      </c>
      <c r="P68" s="173">
        <v>11.386961680012252</v>
      </c>
      <c r="Q68" s="173">
        <v>19.432345858948352</v>
      </c>
      <c r="R68" s="173">
        <v>2.522150411867047</v>
      </c>
      <c r="S68" s="173">
        <v>78.668747590687403</v>
      </c>
      <c r="T68" s="172">
        <v>0.15389722616578982</v>
      </c>
      <c r="U68" s="172">
        <v>6.2795157392880191E-2</v>
      </c>
      <c r="V68" s="172">
        <v>3.2033004304269121E-2</v>
      </c>
      <c r="W68" s="172">
        <v>0.28881001829043501</v>
      </c>
      <c r="X68" s="172">
        <v>7.8252627866178523E-2</v>
      </c>
      <c r="Y68" s="172">
        <v>0.58330950065908238</v>
      </c>
      <c r="Z68" s="172">
        <v>0.58330950065908238</v>
      </c>
      <c r="AA68" s="174">
        <v>9.92410245346695E-2</v>
      </c>
    </row>
    <row r="69" spans="1:27" s="149" customFormat="1" ht="13">
      <c r="A69" s="170" t="s">
        <v>846</v>
      </c>
      <c r="B69" s="171">
        <v>33</v>
      </c>
      <c r="C69" s="172">
        <v>6.0185000000000016E-2</v>
      </c>
      <c r="D69" s="172">
        <v>0.12739255796707408</v>
      </c>
      <c r="E69" s="172">
        <v>0.20241035747384928</v>
      </c>
      <c r="F69" s="172">
        <v>0.1319751636706322</v>
      </c>
      <c r="G69" s="173">
        <v>1.2009096051209383</v>
      </c>
      <c r="H69" s="173">
        <v>1.1953705432106245</v>
      </c>
      <c r="I69" s="172">
        <v>0.11405565801732667</v>
      </c>
      <c r="J69" s="172">
        <v>0.31407908075980628</v>
      </c>
      <c r="K69" s="172">
        <v>6.5699999999999995E-2</v>
      </c>
      <c r="L69" s="172">
        <v>0.20135742519601033</v>
      </c>
      <c r="M69" s="172">
        <v>0.10098248731421666</v>
      </c>
      <c r="N69" s="173">
        <v>1.8532614712467494</v>
      </c>
      <c r="O69" s="173">
        <v>0.91219971943003042</v>
      </c>
      <c r="P69" s="173">
        <v>9.8533512802116565</v>
      </c>
      <c r="Q69" s="173">
        <v>7.1615611975273081</v>
      </c>
      <c r="R69" s="173">
        <v>1.2423818744268456</v>
      </c>
      <c r="S69" s="173">
        <v>7.5332385128881656</v>
      </c>
      <c r="T69" s="172">
        <v>-0.64642353760694138</v>
      </c>
      <c r="U69" s="172">
        <v>1.082445077598424E-3</v>
      </c>
      <c r="V69" s="172">
        <v>5.4366874893824338E-3</v>
      </c>
      <c r="W69" s="172">
        <v>0.11098441622112191</v>
      </c>
      <c r="X69" s="172">
        <v>0.19957032463380039</v>
      </c>
      <c r="Y69" s="172">
        <v>0.25667593053994459</v>
      </c>
      <c r="Z69" s="172">
        <v>0.25667593053994464</v>
      </c>
      <c r="AA69" s="174">
        <v>0.12734499906420016</v>
      </c>
    </row>
    <row r="70" spans="1:27" s="149" customFormat="1" ht="13">
      <c r="A70" s="170" t="s">
        <v>847</v>
      </c>
      <c r="B70" s="171">
        <v>401</v>
      </c>
      <c r="C70" s="172">
        <v>3.456134482758625E-2</v>
      </c>
      <c r="D70" s="172">
        <v>0.10403299523950783</v>
      </c>
      <c r="E70" s="172">
        <v>0.14980478064662475</v>
      </c>
      <c r="F70" s="172">
        <v>0.18963428472134311</v>
      </c>
      <c r="G70" s="173">
        <v>0.81355169557902918</v>
      </c>
      <c r="H70" s="173">
        <v>0.92449263698932371</v>
      </c>
      <c r="I70" s="172">
        <v>9.8588529572090383E-2</v>
      </c>
      <c r="J70" s="172">
        <v>0.33700973355544106</v>
      </c>
      <c r="K70" s="172">
        <v>6.5699999999999995E-2</v>
      </c>
      <c r="L70" s="172">
        <v>0.19118420561826641</v>
      </c>
      <c r="M70" s="172">
        <v>8.9132927829537328E-2</v>
      </c>
      <c r="N70" s="173">
        <v>1.9164377799332746</v>
      </c>
      <c r="O70" s="173">
        <v>2.7726225397663167</v>
      </c>
      <c r="P70" s="173">
        <v>17.094692016883652</v>
      </c>
      <c r="Q70" s="173">
        <v>27.637934106200042</v>
      </c>
      <c r="R70" s="173">
        <v>10.085725547891842</v>
      </c>
      <c r="S70" s="173">
        <v>125.5940324072094</v>
      </c>
      <c r="T70" s="172">
        <v>-2.5221375907373885E-2</v>
      </c>
      <c r="U70" s="172">
        <v>4.5575517119556833E-2</v>
      </c>
      <c r="V70" s="172">
        <v>2.2728735488689106E-2</v>
      </c>
      <c r="W70" s="172">
        <v>0.28750586664140193</v>
      </c>
      <c r="X70" s="172">
        <v>0.29022412597357078</v>
      </c>
      <c r="Y70" s="172">
        <v>0.60283492145650619</v>
      </c>
      <c r="Z70" s="172">
        <v>0.60283492145650619</v>
      </c>
      <c r="AA70" s="174">
        <v>9.7066977634999649E-2</v>
      </c>
    </row>
    <row r="71" spans="1:27" s="149" customFormat="1" ht="13">
      <c r="A71" s="170" t="s">
        <v>848</v>
      </c>
      <c r="B71" s="171">
        <v>208</v>
      </c>
      <c r="C71" s="172">
        <v>6.6080785714285731E-2</v>
      </c>
      <c r="D71" s="172">
        <v>5.0124355530654113E-2</v>
      </c>
      <c r="E71" s="172">
        <v>0.10287586469596494</v>
      </c>
      <c r="F71" s="172">
        <v>0.23589453873014418</v>
      </c>
      <c r="G71" s="173">
        <v>0.67418209243912264</v>
      </c>
      <c r="H71" s="173">
        <v>0.93029217279112275</v>
      </c>
      <c r="I71" s="172">
        <v>9.891968306637311E-2</v>
      </c>
      <c r="J71" s="172">
        <v>0.36538442781021802</v>
      </c>
      <c r="K71" s="172">
        <v>6.5699999999999995E-2</v>
      </c>
      <c r="L71" s="172">
        <v>0.37178446028949669</v>
      </c>
      <c r="M71" s="172">
        <v>8.0408823640408217E-2</v>
      </c>
      <c r="N71" s="173">
        <v>2.6155464304479135</v>
      </c>
      <c r="O71" s="173">
        <v>0.83600071403612819</v>
      </c>
      <c r="P71" s="173">
        <v>11.861639541973805</v>
      </c>
      <c r="Q71" s="173">
        <v>17.186046585303917</v>
      </c>
      <c r="R71" s="173">
        <v>3.127673636774118</v>
      </c>
      <c r="S71" s="173">
        <v>81.116070753575556</v>
      </c>
      <c r="T71" s="172">
        <v>0.11613663993077378</v>
      </c>
      <c r="U71" s="172">
        <v>2.1324501407629315E-2</v>
      </c>
      <c r="V71" s="172">
        <v>1.6567194986285064E-2</v>
      </c>
      <c r="W71" s="172">
        <v>0.64413267887478365</v>
      </c>
      <c r="X71" s="172">
        <v>0.1840579660107366</v>
      </c>
      <c r="Y71" s="172">
        <v>0.29476809409948779</v>
      </c>
      <c r="Z71" s="172">
        <v>0.29476809409948779</v>
      </c>
      <c r="AA71" s="174">
        <v>4.8158289423475019E-2</v>
      </c>
    </row>
    <row r="72" spans="1:27" s="149" customFormat="1" ht="13">
      <c r="A72" s="170" t="s">
        <v>849</v>
      </c>
      <c r="B72" s="171">
        <v>117</v>
      </c>
      <c r="C72" s="172">
        <v>4.441772151898734E-2</v>
      </c>
      <c r="D72" s="172">
        <v>0.10656115161321383</v>
      </c>
      <c r="E72" s="172">
        <v>0.24613763986733569</v>
      </c>
      <c r="F72" s="172">
        <v>0.24309177240267593</v>
      </c>
      <c r="G72" s="173">
        <v>0.85050191786947549</v>
      </c>
      <c r="H72" s="173">
        <v>0.97659450522183011</v>
      </c>
      <c r="I72" s="172">
        <v>0.10156354624816649</v>
      </c>
      <c r="J72" s="172">
        <v>0.34112481595208105</v>
      </c>
      <c r="K72" s="172">
        <v>6.5699999999999995E-2</v>
      </c>
      <c r="L72" s="172">
        <v>0.18478286981752373</v>
      </c>
      <c r="M72" s="172">
        <v>9.1874810097840542E-2</v>
      </c>
      <c r="N72" s="173">
        <v>2.8469120837423003</v>
      </c>
      <c r="O72" s="173">
        <v>2.1078259077129489</v>
      </c>
      <c r="P72" s="173">
        <v>14.809875799753357</v>
      </c>
      <c r="Q72" s="173">
        <v>19.779644376508973</v>
      </c>
      <c r="R72" s="173">
        <v>19.117681762335629</v>
      </c>
      <c r="S72" s="173">
        <v>49.093350357290348</v>
      </c>
      <c r="T72" s="172">
        <v>8.7084998587314916E-2</v>
      </c>
      <c r="U72" s="172">
        <v>2.5876991486291891E-2</v>
      </c>
      <c r="V72" s="172">
        <v>5.4774447071132479E-2</v>
      </c>
      <c r="W72" s="172">
        <v>0.62906203570820995</v>
      </c>
      <c r="X72" s="172">
        <v>0.99210018799846311</v>
      </c>
      <c r="Y72" s="172">
        <v>0.53334082648136472</v>
      </c>
      <c r="Z72" s="172">
        <v>0.53334082648136472</v>
      </c>
      <c r="AA72" s="174">
        <v>0.10516457985864275</v>
      </c>
    </row>
    <row r="73" spans="1:27" s="149" customFormat="1" ht="13">
      <c r="A73" s="170" t="s">
        <v>850</v>
      </c>
      <c r="B73" s="171">
        <v>1038</v>
      </c>
      <c r="C73" s="172">
        <v>9.7916069587628912E-2</v>
      </c>
      <c r="D73" s="172">
        <v>4.9282951494690391E-2</v>
      </c>
      <c r="E73" s="172">
        <v>7.9933995956323903E-2</v>
      </c>
      <c r="F73" s="172">
        <v>0.23116288389908993</v>
      </c>
      <c r="G73" s="173">
        <v>0.62141268044122167</v>
      </c>
      <c r="H73" s="173">
        <v>0.82010753451595642</v>
      </c>
      <c r="I73" s="172">
        <v>9.2628140220861105E-2</v>
      </c>
      <c r="J73" s="172">
        <v>0.36761243934617288</v>
      </c>
      <c r="K73" s="172">
        <v>6.5699999999999995E-2</v>
      </c>
      <c r="L73" s="172">
        <v>0.36711373020195781</v>
      </c>
      <c r="M73" s="172">
        <v>7.665954457984886E-2</v>
      </c>
      <c r="N73" s="173">
        <v>1.9436737117015559</v>
      </c>
      <c r="O73" s="173">
        <v>0.83483563531889537</v>
      </c>
      <c r="P73" s="173">
        <v>12.084949912771686</v>
      </c>
      <c r="Q73" s="173">
        <v>16.185383594810467</v>
      </c>
      <c r="R73" s="173">
        <v>1.5839785215995876</v>
      </c>
      <c r="S73" s="173">
        <v>81.827891794319783</v>
      </c>
      <c r="T73" s="172">
        <v>0.16544401430445746</v>
      </c>
      <c r="U73" s="172">
        <v>3.1005551301192757E-2</v>
      </c>
      <c r="V73" s="172">
        <v>2.7911408779862108E-2</v>
      </c>
      <c r="W73" s="172">
        <v>0.8570172906842205</v>
      </c>
      <c r="X73" s="172">
        <v>0.12488227375888986</v>
      </c>
      <c r="Y73" s="172">
        <v>0.41209669802401261</v>
      </c>
      <c r="Z73" s="172">
        <v>0.41209669802401261</v>
      </c>
      <c r="AA73" s="174">
        <v>4.9734500984664393E-2</v>
      </c>
    </row>
    <row r="74" spans="1:27" s="149" customFormat="1" ht="13">
      <c r="A74" s="170" t="s">
        <v>851</v>
      </c>
      <c r="B74" s="171">
        <v>253</v>
      </c>
      <c r="C74" s="172">
        <v>1.9390829015544033E-2</v>
      </c>
      <c r="D74" s="172">
        <v>5.924229691082409E-2</v>
      </c>
      <c r="E74" s="172">
        <v>0.10133972617718918</v>
      </c>
      <c r="F74" s="172">
        <v>0.19124132658939955</v>
      </c>
      <c r="G74" s="173">
        <v>1.0445584246223811</v>
      </c>
      <c r="H74" s="173">
        <v>1.104769773812101</v>
      </c>
      <c r="I74" s="172">
        <v>0.10888235408467095</v>
      </c>
      <c r="J74" s="172">
        <v>0.34376130249213976</v>
      </c>
      <c r="K74" s="172">
        <v>6.5699999999999995E-2</v>
      </c>
      <c r="L74" s="172">
        <v>0.12769375354781737</v>
      </c>
      <c r="M74" s="172">
        <v>0.1012524104474077</v>
      </c>
      <c r="N74" s="173">
        <v>2.7232353399824696</v>
      </c>
      <c r="O74" s="173">
        <v>1.8330148893854228</v>
      </c>
      <c r="P74" s="173">
        <v>17.201151727924977</v>
      </c>
      <c r="Q74" s="173">
        <v>31.51981023275394</v>
      </c>
      <c r="R74" s="173">
        <v>5.6014530975621852</v>
      </c>
      <c r="S74" s="173">
        <v>89.066455052842088</v>
      </c>
      <c r="T74" s="172">
        <v>1.5021771148685649E-2</v>
      </c>
      <c r="U74" s="172">
        <v>5.1100683321146527E-2</v>
      </c>
      <c r="V74" s="172">
        <v>1.7283198813406359E-2</v>
      </c>
      <c r="W74" s="172">
        <v>0.40321578384544315</v>
      </c>
      <c r="X74" s="172">
        <v>0.18093021807206139</v>
      </c>
      <c r="Y74" s="172">
        <v>0.18701386879490281</v>
      </c>
      <c r="Z74" s="172">
        <v>0.18701386879490278</v>
      </c>
      <c r="AA74" s="174">
        <v>5.7967130977625049E-2</v>
      </c>
    </row>
    <row r="75" spans="1:27" s="149" customFormat="1" ht="13">
      <c r="A75" s="170" t="s">
        <v>852</v>
      </c>
      <c r="B75" s="171">
        <v>204</v>
      </c>
      <c r="C75" s="172">
        <v>6.0045660377358499E-2</v>
      </c>
      <c r="D75" s="172">
        <v>4.0244062899986256E-2</v>
      </c>
      <c r="E75" s="172">
        <v>0.10782224576056171</v>
      </c>
      <c r="F75" s="172">
        <v>0.24884311993825056</v>
      </c>
      <c r="G75" s="173">
        <v>0.61968589002028795</v>
      </c>
      <c r="H75" s="173">
        <v>0.77482887462253958</v>
      </c>
      <c r="I75" s="172">
        <v>9.0042728740947015E-2</v>
      </c>
      <c r="J75" s="172">
        <v>0.30763798715832558</v>
      </c>
      <c r="K75" s="172">
        <v>6.5699999999999995E-2</v>
      </c>
      <c r="L75" s="172">
        <v>0.32194327930613215</v>
      </c>
      <c r="M75" s="172">
        <v>7.6871298778632774E-2</v>
      </c>
      <c r="N75" s="173">
        <v>3.5709022365605043</v>
      </c>
      <c r="O75" s="173">
        <v>0.6444372587185917</v>
      </c>
      <c r="P75" s="173">
        <v>9.6365176711622862</v>
      </c>
      <c r="Q75" s="173">
        <v>15.943768531608725</v>
      </c>
      <c r="R75" s="173">
        <v>2.4958635803321796</v>
      </c>
      <c r="S75" s="173">
        <v>35.530277222717778</v>
      </c>
      <c r="T75" s="172">
        <v>-2.5013504837998732E-2</v>
      </c>
      <c r="U75" s="172">
        <v>2.8575691029278094E-2</v>
      </c>
      <c r="V75" s="172">
        <v>1.092709861017801E-2</v>
      </c>
      <c r="W75" s="172">
        <v>0.36041561390054655</v>
      </c>
      <c r="X75" s="172">
        <v>0.11040581375412881</v>
      </c>
      <c r="Y75" s="172">
        <v>0.59551796716665706</v>
      </c>
      <c r="Z75" s="172">
        <v>0.59551796716665706</v>
      </c>
      <c r="AA75" s="174">
        <v>3.8456200299107943E-2</v>
      </c>
    </row>
    <row r="76" spans="1:27" s="149" customFormat="1" ht="13">
      <c r="A76" s="170" t="s">
        <v>853</v>
      </c>
      <c r="B76" s="171">
        <v>121</v>
      </c>
      <c r="C76" s="172">
        <v>8.2847623762376268E-2</v>
      </c>
      <c r="D76" s="172">
        <v>0.50010652822492285</v>
      </c>
      <c r="E76" s="172">
        <v>4.8001617939278346E-2</v>
      </c>
      <c r="F76" s="172">
        <v>4.4865486286191449E-2</v>
      </c>
      <c r="G76" s="173">
        <v>0.63989642864075202</v>
      </c>
      <c r="H76" s="173">
        <v>0.97488817621458701</v>
      </c>
      <c r="I76" s="172">
        <v>0.10146611486185292</v>
      </c>
      <c r="J76" s="172">
        <v>0.20234299271343784</v>
      </c>
      <c r="K76" s="172">
        <v>6.1199999999999997E-2</v>
      </c>
      <c r="L76" s="172">
        <v>0.4330431695955872</v>
      </c>
      <c r="M76" s="172">
        <v>7.7345283427609324E-2</v>
      </c>
      <c r="N76" s="173">
        <v>0.10213707891072211</v>
      </c>
      <c r="O76" s="173">
        <v>11.511604716091854</v>
      </c>
      <c r="P76" s="173">
        <v>17.299202462732264</v>
      </c>
      <c r="Q76" s="173">
        <v>21.392580282716718</v>
      </c>
      <c r="R76" s="173">
        <v>1.184426488337337</v>
      </c>
      <c r="S76" s="173">
        <v>81.256257370327631</v>
      </c>
      <c r="T76" s="172">
        <v>-1.3814521510392669E-2</v>
      </c>
      <c r="U76" s="172">
        <v>3.0070090098843989E-2</v>
      </c>
      <c r="V76" s="172">
        <v>-5.0879732370639634E-2</v>
      </c>
      <c r="W76" s="172">
        <v>-9.1637571523962305E-2</v>
      </c>
      <c r="X76" s="172">
        <v>4.0437349761788942E-2</v>
      </c>
      <c r="Y76" s="172">
        <v>1.5620772911611089</v>
      </c>
      <c r="Z76" s="172">
        <v>1.5620772911611089</v>
      </c>
      <c r="AA76" s="174">
        <v>0.4920281072585968</v>
      </c>
    </row>
    <row r="77" spans="1:27" s="149" customFormat="1" ht="13">
      <c r="A77" s="170" t="s">
        <v>245</v>
      </c>
      <c r="B77" s="171">
        <v>633</v>
      </c>
      <c r="C77" s="172">
        <v>5.5416627634660473E-2</v>
      </c>
      <c r="D77" s="172">
        <v>5.8908058390977812E-2</v>
      </c>
      <c r="E77" s="172">
        <v>0.14703998850664671</v>
      </c>
      <c r="F77" s="172">
        <v>0.2471304524677494</v>
      </c>
      <c r="G77" s="173">
        <v>0.96190874436658125</v>
      </c>
      <c r="H77" s="173">
        <v>1.0598913069344804</v>
      </c>
      <c r="I77" s="172">
        <v>0.10631979362595884</v>
      </c>
      <c r="J77" s="172">
        <v>0.39814274696670382</v>
      </c>
      <c r="K77" s="172">
        <v>6.5699999999999995E-2</v>
      </c>
      <c r="L77" s="172">
        <v>0.19321961771110194</v>
      </c>
      <c r="M77" s="172">
        <v>9.5269692445598395E-2</v>
      </c>
      <c r="N77" s="173">
        <v>2.9583766512181544</v>
      </c>
      <c r="O77" s="173">
        <v>1.1949729777178331</v>
      </c>
      <c r="P77" s="173">
        <v>11.889756633073452</v>
      </c>
      <c r="Q77" s="173">
        <v>19.433913304527746</v>
      </c>
      <c r="R77" s="173">
        <v>3.9178839227449673</v>
      </c>
      <c r="S77" s="173">
        <v>39.739255325161146</v>
      </c>
      <c r="T77" s="172">
        <v>6.6936704260866856E-2</v>
      </c>
      <c r="U77" s="172">
        <v>2.2031853834014913E-2</v>
      </c>
      <c r="V77" s="172">
        <v>1.241304877115251E-3</v>
      </c>
      <c r="W77" s="172">
        <v>6.8732176603163872E-2</v>
      </c>
      <c r="X77" s="172">
        <v>0.10914157998940444</v>
      </c>
      <c r="Y77" s="172">
        <v>0.58352060990371024</v>
      </c>
      <c r="Z77" s="172">
        <v>0.58352060990371024</v>
      </c>
      <c r="AA77" s="174">
        <v>6.0264717461323787E-2</v>
      </c>
    </row>
    <row r="78" spans="1:27" s="149" customFormat="1" ht="13">
      <c r="A78" s="170" t="s">
        <v>854</v>
      </c>
      <c r="B78" s="171">
        <v>92</v>
      </c>
      <c r="C78" s="172">
        <v>6.1804556962025317E-2</v>
      </c>
      <c r="D78" s="172">
        <v>0.10419461897104169</v>
      </c>
      <c r="E78" s="172">
        <v>0.10030589911486042</v>
      </c>
      <c r="F78" s="172">
        <v>0.2380629281392605</v>
      </c>
      <c r="G78" s="173">
        <v>0.76226422182885356</v>
      </c>
      <c r="H78" s="173">
        <v>0.91304203686782293</v>
      </c>
      <c r="I78" s="172">
        <v>9.7934700305152694E-2</v>
      </c>
      <c r="J78" s="172">
        <v>0.30447246680306844</v>
      </c>
      <c r="K78" s="172">
        <v>6.5699999999999995E-2</v>
      </c>
      <c r="L78" s="172">
        <v>0.31344269736678787</v>
      </c>
      <c r="M78" s="172">
        <v>8.2637367580968721E-2</v>
      </c>
      <c r="N78" s="173">
        <v>1.2921480931644265</v>
      </c>
      <c r="O78" s="173">
        <v>0.93745267803648502</v>
      </c>
      <c r="P78" s="173">
        <v>5.7260024611367921</v>
      </c>
      <c r="Q78" s="173">
        <v>8.9385181040095372</v>
      </c>
      <c r="R78" s="173">
        <v>1.0723311730859577</v>
      </c>
      <c r="S78" s="173">
        <v>22.008550905548397</v>
      </c>
      <c r="T78" s="172">
        <v>0.23299294885264391</v>
      </c>
      <c r="U78" s="172">
        <v>6.8906320253801057E-2</v>
      </c>
      <c r="V78" s="172">
        <v>3.3505933306492264E-2</v>
      </c>
      <c r="W78" s="172">
        <v>0.52958429696809051</v>
      </c>
      <c r="X78" s="172">
        <v>0.10107081994905652</v>
      </c>
      <c r="Y78" s="172">
        <v>0.39476594988021463</v>
      </c>
      <c r="Z78" s="172">
        <v>0.39476594988021463</v>
      </c>
      <c r="AA78" s="174">
        <v>0.10357233543979387</v>
      </c>
    </row>
    <row r="79" spans="1:27" s="149" customFormat="1" ht="13">
      <c r="A79" s="170" t="s">
        <v>208</v>
      </c>
      <c r="B79" s="171">
        <v>665</v>
      </c>
      <c r="C79" s="172">
        <v>7.7384328358208868E-2</v>
      </c>
      <c r="D79" s="172">
        <v>0.21342892802586189</v>
      </c>
      <c r="E79" s="172">
        <v>0.15913647234971032</v>
      </c>
      <c r="F79" s="172">
        <v>0.14728494801798722</v>
      </c>
      <c r="G79" s="173">
        <v>1.6614076139987826</v>
      </c>
      <c r="H79" s="173">
        <v>1.6782559728868123</v>
      </c>
      <c r="I79" s="172">
        <v>0.14162841605183699</v>
      </c>
      <c r="J79" s="172">
        <v>0.42273542251589769</v>
      </c>
      <c r="K79" s="172">
        <v>6.5699999999999995E-2</v>
      </c>
      <c r="L79" s="172">
        <v>5.5576897022523435E-2</v>
      </c>
      <c r="M79" s="172">
        <v>0.13648766667355014</v>
      </c>
      <c r="N79" s="173">
        <v>1.0926794351128142</v>
      </c>
      <c r="O79" s="173">
        <v>8.7089915822144945</v>
      </c>
      <c r="P79" s="173">
        <v>24.786698207920391</v>
      </c>
      <c r="Q79" s="173">
        <v>39.721628897799278</v>
      </c>
      <c r="R79" s="173">
        <v>7.0911935285722025</v>
      </c>
      <c r="S79" s="173">
        <v>137.20492507459227</v>
      </c>
      <c r="T79" s="172">
        <v>0.15613189700892702</v>
      </c>
      <c r="U79" s="172">
        <v>0.16674497372170724</v>
      </c>
      <c r="V79" s="172">
        <v>0.11719594265964474</v>
      </c>
      <c r="W79" s="172">
        <v>0.78223456380558964</v>
      </c>
      <c r="X79" s="172">
        <v>0.15372078320054205</v>
      </c>
      <c r="Y79" s="172">
        <v>0.38497471073014505</v>
      </c>
      <c r="Z79" s="172">
        <v>0.38497471073014511</v>
      </c>
      <c r="AA79" s="174">
        <v>0.22304998196596562</v>
      </c>
    </row>
    <row r="80" spans="1:27" s="149" customFormat="1" ht="13">
      <c r="A80" s="170" t="s">
        <v>855</v>
      </c>
      <c r="B80" s="171">
        <v>375</v>
      </c>
      <c r="C80" s="172">
        <v>9.6438413284132843E-2</v>
      </c>
      <c r="D80" s="172">
        <v>0.18648608557226617</v>
      </c>
      <c r="E80" s="172">
        <v>0.1681612582174975</v>
      </c>
      <c r="F80" s="172">
        <v>0.1632729299459991</v>
      </c>
      <c r="G80" s="173">
        <v>2.0245749437343714</v>
      </c>
      <c r="H80" s="173">
        <v>2.0188341849907365</v>
      </c>
      <c r="I80" s="172">
        <v>0.16107543196297106</v>
      </c>
      <c r="J80" s="172">
        <v>0.43850961352034451</v>
      </c>
      <c r="K80" s="172">
        <v>6.5699999999999995E-2</v>
      </c>
      <c r="L80" s="172">
        <v>7.0085606463761344E-2</v>
      </c>
      <c r="M80" s="172">
        <v>0.15322970071237746</v>
      </c>
      <c r="N80" s="173">
        <v>1.3347110524026369</v>
      </c>
      <c r="O80" s="173">
        <v>4.7889557663574491</v>
      </c>
      <c r="P80" s="173">
        <v>19.055050981102493</v>
      </c>
      <c r="Q80" s="173">
        <v>25.045126734212634</v>
      </c>
      <c r="R80" s="173">
        <v>4.9647832704837764</v>
      </c>
      <c r="S80" s="173">
        <v>62.228205423909507</v>
      </c>
      <c r="T80" s="172">
        <v>0.34927968291322331</v>
      </c>
      <c r="U80" s="172">
        <v>0.1013150204340442</v>
      </c>
      <c r="V80" s="172">
        <v>7.1452487106247367E-2</v>
      </c>
      <c r="W80" s="172">
        <v>0.79251235764408978</v>
      </c>
      <c r="X80" s="172">
        <v>0.18395242715947255</v>
      </c>
      <c r="Y80" s="172">
        <v>0.36926554052614108</v>
      </c>
      <c r="Z80" s="172">
        <v>0.36926554052614113</v>
      </c>
      <c r="AA80" s="174">
        <v>0.19464169814910937</v>
      </c>
    </row>
    <row r="81" spans="1:27" s="149" customFormat="1" ht="13">
      <c r="A81" s="170" t="s">
        <v>856</v>
      </c>
      <c r="B81" s="171">
        <v>357</v>
      </c>
      <c r="C81" s="172">
        <v>9.8905818815330976E-2</v>
      </c>
      <c r="D81" s="172">
        <v>0.14562877569821919</v>
      </c>
      <c r="E81" s="172">
        <v>9.5289979675843101E-2</v>
      </c>
      <c r="F81" s="172">
        <v>0.13868025690251345</v>
      </c>
      <c r="G81" s="173">
        <v>0.75068062383430134</v>
      </c>
      <c r="H81" s="173">
        <v>0.83667308158794051</v>
      </c>
      <c r="I81" s="172">
        <v>9.3574032958671394E-2</v>
      </c>
      <c r="J81" s="172">
        <v>0.34385890924876383</v>
      </c>
      <c r="K81" s="172">
        <v>6.5699999999999995E-2</v>
      </c>
      <c r="L81" s="172">
        <v>0.3036986179520979</v>
      </c>
      <c r="M81" s="172">
        <v>8.0076581274269656E-2</v>
      </c>
      <c r="N81" s="173">
        <v>0.74604159884309651</v>
      </c>
      <c r="O81" s="173">
        <v>1.5631628979033525</v>
      </c>
      <c r="P81" s="173">
        <v>7.2263441411124827</v>
      </c>
      <c r="Q81" s="173">
        <v>10.406519873864868</v>
      </c>
      <c r="R81" s="173">
        <v>0.95097445390762725</v>
      </c>
      <c r="S81" s="173">
        <v>26.434953181062451</v>
      </c>
      <c r="T81" s="172">
        <v>-2.0946630263142677E-3</v>
      </c>
      <c r="U81" s="172">
        <v>0.10973486448820233</v>
      </c>
      <c r="V81" s="172">
        <v>4.7978107820970201E-2</v>
      </c>
      <c r="W81" s="172">
        <v>0.51278626408436367</v>
      </c>
      <c r="X81" s="172">
        <v>0.12192809569866123</v>
      </c>
      <c r="Y81" s="172">
        <v>0.45056013361274094</v>
      </c>
      <c r="Z81" s="172">
        <v>0.45056013361274094</v>
      </c>
      <c r="AA81" s="174">
        <v>0.14801483692823528</v>
      </c>
    </row>
    <row r="82" spans="1:27" s="149" customFormat="1" ht="13">
      <c r="A82" s="170" t="s">
        <v>309</v>
      </c>
      <c r="B82" s="171">
        <v>82</v>
      </c>
      <c r="C82" s="172">
        <v>-1.1848593750000001E-2</v>
      </c>
      <c r="D82" s="172">
        <v>0.11104326222840347</v>
      </c>
      <c r="E82" s="172">
        <v>0.18674644470491369</v>
      </c>
      <c r="F82" s="172">
        <v>0.19010081966149922</v>
      </c>
      <c r="G82" s="173">
        <v>0.75181161013509046</v>
      </c>
      <c r="H82" s="173">
        <v>0.76620979096485398</v>
      </c>
      <c r="I82" s="172">
        <v>8.9550579064093166E-2</v>
      </c>
      <c r="J82" s="172">
        <v>0.36837870667795686</v>
      </c>
      <c r="K82" s="172">
        <v>6.5699999999999995E-2</v>
      </c>
      <c r="L82" s="172">
        <v>0.10497374311291298</v>
      </c>
      <c r="M82" s="172">
        <v>8.5307527868865682E-2</v>
      </c>
      <c r="N82" s="173">
        <v>2.063054907104521</v>
      </c>
      <c r="O82" s="173">
        <v>2.1191307148237168</v>
      </c>
      <c r="P82" s="173">
        <v>14.609529294235351</v>
      </c>
      <c r="Q82" s="173">
        <v>18.74181784305706</v>
      </c>
      <c r="R82" s="173">
        <v>4.404379392393313</v>
      </c>
      <c r="S82" s="173">
        <v>49.046082367731479</v>
      </c>
      <c r="T82" s="172">
        <v>0.19368218656241376</v>
      </c>
      <c r="U82" s="172">
        <v>1.4023266602783727E-2</v>
      </c>
      <c r="V82" s="172">
        <v>-7.4046856870474435E-3</v>
      </c>
      <c r="W82" s="172">
        <v>-5.0069596639942905E-2</v>
      </c>
      <c r="X82" s="172">
        <v>0.2080101698352004</v>
      </c>
      <c r="Y82" s="172">
        <v>0.3675676344734462</v>
      </c>
      <c r="Z82" s="172">
        <v>0.3675676344734462</v>
      </c>
      <c r="AA82" s="174">
        <v>0.11197229343951604</v>
      </c>
    </row>
    <row r="83" spans="1:27" s="149" customFormat="1" ht="13">
      <c r="A83" s="170" t="s">
        <v>857</v>
      </c>
      <c r="B83" s="171">
        <v>311</v>
      </c>
      <c r="C83" s="172">
        <v>0.12961611702127657</v>
      </c>
      <c r="D83" s="172">
        <v>0.3005706765379933</v>
      </c>
      <c r="E83" s="172">
        <v>0.21551369284962238</v>
      </c>
      <c r="F83" s="172">
        <v>0.16014482156025028</v>
      </c>
      <c r="G83" s="173">
        <v>1.2571994981034138</v>
      </c>
      <c r="H83" s="173">
        <v>1.2601011119394356</v>
      </c>
      <c r="I83" s="172">
        <v>0.11775177349174176</v>
      </c>
      <c r="J83" s="172">
        <v>0.52915911664466964</v>
      </c>
      <c r="K83" s="172">
        <v>6.8199999999999997E-2</v>
      </c>
      <c r="L83" s="172">
        <v>3.7008983305729826E-2</v>
      </c>
      <c r="M83" s="172">
        <v>0.11528135674059869</v>
      </c>
      <c r="N83" s="173">
        <v>1.2108199820984327</v>
      </c>
      <c r="O83" s="173">
        <v>6.6259983044355533</v>
      </c>
      <c r="P83" s="173">
        <v>17.79794122383781</v>
      </c>
      <c r="Q83" s="173">
        <v>21.789297096862128</v>
      </c>
      <c r="R83" s="173">
        <v>6.2033634949669505</v>
      </c>
      <c r="S83" s="173">
        <v>81.084141905873608</v>
      </c>
      <c r="T83" s="172">
        <v>1.6436534451378371E-2</v>
      </c>
      <c r="U83" s="172">
        <v>0.12785219724176686</v>
      </c>
      <c r="V83" s="172">
        <v>9.4886756453533436E-2</v>
      </c>
      <c r="W83" s="172">
        <v>0.42153839341779437</v>
      </c>
      <c r="X83" s="172">
        <v>0.28098010540455348</v>
      </c>
      <c r="Y83" s="172">
        <v>8.3681804380602395E-2</v>
      </c>
      <c r="Z83" s="172">
        <v>8.3681804380602354E-2</v>
      </c>
      <c r="AA83" s="174">
        <v>0.31058338187815349</v>
      </c>
    </row>
    <row r="84" spans="1:27" s="149" customFormat="1" ht="13">
      <c r="A84" s="170" t="s">
        <v>858</v>
      </c>
      <c r="B84" s="171">
        <v>147</v>
      </c>
      <c r="C84" s="172">
        <v>0.13876399999999994</v>
      </c>
      <c r="D84" s="172">
        <v>4.8592885534827684E-2</v>
      </c>
      <c r="E84" s="172">
        <v>0.13534242363047064</v>
      </c>
      <c r="F84" s="172">
        <v>0.1360800774419946</v>
      </c>
      <c r="G84" s="173">
        <v>1.3183294821552847</v>
      </c>
      <c r="H84" s="173">
        <v>1.370302206754265</v>
      </c>
      <c r="I84" s="172">
        <v>0.12404425600566851</v>
      </c>
      <c r="J84" s="172">
        <v>0.49045487085788775</v>
      </c>
      <c r="K84" s="172">
        <v>6.8199999999999997E-2</v>
      </c>
      <c r="L84" s="172">
        <v>9.5502126247720726E-2</v>
      </c>
      <c r="M84" s="172">
        <v>0.11706837042685928</v>
      </c>
      <c r="N84" s="173">
        <v>1.4171358211200535</v>
      </c>
      <c r="O84" s="173">
        <v>6.0066069047199138</v>
      </c>
      <c r="P84" s="173">
        <v>36.671837030076084</v>
      </c>
      <c r="Q84" s="173">
        <v>95.595691678893957</v>
      </c>
      <c r="R84" s="173">
        <v>8.0961272345955066</v>
      </c>
      <c r="S84" s="173">
        <v>54.19840720169244</v>
      </c>
      <c r="T84" s="172">
        <v>5.9655597420043373E-2</v>
      </c>
      <c r="U84" s="172">
        <v>7.164938473559157E-2</v>
      </c>
      <c r="V84" s="172">
        <v>1.8867821441981214</v>
      </c>
      <c r="W84" s="172">
        <v>48.707438751507134</v>
      </c>
      <c r="X84" s="172">
        <v>3.6759101712570227E-2</v>
      </c>
      <c r="Y84" s="172">
        <v>0.50314426413980151</v>
      </c>
      <c r="Z84" s="172">
        <v>0.50314426413980151</v>
      </c>
      <c r="AA84" s="174">
        <v>1.89933875321686</v>
      </c>
    </row>
    <row r="85" spans="1:27" s="149" customFormat="1" ht="13">
      <c r="A85" s="170" t="s">
        <v>859</v>
      </c>
      <c r="B85" s="171">
        <v>1567</v>
      </c>
      <c r="C85" s="172">
        <v>0.12663019977802442</v>
      </c>
      <c r="D85" s="172">
        <v>0.23529299232412612</v>
      </c>
      <c r="E85" s="172">
        <v>0.2155025330071699</v>
      </c>
      <c r="F85" s="172">
        <v>0.18289890986131171</v>
      </c>
      <c r="G85" s="173">
        <v>1.3062901950386756</v>
      </c>
      <c r="H85" s="173">
        <v>1.3220217888237162</v>
      </c>
      <c r="I85" s="172">
        <v>0.12128744414183421</v>
      </c>
      <c r="J85" s="172">
        <v>0.51824106765028743</v>
      </c>
      <c r="K85" s="172">
        <v>6.8199999999999997E-2</v>
      </c>
      <c r="L85" s="172">
        <v>4.7382927083984457E-2</v>
      </c>
      <c r="M85" s="172">
        <v>0.11795701740582495</v>
      </c>
      <c r="N85" s="173">
        <v>1.7212276243824696</v>
      </c>
      <c r="O85" s="173">
        <v>9.9497089070054159</v>
      </c>
      <c r="P85" s="173">
        <v>28.175499498690545</v>
      </c>
      <c r="Q85" s="173">
        <v>38.916959564123097</v>
      </c>
      <c r="R85" s="173">
        <v>9.3557348214558846</v>
      </c>
      <c r="S85" s="173">
        <v>126.90444921887325</v>
      </c>
      <c r="T85" s="172">
        <v>0.11839954050265998</v>
      </c>
      <c r="U85" s="172">
        <v>9.893182940943189E-2</v>
      </c>
      <c r="V85" s="172">
        <v>0.16827628965820413</v>
      </c>
      <c r="W85" s="172">
        <v>0.94459048083386654</v>
      </c>
      <c r="X85" s="172">
        <v>0.19997192333925523</v>
      </c>
      <c r="Y85" s="172">
        <v>0.29238301037888953</v>
      </c>
      <c r="Z85" s="172">
        <v>0.29238301037888959</v>
      </c>
      <c r="AA85" s="174">
        <v>0.24855550478055449</v>
      </c>
    </row>
    <row r="86" spans="1:27" s="149" customFormat="1" ht="13">
      <c r="A86" s="170" t="s">
        <v>860</v>
      </c>
      <c r="B86" s="171">
        <v>727</v>
      </c>
      <c r="C86" s="172">
        <v>8.8677347294938869E-2</v>
      </c>
      <c r="D86" s="172">
        <v>5.5889643798703773E-2</v>
      </c>
      <c r="E86" s="172">
        <v>6.7143665619295564E-2</v>
      </c>
      <c r="F86" s="172">
        <v>0.22305624292718015</v>
      </c>
      <c r="G86" s="173">
        <v>0.93689769811718748</v>
      </c>
      <c r="H86" s="173">
        <v>1.1503164323693125</v>
      </c>
      <c r="I86" s="172">
        <v>0.11148306828828775</v>
      </c>
      <c r="J86" s="172">
        <v>0.36476093072794807</v>
      </c>
      <c r="K86" s="172">
        <v>6.5699999999999995E-2</v>
      </c>
      <c r="L86" s="172">
        <v>0.34918648395176072</v>
      </c>
      <c r="M86" s="172">
        <v>8.9710380234879136E-2</v>
      </c>
      <c r="N86" s="173">
        <v>1.4149409280658292</v>
      </c>
      <c r="O86" s="173">
        <v>0.73781656461847134</v>
      </c>
      <c r="P86" s="173">
        <v>6.7333764064996515</v>
      </c>
      <c r="Q86" s="173">
        <v>12.416542389663983</v>
      </c>
      <c r="R86" s="173">
        <v>0.88660402615972833</v>
      </c>
      <c r="S86" s="173">
        <v>40.615494893065701</v>
      </c>
      <c r="T86" s="172">
        <v>0.14573435255963102</v>
      </c>
      <c r="U86" s="172">
        <v>6.9209707930097855E-2</v>
      </c>
      <c r="V86" s="172">
        <v>4.405337669589425E-2</v>
      </c>
      <c r="W86" s="172">
        <v>1.1489567343320086</v>
      </c>
      <c r="X86" s="172">
        <v>5.8177599115749157E-2</v>
      </c>
      <c r="Y86" s="172">
        <v>0.76260581180671161</v>
      </c>
      <c r="Z86" s="172">
        <v>0.76260581180671161</v>
      </c>
      <c r="AA86" s="174">
        <v>5.6538046440976833E-2</v>
      </c>
    </row>
    <row r="87" spans="1:27" s="149" customFormat="1" ht="13">
      <c r="A87" s="170" t="s">
        <v>861</v>
      </c>
      <c r="B87" s="171">
        <v>98</v>
      </c>
      <c r="C87" s="172">
        <v>6.5721249999999995E-2</v>
      </c>
      <c r="D87" s="172">
        <v>0.15042561105332769</v>
      </c>
      <c r="E87" s="172">
        <v>9.125758201669891E-2</v>
      </c>
      <c r="F87" s="172">
        <v>0.20573941316505037</v>
      </c>
      <c r="G87" s="173">
        <v>0.66770294376917949</v>
      </c>
      <c r="H87" s="173">
        <v>0.89668652080411071</v>
      </c>
      <c r="I87" s="172">
        <v>9.7000800337914722E-2</v>
      </c>
      <c r="J87" s="172">
        <v>0.29794391722305269</v>
      </c>
      <c r="K87" s="172">
        <v>6.1199999999999997E-2</v>
      </c>
      <c r="L87" s="172">
        <v>0.37176350772858208</v>
      </c>
      <c r="M87" s="172">
        <v>7.7953333317873047E-2</v>
      </c>
      <c r="N87" s="173">
        <v>0.73270451305727935</v>
      </c>
      <c r="O87" s="173">
        <v>2.4164834395924806</v>
      </c>
      <c r="P87" s="173">
        <v>7.9368941512140507</v>
      </c>
      <c r="Q87" s="173">
        <v>16.180334774348271</v>
      </c>
      <c r="R87" s="173">
        <v>1.67383663047263</v>
      </c>
      <c r="S87" s="173">
        <v>37.225399646705654</v>
      </c>
      <c r="T87" s="172">
        <v>-0.11944514701787583</v>
      </c>
      <c r="U87" s="172">
        <v>0.14227790591002004</v>
      </c>
      <c r="V87" s="172">
        <v>4.436514397926499E-3</v>
      </c>
      <c r="W87" s="172">
        <v>0.23214748789030573</v>
      </c>
      <c r="X87" s="172">
        <v>0.12144919744872282</v>
      </c>
      <c r="Y87" s="172">
        <v>0.5651423003823961</v>
      </c>
      <c r="Z87" s="172">
        <v>0.5651423003823961</v>
      </c>
      <c r="AA87" s="174">
        <v>0.15460199014959705</v>
      </c>
    </row>
    <row r="88" spans="1:27" s="149" customFormat="1" ht="13">
      <c r="A88" s="170" t="s">
        <v>16</v>
      </c>
      <c r="B88" s="171">
        <v>440</v>
      </c>
      <c r="C88" s="172">
        <v>3.2497717391304352E-2</v>
      </c>
      <c r="D88" s="172">
        <v>0.10034189474527085</v>
      </c>
      <c r="E88" s="172">
        <v>0.11508881356882519</v>
      </c>
      <c r="F88" s="172">
        <v>0.13315894255152091</v>
      </c>
      <c r="G88" s="173">
        <v>1.1657942786205602</v>
      </c>
      <c r="H88" s="173">
        <v>1.194848437320267</v>
      </c>
      <c r="I88" s="172">
        <v>0.11402584577098723</v>
      </c>
      <c r="J88" s="172">
        <v>0.45110054710512826</v>
      </c>
      <c r="K88" s="172">
        <v>6.8199999999999997E-2</v>
      </c>
      <c r="L88" s="172">
        <v>0.11717756571463833</v>
      </c>
      <c r="M88" s="172">
        <v>0.10664062589933408</v>
      </c>
      <c r="N88" s="173">
        <v>2.133449316551066</v>
      </c>
      <c r="O88" s="173">
        <v>3.1249197515155034</v>
      </c>
      <c r="P88" s="173">
        <v>19.594893307939277</v>
      </c>
      <c r="Q88" s="173">
        <v>28.77849391695484</v>
      </c>
      <c r="R88" s="173">
        <v>1.4537205694885273</v>
      </c>
      <c r="S88" s="173">
        <v>1214.1471266685842</v>
      </c>
      <c r="T88" s="172">
        <v>0.23096559178353746</v>
      </c>
      <c r="U88" s="172">
        <v>3.1403608045827418E-2</v>
      </c>
      <c r="V88" s="172">
        <v>0.11382499999201402</v>
      </c>
      <c r="W88" s="172">
        <v>1.1182336620949951</v>
      </c>
      <c r="X88" s="172">
        <v>8.7012111237822612E-2</v>
      </c>
      <c r="Y88" s="172">
        <v>0.79802087141084721</v>
      </c>
      <c r="Z88" s="172">
        <v>0.79802087141084721</v>
      </c>
      <c r="AA88" s="174">
        <v>0.10628065173262888</v>
      </c>
    </row>
    <row r="89" spans="1:27" s="149" customFormat="1" ht="13">
      <c r="A89" s="170" t="s">
        <v>72</v>
      </c>
      <c r="B89" s="171">
        <v>274</v>
      </c>
      <c r="C89" s="172">
        <v>9.6222347417840359E-2</v>
      </c>
      <c r="D89" s="172">
        <v>0.15849933656994836</v>
      </c>
      <c r="E89" s="172">
        <v>9.4436351958960607E-2</v>
      </c>
      <c r="F89" s="172">
        <v>0.25729177159679451</v>
      </c>
      <c r="G89" s="173">
        <v>0.56153373714287003</v>
      </c>
      <c r="H89" s="173">
        <v>0.85506016141987085</v>
      </c>
      <c r="I89" s="172">
        <v>9.4623935217074628E-2</v>
      </c>
      <c r="J89" s="172">
        <v>0.35950142269336272</v>
      </c>
      <c r="K89" s="172">
        <v>6.5699999999999995E-2</v>
      </c>
      <c r="L89" s="172">
        <v>0.44395476550669882</v>
      </c>
      <c r="M89" s="172">
        <v>7.4426890094993439E-2</v>
      </c>
      <c r="N89" s="173">
        <v>0.70691492983469217</v>
      </c>
      <c r="O89" s="173">
        <v>2.1270350277373287</v>
      </c>
      <c r="P89" s="173">
        <v>6.5912517480804089</v>
      </c>
      <c r="Q89" s="173">
        <v>13.150511409746436</v>
      </c>
      <c r="R89" s="173">
        <v>1.4442478756159476</v>
      </c>
      <c r="S89" s="173">
        <v>31.7251055162019</v>
      </c>
      <c r="T89" s="172">
        <v>2.494972503375732E-3</v>
      </c>
      <c r="U89" s="172">
        <v>0.13961160101976128</v>
      </c>
      <c r="V89" s="172">
        <v>-2.4904116834196376E-2</v>
      </c>
      <c r="W89" s="172">
        <v>-0.17043021892032609</v>
      </c>
      <c r="X89" s="172">
        <v>7.1739973693203868E-2</v>
      </c>
      <c r="Y89" s="172">
        <v>1.040007505483598</v>
      </c>
      <c r="Z89" s="172">
        <v>1.040007505483598</v>
      </c>
      <c r="AA89" s="174">
        <v>0.15940387291798466</v>
      </c>
    </row>
    <row r="90" spans="1:27" s="149" customFormat="1" ht="13">
      <c r="A90" s="170" t="s">
        <v>263</v>
      </c>
      <c r="B90" s="171">
        <v>54</v>
      </c>
      <c r="C90" s="172">
        <v>0.32169511627906971</v>
      </c>
      <c r="D90" s="172">
        <v>0.31816203573924395</v>
      </c>
      <c r="E90" s="172">
        <v>0.21074845170305248</v>
      </c>
      <c r="F90" s="172">
        <v>0.21340542399574022</v>
      </c>
      <c r="G90" s="173">
        <v>0.42818234522060977</v>
      </c>
      <c r="H90" s="173">
        <v>0.49910083760209473</v>
      </c>
      <c r="I90" s="172">
        <v>7.4298657827079603E-2</v>
      </c>
      <c r="J90" s="172">
        <v>0.43507177989988399</v>
      </c>
      <c r="K90" s="172">
        <v>6.5699999999999995E-2</v>
      </c>
      <c r="L90" s="172">
        <v>0.21836442328743838</v>
      </c>
      <c r="M90" s="172">
        <v>6.8802818823385209E-2</v>
      </c>
      <c r="N90" s="173">
        <v>0.81312761419023938</v>
      </c>
      <c r="O90" s="173">
        <v>3.811976834989089</v>
      </c>
      <c r="P90" s="173">
        <v>10.585718837954175</v>
      </c>
      <c r="Q90" s="173">
        <v>11.944817072909601</v>
      </c>
      <c r="R90" s="173">
        <v>4.324858735416174</v>
      </c>
      <c r="S90" s="173">
        <v>24.825429268205777</v>
      </c>
      <c r="T90" s="172">
        <v>0.16015318560811023</v>
      </c>
      <c r="U90" s="172">
        <v>3.0316812433430644E-2</v>
      </c>
      <c r="V90" s="172">
        <v>-6.124985589879158E-3</v>
      </c>
      <c r="W90" s="172">
        <v>-1.5547900434163519E-2</v>
      </c>
      <c r="X90" s="172">
        <v>0.10474313833596573</v>
      </c>
      <c r="Y90" s="172">
        <v>1.9933810028880292</v>
      </c>
      <c r="Z90" s="172">
        <v>1.9933810028880292</v>
      </c>
      <c r="AA90" s="174">
        <v>0.31851588612350995</v>
      </c>
    </row>
    <row r="91" spans="1:27" s="149" customFormat="1" ht="13">
      <c r="A91" s="170" t="s">
        <v>862</v>
      </c>
      <c r="B91" s="171">
        <v>446</v>
      </c>
      <c r="C91" s="172">
        <v>0.11398623376623374</v>
      </c>
      <c r="D91" s="172">
        <v>6.6782666247013941E-2</v>
      </c>
      <c r="E91" s="172">
        <v>8.7719822672790257E-2</v>
      </c>
      <c r="F91" s="172">
        <v>0.2196352934185786</v>
      </c>
      <c r="G91" s="173">
        <v>0.7080179718509676</v>
      </c>
      <c r="H91" s="173">
        <v>0.92087739800685964</v>
      </c>
      <c r="I91" s="172">
        <v>9.8382099426191694E-2</v>
      </c>
      <c r="J91" s="172">
        <v>0.3542176323049625</v>
      </c>
      <c r="K91" s="172">
        <v>6.5699999999999995E-2</v>
      </c>
      <c r="L91" s="172">
        <v>0.35916401757608279</v>
      </c>
      <c r="M91" s="172">
        <v>8.0692682737672078E-2</v>
      </c>
      <c r="N91" s="173">
        <v>1.6123142590216617</v>
      </c>
      <c r="O91" s="173">
        <v>1.2299670565769731</v>
      </c>
      <c r="P91" s="173">
        <v>10.45563391803228</v>
      </c>
      <c r="Q91" s="173">
        <v>17.314661800139064</v>
      </c>
      <c r="R91" s="173">
        <v>1.9017142768387425</v>
      </c>
      <c r="S91" s="173">
        <v>45.612184510163168</v>
      </c>
      <c r="T91" s="172">
        <v>3.2252271365141083E-2</v>
      </c>
      <c r="U91" s="172">
        <v>4.3282548485499714E-2</v>
      </c>
      <c r="V91" s="172">
        <v>1.0388768796590047E-2</v>
      </c>
      <c r="W91" s="172">
        <v>0.37753566426628327</v>
      </c>
      <c r="X91" s="172">
        <v>0.11920419510260823</v>
      </c>
      <c r="Y91" s="172">
        <v>0.55438147857737052</v>
      </c>
      <c r="Z91" s="172">
        <v>0.55438147857737052</v>
      </c>
      <c r="AA91" s="174">
        <v>6.7305111868644157E-2</v>
      </c>
    </row>
    <row r="92" spans="1:27" s="149" customFormat="1" ht="13">
      <c r="A92" s="170" t="s">
        <v>863</v>
      </c>
      <c r="B92" s="171">
        <v>54</v>
      </c>
      <c r="C92" s="172">
        <v>1.1922222222222202E-3</v>
      </c>
      <c r="D92" s="172">
        <v>0.22968154884064834</v>
      </c>
      <c r="E92" s="172">
        <v>8.39752026313908E-2</v>
      </c>
      <c r="F92" s="172">
        <v>0.23749901561865872</v>
      </c>
      <c r="G92" s="173">
        <v>0.61340248884171</v>
      </c>
      <c r="H92" s="173">
        <v>0.80094303509046127</v>
      </c>
      <c r="I92" s="172">
        <v>9.1533847303665344E-2</v>
      </c>
      <c r="J92" s="172">
        <v>0.21796118227542896</v>
      </c>
      <c r="K92" s="172">
        <v>6.1199999999999997E-2</v>
      </c>
      <c r="L92" s="172">
        <v>0.32519926850152797</v>
      </c>
      <c r="M92" s="172">
        <v>7.6649968712091898E-2</v>
      </c>
      <c r="N92" s="173">
        <v>0.46351632546624344</v>
      </c>
      <c r="O92" s="173">
        <v>3.7335931446659179</v>
      </c>
      <c r="P92" s="173">
        <v>11.006040774056666</v>
      </c>
      <c r="Q92" s="173">
        <v>15.994348218590789</v>
      </c>
      <c r="R92" s="173">
        <v>1.9506652485134208</v>
      </c>
      <c r="S92" s="173">
        <v>24.631744447251233</v>
      </c>
      <c r="T92" s="172">
        <v>6.2444992242129023E-2</v>
      </c>
      <c r="U92" s="172">
        <v>0.17329726449242247</v>
      </c>
      <c r="V92" s="172">
        <v>0.11132107764862063</v>
      </c>
      <c r="W92" s="172">
        <v>0.6724574315836479</v>
      </c>
      <c r="X92" s="172">
        <v>0.13012236885872019</v>
      </c>
      <c r="Y92" s="172">
        <v>0.38343613016708661</v>
      </c>
      <c r="Z92" s="172">
        <v>0.38343613016708655</v>
      </c>
      <c r="AA92" s="174">
        <v>0.23157174435676822</v>
      </c>
    </row>
    <row r="93" spans="1:27" s="149" customFormat="1" ht="13">
      <c r="A93" s="170" t="s">
        <v>864</v>
      </c>
      <c r="B93" s="171">
        <v>113</v>
      </c>
      <c r="C93" s="172">
        <v>4.9181604938271582E-2</v>
      </c>
      <c r="D93" s="172">
        <v>7.5329657179919907E-2</v>
      </c>
      <c r="E93" s="172">
        <v>9.4258622061818315E-2</v>
      </c>
      <c r="F93" s="172">
        <v>0.24711593668939988</v>
      </c>
      <c r="G93" s="173">
        <v>0.69727657257099662</v>
      </c>
      <c r="H93" s="173">
        <v>0.85159207810101301</v>
      </c>
      <c r="I93" s="172">
        <v>9.4425907659567848E-2</v>
      </c>
      <c r="J93" s="172">
        <v>0.33872458859943927</v>
      </c>
      <c r="K93" s="172">
        <v>6.5699999999999995E-2</v>
      </c>
      <c r="L93" s="172">
        <v>0.26028933258687587</v>
      </c>
      <c r="M93" s="172">
        <v>8.2635985819035168E-2</v>
      </c>
      <c r="N93" s="173">
        <v>1.529153595252337</v>
      </c>
      <c r="O93" s="173">
        <v>1.5853905197423346</v>
      </c>
      <c r="P93" s="173">
        <v>10.290760835840068</v>
      </c>
      <c r="Q93" s="173">
        <v>20.328257422330534</v>
      </c>
      <c r="R93" s="173">
        <v>2.5622334984026183</v>
      </c>
      <c r="S93" s="173">
        <v>77.87155222990306</v>
      </c>
      <c r="T93" s="172">
        <v>6.700264607480963E-2</v>
      </c>
      <c r="U93" s="172">
        <v>0.11257750993727737</v>
      </c>
      <c r="V93" s="172">
        <v>6.8895839712374188E-2</v>
      </c>
      <c r="W93" s="172">
        <v>1.1478645542405777</v>
      </c>
      <c r="X93" s="172">
        <v>9.1755688750329203E-2</v>
      </c>
      <c r="Y93" s="172">
        <v>0.30221952602123159</v>
      </c>
      <c r="Z93" s="172">
        <v>0.30221952602123159</v>
      </c>
      <c r="AA93" s="174">
        <v>7.6813842914120231E-2</v>
      </c>
    </row>
    <row r="94" spans="1:27" s="149" customFormat="1" ht="13">
      <c r="A94" s="170" t="s">
        <v>865</v>
      </c>
      <c r="B94" s="171">
        <v>52</v>
      </c>
      <c r="C94" s="172">
        <v>4.313956521739129E-2</v>
      </c>
      <c r="D94" s="172">
        <v>0.1497309632557981</v>
      </c>
      <c r="E94" s="172">
        <v>8.4067957235806526E-2</v>
      </c>
      <c r="F94" s="172">
        <v>0.15316840215453981</v>
      </c>
      <c r="G94" s="173">
        <v>0.4293673465124172</v>
      </c>
      <c r="H94" s="173">
        <v>0.65296500843936944</v>
      </c>
      <c r="I94" s="172">
        <v>8.3084301981887987E-2</v>
      </c>
      <c r="J94" s="172">
        <v>0.21904160884218274</v>
      </c>
      <c r="K94" s="172">
        <v>6.1199999999999997E-2</v>
      </c>
      <c r="L94" s="172">
        <v>0.44426312380056915</v>
      </c>
      <c r="M94" s="172">
        <v>6.6504872240082225E-2</v>
      </c>
      <c r="N94" s="173">
        <v>0.67089623810933319</v>
      </c>
      <c r="O94" s="173">
        <v>2.4083087954547548</v>
      </c>
      <c r="P94" s="173">
        <v>10.29775989560504</v>
      </c>
      <c r="Q94" s="173">
        <v>16.129722995120197</v>
      </c>
      <c r="R94" s="173">
        <v>1.6043714315865321</v>
      </c>
      <c r="S94" s="173">
        <v>16.751606932735751</v>
      </c>
      <c r="T94" s="172">
        <v>-3.2225694249951281E-2</v>
      </c>
      <c r="U94" s="172">
        <v>0.19357492852232017</v>
      </c>
      <c r="V94" s="172">
        <v>0.11661381202132674</v>
      </c>
      <c r="W94" s="172">
        <v>0.99689596321938057</v>
      </c>
      <c r="X94" s="172">
        <v>0.10714233716527913</v>
      </c>
      <c r="Y94" s="172">
        <v>0.67801327431464675</v>
      </c>
      <c r="Z94" s="172">
        <v>0.67801327431464675</v>
      </c>
      <c r="AA94" s="174">
        <v>0.14938493487574075</v>
      </c>
    </row>
    <row r="95" spans="1:27" s="149" customFormat="1" ht="13">
      <c r="A95" s="170" t="s">
        <v>866</v>
      </c>
      <c r="B95" s="171">
        <v>106</v>
      </c>
      <c r="C95" s="172">
        <v>6.4026588235294113E-2</v>
      </c>
      <c r="D95" s="172">
        <v>0.2619979802373128</v>
      </c>
      <c r="E95" s="172">
        <v>7.0456338035697091E-2</v>
      </c>
      <c r="F95" s="172">
        <v>0.21916734957401024</v>
      </c>
      <c r="G95" s="173">
        <v>0.40705762441097582</v>
      </c>
      <c r="H95" s="173">
        <v>0.66746123038331107</v>
      </c>
      <c r="I95" s="172">
        <v>8.3912036254887051E-2</v>
      </c>
      <c r="J95" s="172">
        <v>0.3134659052139992</v>
      </c>
      <c r="K95" s="172">
        <v>6.5699999999999995E-2</v>
      </c>
      <c r="L95" s="172">
        <v>0.49485393016853568</v>
      </c>
      <c r="M95" s="172">
        <v>6.6700236547699576E-2</v>
      </c>
      <c r="N95" s="173">
        <v>0.31906450065547604</v>
      </c>
      <c r="O95" s="173">
        <v>4.4490269133322533</v>
      </c>
      <c r="P95" s="173">
        <v>11.223810658872942</v>
      </c>
      <c r="Q95" s="173">
        <v>16.829973847096994</v>
      </c>
      <c r="R95" s="173">
        <v>1.3543250533701492</v>
      </c>
      <c r="S95" s="173">
        <v>22.163816089934691</v>
      </c>
      <c r="T95" s="172">
        <v>0.10812369734755466</v>
      </c>
      <c r="U95" s="172">
        <v>0.24975989914155822</v>
      </c>
      <c r="V95" s="172">
        <v>0.13122845913740941</v>
      </c>
      <c r="W95" s="172">
        <v>0.76399340102482038</v>
      </c>
      <c r="X95" s="172">
        <v>0.11510643200063127</v>
      </c>
      <c r="Y95" s="172">
        <v>0.66562553881679976</v>
      </c>
      <c r="Z95" s="172">
        <v>0.48297940904182024</v>
      </c>
      <c r="AA95" s="174">
        <v>0.26216752986427083</v>
      </c>
    </row>
    <row r="96" spans="1:27">
      <c r="A96" t="s">
        <v>872</v>
      </c>
      <c r="B96">
        <v>47810</v>
      </c>
      <c r="C96" s="243">
        <v>9.1966694121249262E-2</v>
      </c>
      <c r="D96" s="243">
        <v>0.10240304523413575</v>
      </c>
      <c r="E96" s="243">
        <v>6.9313341609557322E-2</v>
      </c>
      <c r="F96" s="243">
        <v>0.21544398218534849</v>
      </c>
      <c r="G96" s="263">
        <v>0.79446024685547756</v>
      </c>
      <c r="H96" s="263">
        <v>1.016327909542543</v>
      </c>
      <c r="I96" s="243">
        <v>0.10383232363487921</v>
      </c>
      <c r="J96" s="243">
        <v>0.4087040282697168</v>
      </c>
      <c r="K96" s="243">
        <v>6.5699999999999995E-2</v>
      </c>
      <c r="L96" s="243">
        <v>0.37081896540542153</v>
      </c>
      <c r="M96" s="243">
        <v>8.3547835156044858E-2</v>
      </c>
      <c r="N96" s="263">
        <v>0.79649018630976298</v>
      </c>
      <c r="O96" s="263">
        <v>2.4842971498154522</v>
      </c>
      <c r="P96" s="263">
        <v>13.21342785074356</v>
      </c>
      <c r="Q96" s="263">
        <v>19.78446438728275</v>
      </c>
      <c r="R96" s="263">
        <v>2.1526525659456675</v>
      </c>
      <c r="S96" s="263">
        <v>74.52514474933345</v>
      </c>
      <c r="T96" s="243">
        <v>-1.2054905343567515</v>
      </c>
      <c r="U96" s="243">
        <v>6.4356964836934163E-2</v>
      </c>
      <c r="V96" s="243">
        <v>4.1558562690575673E-2</v>
      </c>
      <c r="W96" s="243">
        <v>0.68522485423730717</v>
      </c>
      <c r="X96" s="243">
        <v>0.11510643200063127</v>
      </c>
      <c r="Y96" s="243">
        <v>0.48297940904182024</v>
      </c>
      <c r="Z96" s="243">
        <v>0.48297940904182024</v>
      </c>
      <c r="AA96" s="243">
        <v>0.10587551679735265</v>
      </c>
    </row>
    <row r="97" spans="1:27">
      <c r="A97" t="s">
        <v>873</v>
      </c>
      <c r="B97">
        <v>42750</v>
      </c>
      <c r="C97" s="243">
        <v>8.678596665746692E-2</v>
      </c>
      <c r="D97" s="243">
        <v>9.777263014633325E-2</v>
      </c>
      <c r="E97" s="243">
        <v>0.10997032471851471</v>
      </c>
      <c r="F97" s="243">
        <v>0.22547870642741624</v>
      </c>
      <c r="G97" s="263">
        <v>0.91515519742886497</v>
      </c>
      <c r="H97" s="263">
        <v>1.0480020010286757</v>
      </c>
      <c r="I97" s="243">
        <v>0.10564091425873738</v>
      </c>
      <c r="J97" s="243">
        <v>0.41664366643680406</v>
      </c>
      <c r="K97" s="243">
        <v>6.5699999999999995E-2</v>
      </c>
      <c r="L97" s="243">
        <v>0.22771761651352895</v>
      </c>
      <c r="M97" s="243">
        <v>9.27724883068409E-2</v>
      </c>
      <c r="N97" s="263">
        <v>1.3815053414692071</v>
      </c>
      <c r="O97" s="263">
        <v>1.8953802539663376</v>
      </c>
      <c r="P97" s="263">
        <v>12.152627518309783</v>
      </c>
      <c r="Q97" s="263">
        <v>18.667601887208964</v>
      </c>
      <c r="R97" s="263">
        <v>2.5328727957007104</v>
      </c>
      <c r="S97" s="263">
        <v>77.658970603389889</v>
      </c>
      <c r="T97" s="243">
        <v>0.12219536157105167</v>
      </c>
      <c r="U97" s="243">
        <v>6.476508635962093E-2</v>
      </c>
      <c r="V97" s="243">
        <v>4.0760209215402951E-2</v>
      </c>
      <c r="W97" s="243">
        <v>0.71234198821016526</v>
      </c>
      <c r="X97" s="243">
        <v>0.1112437980672905</v>
      </c>
      <c r="Y97" s="243">
        <v>0.53540530338567249</v>
      </c>
      <c r="Z97" s="243">
        <v>0.53540530338567249</v>
      </c>
      <c r="AA97" s="243">
        <v>0.10142295103506685</v>
      </c>
    </row>
  </sheetData>
  <pageMargins left="0.75" right="0.75" top="1" bottom="1" header="0.3" footer="0.3"/>
  <pageSetup orientation="portrait" horizontalDpi="0" verticalDpi="0"/>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228"/>
  <sheetViews>
    <sheetView topLeftCell="A5" workbookViewId="0">
      <selection activeCell="A200" sqref="A200:F228"/>
    </sheetView>
  </sheetViews>
  <sheetFormatPr baseColWidth="10" defaultRowHeight="14"/>
  <cols>
    <col min="1" max="1" width="23.5703125" bestFit="1" customWidth="1"/>
    <col min="2" max="2" width="12.85546875" bestFit="1" customWidth="1"/>
    <col min="3" max="3" width="15.85546875" bestFit="1" customWidth="1"/>
    <col min="4" max="4" width="18" bestFit="1" customWidth="1"/>
    <col min="5" max="5" width="17.140625" bestFit="1" customWidth="1"/>
    <col min="6" max="6" width="15.140625" bestFit="1" customWidth="1"/>
  </cols>
  <sheetData>
    <row r="1" spans="1:6">
      <c r="A1" t="s">
        <v>739</v>
      </c>
      <c r="B1" s="163">
        <v>4.3299999999999998E-2</v>
      </c>
      <c r="C1" s="242" t="s">
        <v>875</v>
      </c>
    </row>
    <row r="2" spans="1:6" s="36" customFormat="1">
      <c r="A2" s="36" t="s">
        <v>777</v>
      </c>
    </row>
    <row r="4" spans="1:6" ht="16">
      <c r="A4" s="230" t="s">
        <v>406</v>
      </c>
      <c r="B4" s="231" t="s">
        <v>684</v>
      </c>
      <c r="C4" s="232" t="s">
        <v>456</v>
      </c>
      <c r="D4" s="232" t="s">
        <v>685</v>
      </c>
      <c r="E4" s="232" t="s">
        <v>457</v>
      </c>
      <c r="F4" s="232" t="s">
        <v>650</v>
      </c>
    </row>
    <row r="5" spans="1:6" ht="16">
      <c r="A5" s="233" t="s">
        <v>610</v>
      </c>
      <c r="B5" s="234" t="s">
        <v>686</v>
      </c>
      <c r="C5" s="235">
        <v>4.8889784279692525E-3</v>
      </c>
      <c r="D5" s="235">
        <f>$B$1+E5</f>
        <v>4.9891087812100818E-2</v>
      </c>
      <c r="E5" s="235">
        <v>6.5910878121008187E-3</v>
      </c>
      <c r="F5" s="235">
        <v>0.15</v>
      </c>
    </row>
    <row r="6" spans="1:6" ht="16">
      <c r="A6" s="233" t="s">
        <v>458</v>
      </c>
      <c r="B6" s="234" t="s">
        <v>696</v>
      </c>
      <c r="C6" s="235">
        <v>3.5619699975204554E-2</v>
      </c>
      <c r="D6" s="235">
        <f t="shared" ref="D6:D69" si="0">$B$1+E6</f>
        <v>9.1320782631020253E-2</v>
      </c>
      <c r="E6" s="235">
        <v>4.8020782631020255E-2</v>
      </c>
      <c r="F6" s="235">
        <v>0.15</v>
      </c>
    </row>
    <row r="7" spans="1:6" ht="16">
      <c r="A7" s="236" t="s">
        <v>688</v>
      </c>
      <c r="B7" s="234" t="s">
        <v>778</v>
      </c>
      <c r="C7" s="235">
        <v>2.9799487560955448E-2</v>
      </c>
      <c r="D7" s="235">
        <f t="shared" si="0"/>
        <v>8.3474249521376429E-2</v>
      </c>
      <c r="E7" s="235">
        <v>4.017424952137643E-2</v>
      </c>
      <c r="F7" s="235">
        <v>0.15</v>
      </c>
    </row>
    <row r="8" spans="1:6" ht="16">
      <c r="A8" s="233" t="s">
        <v>617</v>
      </c>
      <c r="B8" s="234" t="s">
        <v>691</v>
      </c>
      <c r="C8" s="235">
        <v>1.5830977766757577E-2</v>
      </c>
      <c r="D8" s="235">
        <f t="shared" si="0"/>
        <v>6.4642570058231222E-2</v>
      </c>
      <c r="E8" s="235">
        <v>2.134257005823122E-2</v>
      </c>
      <c r="F8" s="235">
        <v>0.1898</v>
      </c>
    </row>
    <row r="9" spans="1:6" ht="16">
      <c r="A9" s="233" t="s">
        <v>459</v>
      </c>
      <c r="B9" s="234" t="s">
        <v>699</v>
      </c>
      <c r="C9" s="235">
        <v>6.4371549301595152E-2</v>
      </c>
      <c r="D9" s="235">
        <f t="shared" si="0"/>
        <v>0.13008265619266079</v>
      </c>
      <c r="E9" s="235">
        <v>8.6782656192660804E-2</v>
      </c>
      <c r="F9" s="235">
        <v>0.25</v>
      </c>
    </row>
    <row r="10" spans="1:6" ht="16">
      <c r="A10" s="233" t="s">
        <v>780</v>
      </c>
      <c r="B10" s="34" t="s">
        <v>778</v>
      </c>
      <c r="C10" s="227">
        <v>6.0122636258365322E-2</v>
      </c>
      <c r="D10" s="235">
        <f t="shared" si="0"/>
        <v>0.12435447404039451</v>
      </c>
      <c r="E10" s="227">
        <v>8.1054474040394509E-2</v>
      </c>
      <c r="F10" s="227">
        <v>0.25228018689443577</v>
      </c>
    </row>
    <row r="11" spans="1:6" ht="16">
      <c r="A11" s="233" t="s">
        <v>781</v>
      </c>
      <c r="B11" s="34" t="s">
        <v>778</v>
      </c>
      <c r="C11" s="227">
        <v>6.0100000000000001E-2</v>
      </c>
      <c r="D11" s="235">
        <f t="shared" si="0"/>
        <v>0.1243122477280291</v>
      </c>
      <c r="E11" s="227">
        <v>8.1012247728029091E-2</v>
      </c>
      <c r="F11" s="227">
        <v>0.25230000000000002</v>
      </c>
    </row>
    <row r="12" spans="1:6" ht="16">
      <c r="A12" s="233" t="s">
        <v>461</v>
      </c>
      <c r="B12" s="234" t="s">
        <v>770</v>
      </c>
      <c r="C12" s="235">
        <v>0.11884873749896685</v>
      </c>
      <c r="D12" s="235">
        <f t="shared" si="0"/>
        <v>0.2035262060989271</v>
      </c>
      <c r="E12" s="235">
        <v>0.1602262060989271</v>
      </c>
      <c r="F12" s="235">
        <v>0.35</v>
      </c>
    </row>
    <row r="13" spans="1:6" ht="16">
      <c r="A13" s="233" t="s">
        <v>463</v>
      </c>
      <c r="B13" s="234" t="s">
        <v>696</v>
      </c>
      <c r="C13" s="235">
        <v>3.5619699975204554E-2</v>
      </c>
      <c r="D13" s="235">
        <f t="shared" si="0"/>
        <v>9.1320782631020253E-2</v>
      </c>
      <c r="E13" s="235">
        <v>4.8020782631020255E-2</v>
      </c>
      <c r="F13" s="235">
        <v>0.18</v>
      </c>
    </row>
    <row r="14" spans="1:6" ht="16">
      <c r="A14" s="233" t="s">
        <v>606</v>
      </c>
      <c r="B14" s="234" t="s">
        <v>695</v>
      </c>
      <c r="C14" s="235">
        <v>2.1767594429291676E-2</v>
      </c>
      <c r="D14" s="235">
        <f t="shared" si="0"/>
        <v>7.2646033830067944E-2</v>
      </c>
      <c r="E14" s="235">
        <v>2.9346033830067942E-2</v>
      </c>
      <c r="F14" s="235">
        <v>0.25</v>
      </c>
    </row>
    <row r="15" spans="1:6" ht="16">
      <c r="A15" s="233" t="s">
        <v>464</v>
      </c>
      <c r="B15" s="234" t="s">
        <v>692</v>
      </c>
      <c r="C15" s="235">
        <v>0</v>
      </c>
      <c r="D15" s="235">
        <f t="shared" si="0"/>
        <v>4.3299999999999998E-2</v>
      </c>
      <c r="E15" s="235">
        <v>0</v>
      </c>
      <c r="F15" s="235">
        <v>0.3</v>
      </c>
    </row>
    <row r="16" spans="1:6" ht="16">
      <c r="A16" s="233" t="s">
        <v>562</v>
      </c>
      <c r="B16" s="234" t="s">
        <v>693</v>
      </c>
      <c r="C16" s="235">
        <v>3.9577444416893943E-3</v>
      </c>
      <c r="D16" s="235">
        <f t="shared" si="0"/>
        <v>4.8635642514557806E-2</v>
      </c>
      <c r="E16" s="235">
        <v>5.335642514557805E-3</v>
      </c>
      <c r="F16" s="235">
        <v>0.24</v>
      </c>
    </row>
    <row r="17" spans="1:6" ht="16">
      <c r="A17" s="233" t="s">
        <v>467</v>
      </c>
      <c r="B17" s="234" t="s">
        <v>707</v>
      </c>
      <c r="C17" s="235">
        <v>2.4794104884701216E-2</v>
      </c>
      <c r="D17" s="235">
        <f t="shared" si="0"/>
        <v>7.6726231047082732E-2</v>
      </c>
      <c r="E17" s="235">
        <v>3.3426231047082741E-2</v>
      </c>
      <c r="F17" s="235">
        <v>0.2</v>
      </c>
    </row>
    <row r="18" spans="1:6" ht="16">
      <c r="A18" s="233" t="s">
        <v>468</v>
      </c>
      <c r="B18" s="234" t="s">
        <v>687</v>
      </c>
      <c r="C18" s="235">
        <v>4.4582827093148182E-2</v>
      </c>
      <c r="D18" s="235">
        <f t="shared" si="0"/>
        <v>0.10340444361987178</v>
      </c>
      <c r="E18" s="235">
        <v>6.0104443619871772E-2</v>
      </c>
      <c r="F18" s="235">
        <v>0</v>
      </c>
    </row>
    <row r="19" spans="1:6" ht="16">
      <c r="A19" s="233" t="s">
        <v>470</v>
      </c>
      <c r="B19" s="234" t="s">
        <v>690</v>
      </c>
      <c r="C19" s="235">
        <v>5.4477188197371677E-2</v>
      </c>
      <c r="D19" s="235">
        <f t="shared" si="0"/>
        <v>0.11674354990626629</v>
      </c>
      <c r="E19" s="235">
        <v>7.3443549906266281E-2</v>
      </c>
      <c r="F19" s="235">
        <v>0</v>
      </c>
    </row>
    <row r="20" spans="1:6" ht="16">
      <c r="A20" s="233" t="s">
        <v>472</v>
      </c>
      <c r="B20" s="234" t="s">
        <v>690</v>
      </c>
      <c r="C20" s="235">
        <v>5.4477188197371677E-2</v>
      </c>
      <c r="D20" s="235">
        <f t="shared" si="0"/>
        <v>0.11674354990626629</v>
      </c>
      <c r="E20" s="235">
        <v>7.3443549906266281E-2</v>
      </c>
      <c r="F20" s="235">
        <v>0.3</v>
      </c>
    </row>
    <row r="21" spans="1:6" ht="16">
      <c r="A21" s="233" t="s">
        <v>473</v>
      </c>
      <c r="B21" s="234" t="s">
        <v>699</v>
      </c>
      <c r="C21" s="235">
        <v>6.4371549301595152E-2</v>
      </c>
      <c r="D21" s="235">
        <f t="shared" si="0"/>
        <v>0.13008265619266079</v>
      </c>
      <c r="E21" s="235">
        <v>8.6782656192660804E-2</v>
      </c>
      <c r="F21" s="235">
        <v>5.5E-2</v>
      </c>
    </row>
    <row r="22" spans="1:6" ht="16">
      <c r="A22" s="233" t="s">
        <v>474</v>
      </c>
      <c r="B22" s="234" t="s">
        <v>740</v>
      </c>
      <c r="C22" s="235">
        <v>0.17499999999999999</v>
      </c>
      <c r="D22" s="235">
        <f t="shared" si="0"/>
        <v>0.27922666323069684</v>
      </c>
      <c r="E22" s="235">
        <v>0.23592666323069683</v>
      </c>
      <c r="F22" s="235">
        <v>0.18</v>
      </c>
    </row>
    <row r="23" spans="1:6" ht="16">
      <c r="A23" s="233" t="s">
        <v>564</v>
      </c>
      <c r="B23" s="234" t="s">
        <v>698</v>
      </c>
      <c r="C23" s="235">
        <v>5.9366166625340932E-3</v>
      </c>
      <c r="D23" s="235">
        <f t="shared" si="0"/>
        <v>5.1303463771836713E-2</v>
      </c>
      <c r="E23" s="235">
        <v>8.0034637718367115E-3</v>
      </c>
      <c r="F23" s="235">
        <v>0.25</v>
      </c>
    </row>
    <row r="24" spans="1:6" ht="16">
      <c r="A24" s="233" t="s">
        <v>475</v>
      </c>
      <c r="B24" s="234" t="s">
        <v>697</v>
      </c>
      <c r="C24" s="235">
        <v>7.4265910405818647E-2</v>
      </c>
      <c r="D24" s="235">
        <f t="shared" si="0"/>
        <v>0.1434217624790553</v>
      </c>
      <c r="E24" s="235">
        <v>0.10012176247905531</v>
      </c>
      <c r="F24" s="235">
        <v>0.2853</v>
      </c>
    </row>
    <row r="25" spans="1:6" ht="16">
      <c r="A25" s="233" t="s">
        <v>700</v>
      </c>
      <c r="B25" s="234" t="s">
        <v>687</v>
      </c>
      <c r="C25" s="235">
        <v>4.4582827093148182E-2</v>
      </c>
      <c r="D25" s="235">
        <f t="shared" si="0"/>
        <v>0.10340444361987178</v>
      </c>
      <c r="E25" s="235">
        <v>6.0104443619871772E-2</v>
      </c>
      <c r="F25" s="235">
        <v>0.3</v>
      </c>
    </row>
    <row r="26" spans="1:6" ht="16">
      <c r="A26" s="233" t="s">
        <v>476</v>
      </c>
      <c r="B26" s="234" t="s">
        <v>701</v>
      </c>
      <c r="C26" s="235">
        <v>8.3811058765187203E-3</v>
      </c>
      <c r="D26" s="235">
        <f t="shared" si="0"/>
        <v>5.4599007677887119E-2</v>
      </c>
      <c r="E26" s="235">
        <v>1.1299007677887121E-2</v>
      </c>
      <c r="F26" s="235">
        <v>0</v>
      </c>
    </row>
    <row r="27" spans="1:6" ht="16">
      <c r="A27" s="233" t="s">
        <v>411</v>
      </c>
      <c r="B27" s="234" t="s">
        <v>771</v>
      </c>
      <c r="C27" s="235">
        <v>9.9060015290519873E-2</v>
      </c>
      <c r="D27" s="235">
        <f t="shared" si="0"/>
        <v>0.17684799352613806</v>
      </c>
      <c r="E27" s="235">
        <v>0.13354799352613805</v>
      </c>
      <c r="F27" s="235">
        <v>0.25</v>
      </c>
    </row>
    <row r="28" spans="1:6" ht="16">
      <c r="A28" s="233" t="s">
        <v>477</v>
      </c>
      <c r="B28" s="234" t="s">
        <v>699</v>
      </c>
      <c r="C28" s="235">
        <v>6.4371549301595152E-2</v>
      </c>
      <c r="D28" s="235">
        <f t="shared" si="0"/>
        <v>0.13008265619266079</v>
      </c>
      <c r="E28" s="235">
        <v>8.6782656192660804E-2</v>
      </c>
      <c r="F28" s="235">
        <v>0.1</v>
      </c>
    </row>
    <row r="29" spans="1:6" ht="16">
      <c r="A29" s="233" t="s">
        <v>478</v>
      </c>
      <c r="B29" s="234" t="s">
        <v>705</v>
      </c>
      <c r="C29" s="235">
        <v>1.1873233325068186E-2</v>
      </c>
      <c r="D29" s="235">
        <f t="shared" si="0"/>
        <v>5.9306927543673421E-2</v>
      </c>
      <c r="E29" s="235">
        <v>1.6006927543673423E-2</v>
      </c>
      <c r="F29" s="235">
        <v>0.22</v>
      </c>
    </row>
    <row r="30" spans="1:6" ht="16">
      <c r="A30" s="233" t="s">
        <v>479</v>
      </c>
      <c r="B30" s="234" t="s">
        <v>707</v>
      </c>
      <c r="C30" s="235">
        <v>2.4794104884701216E-2</v>
      </c>
      <c r="D30" s="235">
        <f t="shared" si="0"/>
        <v>7.6726231047082732E-2</v>
      </c>
      <c r="E30" s="235">
        <v>3.3426231047082741E-2</v>
      </c>
      <c r="F30" s="235">
        <v>0.34</v>
      </c>
    </row>
    <row r="31" spans="1:6" ht="16">
      <c r="A31" s="233" t="s">
        <v>782</v>
      </c>
      <c r="B31" s="234" t="s">
        <v>778</v>
      </c>
      <c r="C31" s="235">
        <v>6.0122636258365322E-2</v>
      </c>
      <c r="D31" s="235">
        <f t="shared" si="0"/>
        <v>0.12435447404039451</v>
      </c>
      <c r="E31" s="235">
        <v>8.1054474040394509E-2</v>
      </c>
      <c r="F31" s="235">
        <v>0.25228018689443577</v>
      </c>
    </row>
    <row r="32" spans="1:6" ht="16">
      <c r="A32" s="237" t="s">
        <v>702</v>
      </c>
      <c r="B32" s="234" t="s">
        <v>778</v>
      </c>
      <c r="C32" s="235">
        <v>5.9366166625340923E-3</v>
      </c>
      <c r="D32" s="235">
        <f t="shared" si="0"/>
        <v>5.1303463771836706E-2</v>
      </c>
      <c r="E32" s="235">
        <v>8.0034637718367097E-3</v>
      </c>
      <c r="F32" s="235">
        <v>0.34</v>
      </c>
    </row>
    <row r="33" spans="1:6" ht="16">
      <c r="A33" s="233" t="s">
        <v>480</v>
      </c>
      <c r="B33" s="234" t="s">
        <v>691</v>
      </c>
      <c r="C33" s="235">
        <v>1.5830977766757577E-2</v>
      </c>
      <c r="D33" s="235">
        <f t="shared" si="0"/>
        <v>6.4642570058231222E-2</v>
      </c>
      <c r="E33" s="235">
        <v>2.134257005823122E-2</v>
      </c>
      <c r="F33" s="235">
        <v>0.1</v>
      </c>
    </row>
    <row r="34" spans="1:6" ht="16">
      <c r="A34" s="233" t="s">
        <v>596</v>
      </c>
      <c r="B34" s="234" t="s">
        <v>697</v>
      </c>
      <c r="C34" s="235">
        <v>7.4265910405818647E-2</v>
      </c>
      <c r="D34" s="235">
        <f t="shared" si="0"/>
        <v>0.1434217624790553</v>
      </c>
      <c r="E34" s="235">
        <v>0.10012176247905531</v>
      </c>
      <c r="F34" s="235">
        <v>0.28000000000000003</v>
      </c>
    </row>
    <row r="35" spans="1:6" ht="16">
      <c r="A35" s="233" t="s">
        <v>481</v>
      </c>
      <c r="B35" s="234" t="s">
        <v>690</v>
      </c>
      <c r="C35" s="235">
        <v>5.4477188197371677E-2</v>
      </c>
      <c r="D35" s="235">
        <f t="shared" si="0"/>
        <v>0.11674354990626629</v>
      </c>
      <c r="E35" s="235">
        <v>7.3443549906266281E-2</v>
      </c>
      <c r="F35" s="235">
        <v>0.2</v>
      </c>
    </row>
    <row r="36" spans="1:6" ht="16">
      <c r="A36" s="233" t="s">
        <v>597</v>
      </c>
      <c r="B36" s="234" t="s">
        <v>697</v>
      </c>
      <c r="C36" s="235">
        <v>7.4265910405818647E-2</v>
      </c>
      <c r="D36" s="235">
        <f t="shared" si="0"/>
        <v>0.1434217624790553</v>
      </c>
      <c r="E36" s="235">
        <v>0.10012176247905531</v>
      </c>
      <c r="F36" s="235">
        <v>0.33</v>
      </c>
    </row>
    <row r="37" spans="1:6" ht="16">
      <c r="A37" s="233" t="s">
        <v>482</v>
      </c>
      <c r="B37" s="234" t="s">
        <v>692</v>
      </c>
      <c r="C37" s="235">
        <v>0</v>
      </c>
      <c r="D37" s="235">
        <f t="shared" si="0"/>
        <v>4.3299999999999998E-2</v>
      </c>
      <c r="E37" s="235">
        <v>0</v>
      </c>
      <c r="F37" s="235">
        <v>0.26500000000000001</v>
      </c>
    </row>
    <row r="38" spans="1:6" ht="16">
      <c r="A38" s="233" t="s">
        <v>598</v>
      </c>
      <c r="B38" s="234" t="s">
        <v>690</v>
      </c>
      <c r="C38" s="235">
        <v>5.4477188197371677E-2</v>
      </c>
      <c r="D38" s="235">
        <f t="shared" si="0"/>
        <v>0.11674354990626629</v>
      </c>
      <c r="E38" s="235">
        <v>7.3443549906266281E-2</v>
      </c>
      <c r="F38" s="235">
        <v>0</v>
      </c>
    </row>
    <row r="39" spans="1:6" ht="16">
      <c r="A39" s="233" t="s">
        <v>484</v>
      </c>
      <c r="B39" s="234" t="s">
        <v>698</v>
      </c>
      <c r="C39" s="235">
        <v>5.9366166625340932E-3</v>
      </c>
      <c r="D39" s="235">
        <f t="shared" si="0"/>
        <v>5.1303463771836713E-2</v>
      </c>
      <c r="E39" s="235">
        <v>8.0034637718367115E-3</v>
      </c>
      <c r="F39" s="235">
        <v>0</v>
      </c>
    </row>
    <row r="40" spans="1:6" ht="16">
      <c r="A40" s="233" t="s">
        <v>783</v>
      </c>
      <c r="B40" s="34" t="s">
        <v>778</v>
      </c>
      <c r="C40" s="227">
        <v>8.2741050967470049E-3</v>
      </c>
      <c r="D40" s="235">
        <f t="shared" si="0"/>
        <v>5.4454754323974987E-2</v>
      </c>
      <c r="E40" s="227">
        <v>1.1154754323974989E-2</v>
      </c>
      <c r="F40" s="227">
        <v>0.24775219614916172</v>
      </c>
    </row>
    <row r="41" spans="1:6" ht="16">
      <c r="A41" s="233" t="s">
        <v>485</v>
      </c>
      <c r="B41" s="234" t="s">
        <v>701</v>
      </c>
      <c r="C41" s="235">
        <v>8.3811058765187203E-3</v>
      </c>
      <c r="D41" s="235">
        <f t="shared" si="0"/>
        <v>5.4599007677887119E-2</v>
      </c>
      <c r="E41" s="235">
        <v>1.1299007677887121E-2</v>
      </c>
      <c r="F41" s="235">
        <v>0.27</v>
      </c>
    </row>
    <row r="42" spans="1:6" ht="16">
      <c r="A42" s="233" t="s">
        <v>486</v>
      </c>
      <c r="B42" s="234" t="s">
        <v>703</v>
      </c>
      <c r="C42" s="235">
        <v>6.9842548970989338E-3</v>
      </c>
      <c r="D42" s="235">
        <f t="shared" si="0"/>
        <v>5.2715839731572595E-2</v>
      </c>
      <c r="E42" s="235">
        <v>9.4158397315725999E-3</v>
      </c>
      <c r="F42" s="235">
        <v>0.25</v>
      </c>
    </row>
    <row r="43" spans="1:6" ht="16">
      <c r="A43" s="233" t="s">
        <v>487</v>
      </c>
      <c r="B43" s="234" t="s">
        <v>689</v>
      </c>
      <c r="C43" s="235">
        <v>1.885748822216712E-2</v>
      </c>
      <c r="D43" s="235">
        <f t="shared" si="0"/>
        <v>6.8722767275246024E-2</v>
      </c>
      <c r="E43" s="235">
        <v>2.5422767275246023E-2</v>
      </c>
      <c r="F43" s="235">
        <v>0.35</v>
      </c>
    </row>
    <row r="44" spans="1:6" ht="16">
      <c r="A44" s="233" t="s">
        <v>618</v>
      </c>
      <c r="B44" s="234" t="s">
        <v>699</v>
      </c>
      <c r="C44" s="235">
        <v>6.4371549301595152E-2</v>
      </c>
      <c r="D44" s="235">
        <f t="shared" si="0"/>
        <v>0.13008265619266079</v>
      </c>
      <c r="E44" s="235">
        <v>8.6782656192660804E-2</v>
      </c>
      <c r="F44" s="235">
        <v>0.3</v>
      </c>
    </row>
    <row r="45" spans="1:6" ht="16">
      <c r="A45" s="233" t="s">
        <v>619</v>
      </c>
      <c r="B45" s="234" t="s">
        <v>704</v>
      </c>
      <c r="C45" s="235">
        <v>8.9165654186296364E-2</v>
      </c>
      <c r="D45" s="235">
        <f t="shared" si="0"/>
        <v>0.16350888723974355</v>
      </c>
      <c r="E45" s="235">
        <v>0.12020888723974354</v>
      </c>
      <c r="F45" s="235">
        <v>0.28000000000000003</v>
      </c>
    </row>
    <row r="46" spans="1:6" ht="16">
      <c r="A46" s="233" t="s">
        <v>605</v>
      </c>
      <c r="B46" s="234" t="s">
        <v>687</v>
      </c>
      <c r="C46" s="235">
        <v>4.4582827093148182E-2</v>
      </c>
      <c r="D46" s="235">
        <f t="shared" si="0"/>
        <v>0.10340444361987178</v>
      </c>
      <c r="E46" s="235">
        <v>6.0104443619871772E-2</v>
      </c>
      <c r="F46" s="235">
        <v>0.2974</v>
      </c>
    </row>
    <row r="47" spans="1:6" ht="16">
      <c r="A47" s="233" t="s">
        <v>488</v>
      </c>
      <c r="B47" s="234" t="s">
        <v>696</v>
      </c>
      <c r="C47" s="235">
        <v>3.5619699975204554E-2</v>
      </c>
      <c r="D47" s="235">
        <f t="shared" si="0"/>
        <v>9.1320782631020253E-2</v>
      </c>
      <c r="E47" s="235">
        <v>4.8020782631020255E-2</v>
      </c>
      <c r="F47" s="235">
        <v>0.3</v>
      </c>
    </row>
    <row r="48" spans="1:6" ht="16">
      <c r="A48" s="233" t="s">
        <v>489</v>
      </c>
      <c r="B48" s="234" t="s">
        <v>705</v>
      </c>
      <c r="C48" s="235">
        <v>1.1873233325068186E-2</v>
      </c>
      <c r="D48" s="235">
        <f t="shared" si="0"/>
        <v>5.9306927543673421E-2</v>
      </c>
      <c r="E48" s="235">
        <v>1.6006927543673423E-2</v>
      </c>
      <c r="F48" s="235">
        <v>0.18</v>
      </c>
    </row>
    <row r="49" spans="1:6" ht="16">
      <c r="A49" s="233" t="s">
        <v>490</v>
      </c>
      <c r="B49" s="234" t="s">
        <v>770</v>
      </c>
      <c r="C49" s="235">
        <v>0.11884873749896685</v>
      </c>
      <c r="D49" s="235">
        <f t="shared" si="0"/>
        <v>0.2035262060989271</v>
      </c>
      <c r="E49" s="235">
        <v>0.1602262060989271</v>
      </c>
      <c r="F49" s="235">
        <v>0.2853</v>
      </c>
    </row>
    <row r="50" spans="1:6" ht="16">
      <c r="A50" s="238" t="s">
        <v>784</v>
      </c>
      <c r="B50" s="234" t="s">
        <v>695</v>
      </c>
      <c r="C50" s="235">
        <v>2.1767594429291676E-2</v>
      </c>
      <c r="D50" s="235">
        <f t="shared" si="0"/>
        <v>7.2646033830067944E-2</v>
      </c>
      <c r="E50" s="235">
        <v>2.9346033830067942E-2</v>
      </c>
      <c r="F50" s="235">
        <v>0.22</v>
      </c>
    </row>
    <row r="51" spans="1:6" ht="16">
      <c r="A51" s="233" t="s">
        <v>565</v>
      </c>
      <c r="B51" s="234" t="s">
        <v>705</v>
      </c>
      <c r="C51" s="235">
        <v>1.1873233325068186E-2</v>
      </c>
      <c r="D51" s="235">
        <f t="shared" si="0"/>
        <v>5.9306927543673421E-2</v>
      </c>
      <c r="E51" s="235">
        <v>1.6006927543673423E-2</v>
      </c>
      <c r="F51" s="235">
        <v>0.125</v>
      </c>
    </row>
    <row r="52" spans="1:6" ht="16">
      <c r="A52" s="233" t="s">
        <v>491</v>
      </c>
      <c r="B52" s="234" t="s">
        <v>698</v>
      </c>
      <c r="C52" s="235">
        <v>5.9366166625340932E-3</v>
      </c>
      <c r="D52" s="235">
        <f t="shared" si="0"/>
        <v>5.1303463771836713E-2</v>
      </c>
      <c r="E52" s="235">
        <v>8.0034637718367115E-3</v>
      </c>
      <c r="F52" s="235">
        <v>0.19</v>
      </c>
    </row>
    <row r="53" spans="1:6" ht="16">
      <c r="A53" s="233" t="s">
        <v>492</v>
      </c>
      <c r="B53" s="234" t="s">
        <v>692</v>
      </c>
      <c r="C53" s="235">
        <v>0</v>
      </c>
      <c r="D53" s="235">
        <f t="shared" si="0"/>
        <v>4.3299999999999998E-2</v>
      </c>
      <c r="E53" s="235">
        <v>0</v>
      </c>
      <c r="F53" s="235">
        <v>0.22</v>
      </c>
    </row>
    <row r="54" spans="1:6" ht="16">
      <c r="A54" s="233" t="s">
        <v>493</v>
      </c>
      <c r="B54" s="234" t="s">
        <v>696</v>
      </c>
      <c r="C54" s="235">
        <v>3.5619699975204554E-2</v>
      </c>
      <c r="D54" s="235">
        <f t="shared" si="0"/>
        <v>9.1320782631020253E-2</v>
      </c>
      <c r="E54" s="235">
        <v>4.8020782631020255E-2</v>
      </c>
      <c r="F54" s="235">
        <v>0.27</v>
      </c>
    </row>
    <row r="55" spans="1:6" ht="16">
      <c r="A55" s="233" t="s">
        <v>413</v>
      </c>
      <c r="B55" s="234" t="s">
        <v>771</v>
      </c>
      <c r="C55" s="235">
        <v>9.9060015290519873E-2</v>
      </c>
      <c r="D55" s="235">
        <f t="shared" si="0"/>
        <v>0.17684799352613806</v>
      </c>
      <c r="E55" s="235">
        <v>0.13354799352613805</v>
      </c>
      <c r="F55" s="235">
        <v>0.25</v>
      </c>
    </row>
    <row r="56" spans="1:6" ht="16">
      <c r="A56" s="233" t="s">
        <v>494</v>
      </c>
      <c r="B56" s="234" t="s">
        <v>697</v>
      </c>
      <c r="C56" s="235">
        <v>7.4265910405818647E-2</v>
      </c>
      <c r="D56" s="235">
        <f t="shared" si="0"/>
        <v>0.1434217624790553</v>
      </c>
      <c r="E56" s="235">
        <v>0.10012176247905531</v>
      </c>
      <c r="F56" s="235">
        <v>0.22500000000000001</v>
      </c>
    </row>
    <row r="57" spans="1:6" ht="16">
      <c r="A57" s="233" t="s">
        <v>495</v>
      </c>
      <c r="B57" s="234" t="s">
        <v>699</v>
      </c>
      <c r="C57" s="235">
        <v>6.4371549301595152E-2</v>
      </c>
      <c r="D57" s="235">
        <f t="shared" si="0"/>
        <v>0.13008265619266079</v>
      </c>
      <c r="E57" s="235">
        <v>8.6782656192660804E-2</v>
      </c>
      <c r="F57" s="235">
        <v>0.3</v>
      </c>
    </row>
    <row r="58" spans="1:6" ht="16">
      <c r="A58" s="233" t="s">
        <v>496</v>
      </c>
      <c r="B58" s="234" t="s">
        <v>703</v>
      </c>
      <c r="C58" s="235">
        <v>6.9842548970989338E-3</v>
      </c>
      <c r="D58" s="235">
        <f t="shared" si="0"/>
        <v>5.2715839731572595E-2</v>
      </c>
      <c r="E58" s="235">
        <v>9.4158397315725999E-3</v>
      </c>
      <c r="F58" s="235">
        <v>0.2</v>
      </c>
    </row>
    <row r="59" spans="1:6" ht="16">
      <c r="A59" s="233" t="s">
        <v>620</v>
      </c>
      <c r="B59" s="234" t="s">
        <v>704</v>
      </c>
      <c r="C59" s="235">
        <v>8.9165654186296364E-2</v>
      </c>
      <c r="D59" s="235">
        <f t="shared" si="0"/>
        <v>0.16350888723974355</v>
      </c>
      <c r="E59" s="235">
        <v>0.12020888723974354</v>
      </c>
      <c r="F59" s="235">
        <v>0.3</v>
      </c>
    </row>
    <row r="60" spans="1:6" ht="16">
      <c r="A60" s="233" t="s">
        <v>785</v>
      </c>
      <c r="B60" s="34" t="s">
        <v>778</v>
      </c>
      <c r="C60" s="227">
        <v>3.5769376863949848E-2</v>
      </c>
      <c r="D60" s="235">
        <f t="shared" si="0"/>
        <v>9.1522569882017013E-2</v>
      </c>
      <c r="E60" s="227">
        <v>4.8222569882017015E-2</v>
      </c>
      <c r="F60" s="227">
        <v>0.31553952561697912</v>
      </c>
    </row>
    <row r="61" spans="1:6" ht="16">
      <c r="A61" s="233" t="s">
        <v>604</v>
      </c>
      <c r="B61" s="234" t="s">
        <v>687</v>
      </c>
      <c r="C61" s="235">
        <v>4.4582827093148182E-2</v>
      </c>
      <c r="D61" s="235">
        <f t="shared" si="0"/>
        <v>0.10340444361987178</v>
      </c>
      <c r="E61" s="235">
        <v>6.0104443619871772E-2</v>
      </c>
      <c r="F61" s="235">
        <v>0.2</v>
      </c>
    </row>
    <row r="62" spans="1:6" ht="16">
      <c r="A62" s="233" t="s">
        <v>566</v>
      </c>
      <c r="B62" s="234" t="s">
        <v>693</v>
      </c>
      <c r="C62" s="235">
        <v>3.9577444416893943E-3</v>
      </c>
      <c r="D62" s="235">
        <f t="shared" si="0"/>
        <v>4.8635642514557806E-2</v>
      </c>
      <c r="E62" s="235">
        <v>5.335642514557805E-3</v>
      </c>
      <c r="F62" s="235">
        <v>0.2</v>
      </c>
    </row>
    <row r="63" spans="1:6" ht="16">
      <c r="A63" s="233" t="s">
        <v>567</v>
      </c>
      <c r="B63" s="234" t="s">
        <v>698</v>
      </c>
      <c r="C63" s="235">
        <v>5.9366166625340932E-3</v>
      </c>
      <c r="D63" s="235">
        <f t="shared" si="0"/>
        <v>5.1303463771836713E-2</v>
      </c>
      <c r="E63" s="235">
        <v>8.0034637718367115E-3</v>
      </c>
      <c r="F63" s="235">
        <v>0.25</v>
      </c>
    </row>
    <row r="64" spans="1:6" ht="16">
      <c r="A64" s="233" t="s">
        <v>786</v>
      </c>
      <c r="B64" s="34" t="s">
        <v>778</v>
      </c>
      <c r="C64" s="227">
        <v>3.5769376863949848E-2</v>
      </c>
      <c r="D64" s="235">
        <f t="shared" si="0"/>
        <v>9.1522569882017013E-2</v>
      </c>
      <c r="E64" s="227">
        <v>4.8222569882017015E-2</v>
      </c>
      <c r="F64" s="227">
        <v>0.31553952561697912</v>
      </c>
    </row>
    <row r="65" spans="1:6" ht="16">
      <c r="A65" s="233" t="s">
        <v>599</v>
      </c>
      <c r="B65" s="234" t="s">
        <v>704</v>
      </c>
      <c r="C65" s="235">
        <v>8.9165654186296364E-2</v>
      </c>
      <c r="D65" s="235">
        <f t="shared" si="0"/>
        <v>0.16350888723974355</v>
      </c>
      <c r="E65" s="235">
        <v>0.12020888723974354</v>
      </c>
      <c r="F65" s="235">
        <v>0.3</v>
      </c>
    </row>
    <row r="66" spans="1:6" ht="16">
      <c r="A66" s="236" t="s">
        <v>706</v>
      </c>
      <c r="B66" s="234" t="s">
        <v>778</v>
      </c>
      <c r="C66" s="235">
        <v>4.4582827093148182E-2</v>
      </c>
      <c r="D66" s="235">
        <f t="shared" si="0"/>
        <v>0.10340444361987178</v>
      </c>
      <c r="E66" s="235">
        <v>6.0104443619871772E-2</v>
      </c>
      <c r="F66" s="235">
        <v>0.3</v>
      </c>
    </row>
    <row r="67" spans="1:6" ht="16">
      <c r="A67" s="233" t="s">
        <v>497</v>
      </c>
      <c r="B67" s="234" t="s">
        <v>694</v>
      </c>
      <c r="C67" s="235">
        <v>2.9799487560955448E-2</v>
      </c>
      <c r="D67" s="235">
        <f t="shared" si="0"/>
        <v>8.3474249521376429E-2</v>
      </c>
      <c r="E67" s="235">
        <v>4.017424952137643E-2</v>
      </c>
      <c r="F67" s="235">
        <v>0.15</v>
      </c>
    </row>
    <row r="68" spans="1:6" ht="16">
      <c r="A68" s="233" t="s">
        <v>568</v>
      </c>
      <c r="B68" s="234" t="s">
        <v>692</v>
      </c>
      <c r="C68" s="235">
        <v>0</v>
      </c>
      <c r="D68" s="235">
        <f t="shared" si="0"/>
        <v>4.3299999999999998E-2</v>
      </c>
      <c r="E68" s="235">
        <v>0</v>
      </c>
      <c r="F68" s="235">
        <v>0.3</v>
      </c>
    </row>
    <row r="69" spans="1:6" ht="16">
      <c r="A69" s="233" t="s">
        <v>600</v>
      </c>
      <c r="B69" s="234" t="s">
        <v>704</v>
      </c>
      <c r="C69" s="235">
        <v>8.9165654186296364E-2</v>
      </c>
      <c r="D69" s="235">
        <f t="shared" si="0"/>
        <v>0.16350888723974355</v>
      </c>
      <c r="E69" s="235">
        <v>0.12020888723974354</v>
      </c>
      <c r="F69" s="235">
        <v>0.25</v>
      </c>
    </row>
    <row r="70" spans="1:6" ht="16">
      <c r="A70" s="233" t="s">
        <v>787</v>
      </c>
      <c r="B70" s="34" t="s">
        <v>778</v>
      </c>
      <c r="C70" s="227">
        <v>8.2741050967470049E-3</v>
      </c>
      <c r="D70" s="235">
        <f t="shared" ref="D70:D133" si="1">$B$1+E70</f>
        <v>5.4454754323974987E-2</v>
      </c>
      <c r="E70" s="227">
        <v>1.1154754323974989E-2</v>
      </c>
      <c r="F70" s="227">
        <v>0.24775219614916172</v>
      </c>
    </row>
    <row r="71" spans="1:6" ht="16">
      <c r="A71" s="233" t="s">
        <v>569</v>
      </c>
      <c r="B71" s="234" t="s">
        <v>707</v>
      </c>
      <c r="C71" s="235">
        <v>2.4794104884701216E-2</v>
      </c>
      <c r="D71" s="235">
        <f t="shared" si="1"/>
        <v>7.6726231047082732E-2</v>
      </c>
      <c r="E71" s="235">
        <v>3.3426231047082741E-2</v>
      </c>
      <c r="F71" s="235">
        <v>0.22</v>
      </c>
    </row>
    <row r="72" spans="1:6" ht="16">
      <c r="A72" s="233" t="s">
        <v>788</v>
      </c>
      <c r="B72" s="34" t="s">
        <v>778</v>
      </c>
      <c r="C72" s="227">
        <v>8.2741050967470049E-3</v>
      </c>
      <c r="D72" s="235">
        <f t="shared" si="1"/>
        <v>5.4454754323974987E-2</v>
      </c>
      <c r="E72" s="227">
        <v>1.1154754323974989E-2</v>
      </c>
      <c r="F72" s="227">
        <v>0.24775219614916172</v>
      </c>
    </row>
    <row r="73" spans="1:6" ht="16">
      <c r="A73" s="233" t="s">
        <v>498</v>
      </c>
      <c r="B73" s="234" t="s">
        <v>707</v>
      </c>
      <c r="C73" s="235">
        <v>2.4794104884701216E-2</v>
      </c>
      <c r="D73" s="235">
        <f t="shared" si="1"/>
        <v>7.6726231047082732E-2</v>
      </c>
      <c r="E73" s="235">
        <v>3.3426231047082741E-2</v>
      </c>
      <c r="F73" s="235">
        <v>0.25</v>
      </c>
    </row>
    <row r="74" spans="1:6" ht="16">
      <c r="A74" s="233" t="s">
        <v>773</v>
      </c>
      <c r="B74" s="234" t="s">
        <v>703</v>
      </c>
      <c r="C74" s="235">
        <v>6.9842548970989338E-3</v>
      </c>
      <c r="D74" s="235">
        <f t="shared" si="1"/>
        <v>5.2715839731572595E-2</v>
      </c>
      <c r="E74" s="235">
        <v>9.4158397315725999E-3</v>
      </c>
      <c r="F74" s="235">
        <v>0</v>
      </c>
    </row>
    <row r="75" spans="1:6" ht="16">
      <c r="A75" s="237" t="s">
        <v>708</v>
      </c>
      <c r="B75" s="234" t="s">
        <v>778</v>
      </c>
      <c r="C75" s="235">
        <v>8.916565418629635E-2</v>
      </c>
      <c r="D75" s="235">
        <f t="shared" si="1"/>
        <v>0.16350888723974349</v>
      </c>
      <c r="E75" s="235">
        <v>0.1202088872397435</v>
      </c>
      <c r="F75" s="235">
        <v>0</v>
      </c>
    </row>
    <row r="76" spans="1:6" ht="16">
      <c r="A76" s="236" t="s">
        <v>709</v>
      </c>
      <c r="B76" s="234" t="s">
        <v>778</v>
      </c>
      <c r="C76" s="235">
        <v>6.4371549301595138E-2</v>
      </c>
      <c r="D76" s="235">
        <f t="shared" si="1"/>
        <v>0.13008265619266079</v>
      </c>
      <c r="E76" s="235">
        <v>8.678265619266079E-2</v>
      </c>
      <c r="F76" s="235">
        <v>0</v>
      </c>
    </row>
    <row r="77" spans="1:6" ht="16">
      <c r="A77" s="237" t="s">
        <v>710</v>
      </c>
      <c r="B77" s="234" t="s">
        <v>778</v>
      </c>
      <c r="C77" s="235">
        <v>1.5830977766757577E-2</v>
      </c>
      <c r="D77" s="235">
        <f t="shared" si="1"/>
        <v>6.4642570058231222E-2</v>
      </c>
      <c r="E77" s="235">
        <v>2.134257005823122E-2</v>
      </c>
      <c r="F77" s="235">
        <v>0</v>
      </c>
    </row>
    <row r="78" spans="1:6" ht="16">
      <c r="A78" s="236" t="s">
        <v>711</v>
      </c>
      <c r="B78" s="234" t="s">
        <v>778</v>
      </c>
      <c r="C78" s="235">
        <v>0.11884873749896685</v>
      </c>
      <c r="D78" s="235">
        <f t="shared" si="1"/>
        <v>0.2035262060989271</v>
      </c>
      <c r="E78" s="235">
        <v>0.1602262060989271</v>
      </c>
      <c r="F78" s="235">
        <v>0</v>
      </c>
    </row>
    <row r="79" spans="1:6" ht="16">
      <c r="A79" s="233" t="s">
        <v>499</v>
      </c>
      <c r="B79" s="234" t="s">
        <v>687</v>
      </c>
      <c r="C79" s="235">
        <v>4.4582827093148182E-2</v>
      </c>
      <c r="D79" s="235">
        <f t="shared" si="1"/>
        <v>0.10340444361987178</v>
      </c>
      <c r="E79" s="235">
        <v>6.0104443619871772E-2</v>
      </c>
      <c r="F79" s="235">
        <v>0.25</v>
      </c>
    </row>
    <row r="80" spans="1:6" ht="16">
      <c r="A80" s="233" t="s">
        <v>500</v>
      </c>
      <c r="B80" s="234" t="s">
        <v>698</v>
      </c>
      <c r="C80" s="235">
        <v>5.9366166625340932E-3</v>
      </c>
      <c r="D80" s="235">
        <f t="shared" si="1"/>
        <v>5.1303463771836713E-2</v>
      </c>
      <c r="E80" s="235">
        <v>8.0034637718367115E-3</v>
      </c>
      <c r="F80" s="235">
        <v>0.16500000000000001</v>
      </c>
    </row>
    <row r="81" spans="1:6" ht="16">
      <c r="A81" s="233" t="s">
        <v>501</v>
      </c>
      <c r="B81" s="234" t="s">
        <v>689</v>
      </c>
      <c r="C81" s="235">
        <v>1.885748822216712E-2</v>
      </c>
      <c r="D81" s="235">
        <f t="shared" si="1"/>
        <v>6.8722767275246024E-2</v>
      </c>
      <c r="E81" s="235">
        <v>2.5422767275246023E-2</v>
      </c>
      <c r="F81" s="235">
        <v>0.09</v>
      </c>
    </row>
    <row r="82" spans="1:6" ht="16">
      <c r="A82" s="233" t="s">
        <v>502</v>
      </c>
      <c r="B82" s="234" t="s">
        <v>703</v>
      </c>
      <c r="C82" s="235">
        <v>6.9842548970989338E-3</v>
      </c>
      <c r="D82" s="235">
        <f t="shared" si="1"/>
        <v>5.2715839731572595E-2</v>
      </c>
      <c r="E82" s="235">
        <v>9.4158397315725999E-3</v>
      </c>
      <c r="F82" s="235">
        <v>0.2</v>
      </c>
    </row>
    <row r="83" spans="1:6" ht="16">
      <c r="A83" s="233" t="s">
        <v>503</v>
      </c>
      <c r="B83" s="234" t="s">
        <v>695</v>
      </c>
      <c r="C83" s="235">
        <v>2.1767594429291676E-2</v>
      </c>
      <c r="D83" s="235">
        <f t="shared" si="1"/>
        <v>7.2646033830067944E-2</v>
      </c>
      <c r="E83" s="235">
        <v>2.9346033830067942E-2</v>
      </c>
      <c r="F83" s="235">
        <v>0.3</v>
      </c>
    </row>
    <row r="84" spans="1:6" ht="16">
      <c r="A84" s="233" t="s">
        <v>504</v>
      </c>
      <c r="B84" s="234" t="s">
        <v>689</v>
      </c>
      <c r="C84" s="235">
        <v>1.885748822216712E-2</v>
      </c>
      <c r="D84" s="235">
        <f t="shared" si="1"/>
        <v>6.8722767275246024E-2</v>
      </c>
      <c r="E84" s="235">
        <v>2.5422767275246023E-2</v>
      </c>
      <c r="F84" s="235">
        <v>0.22</v>
      </c>
    </row>
    <row r="85" spans="1:6" ht="16">
      <c r="A85" s="237" t="s">
        <v>712</v>
      </c>
      <c r="B85" s="234" t="s">
        <v>778</v>
      </c>
      <c r="C85" s="235">
        <v>6.4371549301595138E-2</v>
      </c>
      <c r="D85" s="235">
        <f t="shared" si="1"/>
        <v>0.13008265619266079</v>
      </c>
      <c r="E85" s="235">
        <v>8.678265619266079E-2</v>
      </c>
      <c r="F85" s="235">
        <v>0.22</v>
      </c>
    </row>
    <row r="86" spans="1:6" ht="16">
      <c r="A86" s="233" t="s">
        <v>651</v>
      </c>
      <c r="B86" s="234" t="s">
        <v>697</v>
      </c>
      <c r="C86" s="235">
        <v>7.4265910405818647E-2</v>
      </c>
      <c r="D86" s="235">
        <f t="shared" si="1"/>
        <v>0.1434217624790553</v>
      </c>
      <c r="E86" s="235">
        <v>0.10012176247905531</v>
      </c>
      <c r="F86" s="235">
        <v>0.15</v>
      </c>
    </row>
    <row r="87" spans="1:6" ht="16">
      <c r="A87" s="233" t="s">
        <v>570</v>
      </c>
      <c r="B87" s="234" t="s">
        <v>698</v>
      </c>
      <c r="C87" s="235">
        <v>5.9366166625340932E-3</v>
      </c>
      <c r="D87" s="235">
        <f t="shared" si="1"/>
        <v>5.1303463771836713E-2</v>
      </c>
      <c r="E87" s="235">
        <v>8.0034637718367115E-3</v>
      </c>
      <c r="F87" s="235">
        <v>0.125</v>
      </c>
    </row>
    <row r="88" spans="1:6" ht="16">
      <c r="A88" s="233" t="s">
        <v>505</v>
      </c>
      <c r="B88" s="234" t="s">
        <v>698</v>
      </c>
      <c r="C88" s="235">
        <v>5.9366166625340932E-3</v>
      </c>
      <c r="D88" s="235">
        <f t="shared" si="1"/>
        <v>5.1303463771836713E-2</v>
      </c>
      <c r="E88" s="235">
        <v>8.0034637718367115E-3</v>
      </c>
      <c r="F88" s="235">
        <v>0</v>
      </c>
    </row>
    <row r="89" spans="1:6" ht="16">
      <c r="A89" s="233" t="s">
        <v>506</v>
      </c>
      <c r="B89" s="234" t="s">
        <v>691</v>
      </c>
      <c r="C89" s="235">
        <v>1.5830977766757577E-2</v>
      </c>
      <c r="D89" s="235">
        <f t="shared" si="1"/>
        <v>6.4642570058231222E-2</v>
      </c>
      <c r="E89" s="235">
        <v>2.134257005823122E-2</v>
      </c>
      <c r="F89" s="235">
        <v>0.23</v>
      </c>
    </row>
    <row r="90" spans="1:6" ht="16">
      <c r="A90" s="233" t="s">
        <v>571</v>
      </c>
      <c r="B90" s="234" t="s">
        <v>695</v>
      </c>
      <c r="C90" s="235">
        <v>2.1767594429291676E-2</v>
      </c>
      <c r="D90" s="235">
        <f t="shared" si="1"/>
        <v>7.2646033830067944E-2</v>
      </c>
      <c r="E90" s="235">
        <v>2.9346033830067942E-2</v>
      </c>
      <c r="F90" s="235">
        <v>0.24</v>
      </c>
    </row>
    <row r="91" spans="1:6" ht="16">
      <c r="A91" s="233" t="s">
        <v>789</v>
      </c>
      <c r="B91" s="234" t="s">
        <v>694</v>
      </c>
      <c r="C91" s="235">
        <v>2.9799487560955448E-2</v>
      </c>
      <c r="D91" s="235">
        <f t="shared" si="1"/>
        <v>8.3474249521376429E-2</v>
      </c>
      <c r="E91" s="235">
        <v>4.017424952137643E-2</v>
      </c>
      <c r="F91" s="235">
        <v>0.25</v>
      </c>
    </row>
    <row r="92" spans="1:6" ht="16">
      <c r="A92" s="233" t="s">
        <v>507</v>
      </c>
      <c r="B92" s="234" t="s">
        <v>687</v>
      </c>
      <c r="C92" s="235">
        <v>4.4582827093148182E-2</v>
      </c>
      <c r="D92" s="235">
        <f t="shared" si="1"/>
        <v>0.10340444361987178</v>
      </c>
      <c r="E92" s="235">
        <v>6.0104443619871772E-2</v>
      </c>
      <c r="F92" s="235">
        <v>0.25</v>
      </c>
    </row>
    <row r="93" spans="1:6" ht="16">
      <c r="A93" s="233" t="s">
        <v>508</v>
      </c>
      <c r="B93" s="234" t="s">
        <v>703</v>
      </c>
      <c r="C93" s="235">
        <v>6.9842548970989338E-3</v>
      </c>
      <c r="D93" s="235">
        <f t="shared" si="1"/>
        <v>5.2715839731572595E-2</v>
      </c>
      <c r="E93" s="235">
        <v>9.4158397315725999E-3</v>
      </c>
      <c r="F93" s="235">
        <v>0.30620000000000003</v>
      </c>
    </row>
    <row r="94" spans="1:6" ht="16">
      <c r="A94" s="233" t="s">
        <v>774</v>
      </c>
      <c r="B94" s="234" t="s">
        <v>686</v>
      </c>
      <c r="C94" s="235">
        <v>4.8889784279692525E-3</v>
      </c>
      <c r="D94" s="235">
        <f t="shared" si="1"/>
        <v>4.9891087812100818E-2</v>
      </c>
      <c r="E94" s="235">
        <v>6.5910878121008187E-3</v>
      </c>
      <c r="F94" s="235">
        <v>0</v>
      </c>
    </row>
    <row r="95" spans="1:6" ht="16">
      <c r="A95" s="233" t="s">
        <v>509</v>
      </c>
      <c r="B95" s="234" t="s">
        <v>696</v>
      </c>
      <c r="C95" s="235">
        <v>3.5619699975204554E-2</v>
      </c>
      <c r="D95" s="235">
        <f t="shared" si="1"/>
        <v>9.1320782631020253E-2</v>
      </c>
      <c r="E95" s="235">
        <v>4.8020782631020255E-2</v>
      </c>
      <c r="F95" s="235">
        <v>0.2</v>
      </c>
    </row>
    <row r="96" spans="1:6" ht="16">
      <c r="A96" s="233" t="s">
        <v>510</v>
      </c>
      <c r="B96" s="234" t="s">
        <v>691</v>
      </c>
      <c r="C96" s="235">
        <v>1.5830977766757577E-2</v>
      </c>
      <c r="D96" s="235">
        <f t="shared" si="1"/>
        <v>6.4642570058231222E-2</v>
      </c>
      <c r="E96" s="235">
        <v>2.134257005823122E-2</v>
      </c>
      <c r="F96" s="235">
        <v>0.2</v>
      </c>
    </row>
    <row r="97" spans="1:6" ht="16">
      <c r="A97" s="233" t="s">
        <v>572</v>
      </c>
      <c r="B97" s="234" t="s">
        <v>697</v>
      </c>
      <c r="C97" s="235">
        <v>7.4265910405818647E-2</v>
      </c>
      <c r="D97" s="235">
        <f t="shared" si="1"/>
        <v>0.1434217624790553</v>
      </c>
      <c r="E97" s="235">
        <v>0.10012176247905531</v>
      </c>
      <c r="F97" s="235">
        <v>0.3</v>
      </c>
    </row>
    <row r="98" spans="1:6" ht="16">
      <c r="A98" s="236" t="s">
        <v>713</v>
      </c>
      <c r="B98" s="234" t="s">
        <v>778</v>
      </c>
      <c r="C98" s="235">
        <v>0.11884873749896685</v>
      </c>
      <c r="D98" s="235">
        <f t="shared" si="1"/>
        <v>0.2035262060989271</v>
      </c>
      <c r="E98" s="235">
        <v>0.1602262060989271</v>
      </c>
      <c r="F98" s="235">
        <v>0.25</v>
      </c>
    </row>
    <row r="99" spans="1:6" ht="16">
      <c r="A99" s="233" t="s">
        <v>511</v>
      </c>
      <c r="B99" s="234" t="s">
        <v>703</v>
      </c>
      <c r="C99" s="235">
        <v>6.9842548970989338E-3</v>
      </c>
      <c r="D99" s="235">
        <f t="shared" si="1"/>
        <v>5.2715839731572595E-2</v>
      </c>
      <c r="E99" s="235">
        <v>9.4158397315725999E-3</v>
      </c>
      <c r="F99" s="235">
        <v>0.15</v>
      </c>
    </row>
    <row r="100" spans="1:6" ht="16">
      <c r="A100" s="233" t="s">
        <v>652</v>
      </c>
      <c r="B100" s="234" t="s">
        <v>699</v>
      </c>
      <c r="C100" s="235">
        <v>6.4371549301595152E-2</v>
      </c>
      <c r="D100" s="235">
        <f t="shared" si="1"/>
        <v>0.13008265619266079</v>
      </c>
      <c r="E100" s="235">
        <v>8.6782656192660804E-2</v>
      </c>
      <c r="F100" s="235">
        <v>0.1</v>
      </c>
    </row>
    <row r="101" spans="1:6" ht="16">
      <c r="A101" s="233" t="s">
        <v>769</v>
      </c>
      <c r="B101" s="234" t="s">
        <v>771</v>
      </c>
      <c r="C101" s="235">
        <v>9.9060015290519873E-2</v>
      </c>
      <c r="D101" s="235">
        <f t="shared" si="1"/>
        <v>0.17684799352613806</v>
      </c>
      <c r="E101" s="235">
        <v>0.13354799352613805</v>
      </c>
      <c r="F101" s="235">
        <v>0.26860000000000001</v>
      </c>
    </row>
    <row r="102" spans="1:6" ht="16">
      <c r="A102" s="233" t="s">
        <v>512</v>
      </c>
      <c r="B102" s="234" t="s">
        <v>705</v>
      </c>
      <c r="C102" s="235">
        <v>1.1873233325068186E-2</v>
      </c>
      <c r="D102" s="235">
        <f t="shared" si="1"/>
        <v>5.9306927543673421E-2</v>
      </c>
      <c r="E102" s="235">
        <v>1.6006927543673423E-2</v>
      </c>
      <c r="F102" s="235">
        <v>0.2</v>
      </c>
    </row>
    <row r="103" spans="1:6" ht="16">
      <c r="A103" s="233" t="s">
        <v>513</v>
      </c>
      <c r="B103" s="234" t="s">
        <v>740</v>
      </c>
      <c r="C103" s="235">
        <v>0.17499999999999999</v>
      </c>
      <c r="D103" s="235">
        <f t="shared" si="1"/>
        <v>0.27922666323069684</v>
      </c>
      <c r="E103" s="235">
        <v>0.23592666323069683</v>
      </c>
      <c r="F103" s="235">
        <v>0.17</v>
      </c>
    </row>
    <row r="104" spans="1:6" ht="16">
      <c r="A104" s="237" t="s">
        <v>714</v>
      </c>
      <c r="B104" s="234" t="s">
        <v>778</v>
      </c>
      <c r="C104" s="235">
        <v>8.916565418629635E-2</v>
      </c>
      <c r="D104" s="235">
        <f t="shared" si="1"/>
        <v>0.16350888723974349</v>
      </c>
      <c r="E104" s="235">
        <v>0.1202088872397435</v>
      </c>
      <c r="F104" s="235">
        <v>0.17</v>
      </c>
    </row>
    <row r="105" spans="1:6" ht="16">
      <c r="A105" s="236" t="s">
        <v>715</v>
      </c>
      <c r="B105" s="234" t="s">
        <v>778</v>
      </c>
      <c r="C105" s="235">
        <v>1.5830977766757577E-2</v>
      </c>
      <c r="D105" s="235">
        <f t="shared" si="1"/>
        <v>6.4642570058231222E-2</v>
      </c>
      <c r="E105" s="235">
        <v>2.134257005823122E-2</v>
      </c>
      <c r="F105" s="235">
        <v>0.17</v>
      </c>
    </row>
    <row r="106" spans="1:6" ht="16">
      <c r="A106" s="233" t="s">
        <v>611</v>
      </c>
      <c r="B106" s="234" t="s">
        <v>692</v>
      </c>
      <c r="C106" s="235">
        <v>0</v>
      </c>
      <c r="D106" s="235">
        <f t="shared" si="1"/>
        <v>4.3299999999999998E-2</v>
      </c>
      <c r="E106" s="235">
        <v>0</v>
      </c>
      <c r="F106" s="235">
        <v>0.125</v>
      </c>
    </row>
    <row r="107" spans="1:6" ht="16">
      <c r="A107" s="233" t="s">
        <v>514</v>
      </c>
      <c r="B107" s="234" t="s">
        <v>701</v>
      </c>
      <c r="C107" s="235">
        <v>8.3811058765187203E-3</v>
      </c>
      <c r="D107" s="235">
        <f t="shared" si="1"/>
        <v>5.4599007677887119E-2</v>
      </c>
      <c r="E107" s="235">
        <v>1.1299007677887121E-2</v>
      </c>
      <c r="F107" s="235">
        <v>0.15</v>
      </c>
    </row>
    <row r="108" spans="1:6" ht="16">
      <c r="A108" s="233" t="s">
        <v>573</v>
      </c>
      <c r="B108" s="234" t="s">
        <v>692</v>
      </c>
      <c r="C108" s="235">
        <v>0</v>
      </c>
      <c r="D108" s="235">
        <f t="shared" si="1"/>
        <v>4.3299999999999998E-2</v>
      </c>
      <c r="E108" s="235">
        <v>0</v>
      </c>
      <c r="F108" s="235">
        <v>0.24940000000000001</v>
      </c>
    </row>
    <row r="109" spans="1:6" ht="16">
      <c r="A109" s="233" t="s">
        <v>790</v>
      </c>
      <c r="B109" s="234" t="s">
        <v>698</v>
      </c>
      <c r="C109" s="235">
        <v>5.9366166625340932E-3</v>
      </c>
      <c r="D109" s="235">
        <f t="shared" si="1"/>
        <v>5.1303463771836713E-2</v>
      </c>
      <c r="E109" s="235">
        <v>8.0034637718367115E-3</v>
      </c>
      <c r="F109" s="235">
        <v>0.26860000000000001</v>
      </c>
    </row>
    <row r="110" spans="1:6" ht="16">
      <c r="A110" s="233" t="s">
        <v>608</v>
      </c>
      <c r="B110" s="234" t="s">
        <v>696</v>
      </c>
      <c r="C110" s="235">
        <v>3.5619699975204554E-2</v>
      </c>
      <c r="D110" s="235">
        <f t="shared" si="1"/>
        <v>9.1320782631020253E-2</v>
      </c>
      <c r="E110" s="235">
        <v>4.8020782631020255E-2</v>
      </c>
      <c r="F110" s="235">
        <v>0.1</v>
      </c>
    </row>
    <row r="111" spans="1:6" ht="16">
      <c r="A111" s="237" t="s">
        <v>716</v>
      </c>
      <c r="B111" s="234" t="s">
        <v>778</v>
      </c>
      <c r="C111" s="235">
        <v>5.4477188197371657E-2</v>
      </c>
      <c r="D111" s="235">
        <f t="shared" si="1"/>
        <v>0.11674354990626626</v>
      </c>
      <c r="E111" s="235">
        <v>7.3443549906266253E-2</v>
      </c>
      <c r="F111" s="235">
        <v>0.1</v>
      </c>
    </row>
    <row r="112" spans="1:6" ht="16">
      <c r="A112" s="236" t="s">
        <v>717</v>
      </c>
      <c r="B112" s="234" t="s">
        <v>778</v>
      </c>
      <c r="C112" s="235">
        <v>8.916565418629635E-2</v>
      </c>
      <c r="D112" s="235">
        <f t="shared" si="1"/>
        <v>0.16350888723974349</v>
      </c>
      <c r="E112" s="235">
        <v>0.1202088872397435</v>
      </c>
      <c r="F112" s="235">
        <v>0.1</v>
      </c>
    </row>
    <row r="113" spans="1:6" ht="16">
      <c r="A113" s="233" t="s">
        <v>515</v>
      </c>
      <c r="B113" s="234" t="s">
        <v>705</v>
      </c>
      <c r="C113" s="235">
        <v>1.1873233325068186E-2</v>
      </c>
      <c r="D113" s="235">
        <f t="shared" si="1"/>
        <v>5.9306927543673421E-2</v>
      </c>
      <c r="E113" s="235">
        <v>1.6006927543673423E-2</v>
      </c>
      <c r="F113" s="235">
        <v>0.24</v>
      </c>
    </row>
    <row r="114" spans="1:6" ht="16">
      <c r="A114" s="233" t="s">
        <v>775</v>
      </c>
      <c r="B114" s="234" t="s">
        <v>704</v>
      </c>
      <c r="C114" s="235">
        <v>8.9165654186296364E-2</v>
      </c>
      <c r="D114" s="235">
        <f t="shared" si="1"/>
        <v>0.16350888723974355</v>
      </c>
      <c r="E114" s="235">
        <v>0.12020888723974354</v>
      </c>
      <c r="F114" s="235">
        <v>0.26860000000000001</v>
      </c>
    </row>
    <row r="115" spans="1:6" ht="16">
      <c r="A115" s="233" t="s">
        <v>718</v>
      </c>
      <c r="B115" s="234" t="s">
        <v>704</v>
      </c>
      <c r="C115" s="235">
        <v>8.9165654186296364E-2</v>
      </c>
      <c r="D115" s="235">
        <f t="shared" si="1"/>
        <v>0.16350888723974355</v>
      </c>
      <c r="E115" s="235">
        <v>0.12020888723974354</v>
      </c>
      <c r="F115" s="235">
        <v>0.26860000000000001</v>
      </c>
    </row>
    <row r="116" spans="1:6" ht="16">
      <c r="A116" s="233" t="s">
        <v>574</v>
      </c>
      <c r="B116" s="234" t="s">
        <v>701</v>
      </c>
      <c r="C116" s="235">
        <v>8.3811058765187203E-3</v>
      </c>
      <c r="D116" s="235">
        <f t="shared" si="1"/>
        <v>5.4599007677887119E-2</v>
      </c>
      <c r="E116" s="235">
        <v>1.1299007677887121E-2</v>
      </c>
      <c r="F116" s="235">
        <v>0.35</v>
      </c>
    </row>
    <row r="117" spans="1:6" ht="16">
      <c r="A117" s="233" t="s">
        <v>791</v>
      </c>
      <c r="B117" s="34" t="s">
        <v>778</v>
      </c>
      <c r="C117" s="227">
        <v>6.0122636258365322E-2</v>
      </c>
      <c r="D117" s="235">
        <f t="shared" si="1"/>
        <v>0.12435447404039451</v>
      </c>
      <c r="E117" s="227">
        <v>8.1054474040394509E-2</v>
      </c>
      <c r="F117" s="227">
        <v>0.25228018689443577</v>
      </c>
    </row>
    <row r="118" spans="1:6" ht="16">
      <c r="A118" s="233" t="s">
        <v>516</v>
      </c>
      <c r="B118" s="234" t="s">
        <v>695</v>
      </c>
      <c r="C118" s="235">
        <v>2.1767594429291676E-2</v>
      </c>
      <c r="D118" s="235">
        <f t="shared" si="1"/>
        <v>7.2646033830067944E-2</v>
      </c>
      <c r="E118" s="235">
        <v>2.9346033830067942E-2</v>
      </c>
      <c r="F118" s="235">
        <v>0.15</v>
      </c>
    </row>
    <row r="119" spans="1:6" ht="16">
      <c r="A119" s="233" t="s">
        <v>517</v>
      </c>
      <c r="B119" s="234" t="s">
        <v>689</v>
      </c>
      <c r="C119" s="235">
        <v>1.885748822216712E-2</v>
      </c>
      <c r="D119" s="235">
        <f t="shared" si="1"/>
        <v>6.8722767275246024E-2</v>
      </c>
      <c r="E119" s="235">
        <v>2.5422767275246023E-2</v>
      </c>
      <c r="F119" s="235">
        <v>0.3</v>
      </c>
    </row>
    <row r="120" spans="1:6" ht="16">
      <c r="A120" s="233" t="s">
        <v>518</v>
      </c>
      <c r="B120" s="34" t="s">
        <v>699</v>
      </c>
      <c r="C120" s="227">
        <v>6.4371549301595152E-2</v>
      </c>
      <c r="D120" s="235">
        <f t="shared" si="1"/>
        <v>0.13008265619266079</v>
      </c>
      <c r="E120" s="227">
        <v>8.6782656192660804E-2</v>
      </c>
      <c r="F120" s="227">
        <v>0.12</v>
      </c>
    </row>
    <row r="121" spans="1:6" ht="16">
      <c r="A121" s="233" t="s">
        <v>792</v>
      </c>
      <c r="B121" s="234" t="s">
        <v>692</v>
      </c>
      <c r="C121" s="235">
        <v>0</v>
      </c>
      <c r="D121" s="235">
        <f t="shared" si="1"/>
        <v>4.3299999999999998E-2</v>
      </c>
      <c r="E121" s="235">
        <v>0</v>
      </c>
      <c r="F121" s="235">
        <v>0.24775219614916172</v>
      </c>
    </row>
    <row r="122" spans="1:6" ht="16">
      <c r="A122" s="233" t="s">
        <v>519</v>
      </c>
      <c r="B122" s="234" t="s">
        <v>690</v>
      </c>
      <c r="C122" s="235">
        <v>5.4477188197371677E-2</v>
      </c>
      <c r="D122" s="235">
        <f t="shared" si="1"/>
        <v>0.11674354990626629</v>
      </c>
      <c r="E122" s="235">
        <v>7.3443549906266281E-2</v>
      </c>
      <c r="F122" s="235">
        <v>0.25</v>
      </c>
    </row>
    <row r="123" spans="1:6" ht="16">
      <c r="A123" s="233" t="s">
        <v>520</v>
      </c>
      <c r="B123" s="234" t="s">
        <v>687</v>
      </c>
      <c r="C123" s="235">
        <v>4.4582827093148182E-2</v>
      </c>
      <c r="D123" s="235">
        <f t="shared" si="1"/>
        <v>0.10340444361987178</v>
      </c>
      <c r="E123" s="235">
        <v>6.0104443619871772E-2</v>
      </c>
      <c r="F123" s="235">
        <v>0.15</v>
      </c>
    </row>
    <row r="124" spans="1:6" ht="16">
      <c r="A124" s="233" t="s">
        <v>607</v>
      </c>
      <c r="B124" s="234" t="s">
        <v>695</v>
      </c>
      <c r="C124" s="235">
        <v>2.1767594429291676E-2</v>
      </c>
      <c r="D124" s="235">
        <f t="shared" si="1"/>
        <v>7.2646033830067944E-2</v>
      </c>
      <c r="E124" s="235">
        <v>2.9346033830067942E-2</v>
      </c>
      <c r="F124" s="235">
        <v>0.2853</v>
      </c>
    </row>
    <row r="125" spans="1:6" ht="16">
      <c r="A125" s="233" t="s">
        <v>521</v>
      </c>
      <c r="B125" s="234" t="s">
        <v>707</v>
      </c>
      <c r="C125" s="235">
        <v>2.4794104884701216E-2</v>
      </c>
      <c r="D125" s="235">
        <f t="shared" si="1"/>
        <v>7.6726231047082732E-2</v>
      </c>
      <c r="E125" s="235">
        <v>3.3426231047082741E-2</v>
      </c>
      <c r="F125" s="235">
        <v>0.32</v>
      </c>
    </row>
    <row r="126" spans="1:6" ht="16">
      <c r="A126" s="233" t="s">
        <v>601</v>
      </c>
      <c r="B126" s="234" t="s">
        <v>704</v>
      </c>
      <c r="C126" s="235">
        <v>8.9165654186296364E-2</v>
      </c>
      <c r="D126" s="235">
        <f t="shared" si="1"/>
        <v>0.16350888723974355</v>
      </c>
      <c r="E126" s="235">
        <v>0.12020888723974354</v>
      </c>
      <c r="F126" s="235">
        <v>0.32</v>
      </c>
    </row>
    <row r="127" spans="1:6" ht="16">
      <c r="A127" s="237" t="s">
        <v>719</v>
      </c>
      <c r="B127" s="234" t="s">
        <v>778</v>
      </c>
      <c r="C127" s="235">
        <v>9.9060015290519859E-2</v>
      </c>
      <c r="D127" s="235">
        <f t="shared" si="1"/>
        <v>0.17684799352613806</v>
      </c>
      <c r="E127" s="235">
        <v>0.13354799352613805</v>
      </c>
      <c r="F127" s="235">
        <v>0.32</v>
      </c>
    </row>
    <row r="128" spans="1:6" ht="16">
      <c r="A128" s="233" t="s">
        <v>522</v>
      </c>
      <c r="B128" s="234" t="s">
        <v>687</v>
      </c>
      <c r="C128" s="235">
        <v>4.4582827093148182E-2</v>
      </c>
      <c r="D128" s="235">
        <f t="shared" si="1"/>
        <v>0.10340444361987178</v>
      </c>
      <c r="E128" s="235">
        <v>6.0104443619871772E-2</v>
      </c>
      <c r="F128" s="235">
        <v>0.32</v>
      </c>
    </row>
    <row r="129" spans="1:6" ht="16">
      <c r="A129" s="233" t="s">
        <v>876</v>
      </c>
      <c r="B129" s="234" t="s">
        <v>696</v>
      </c>
      <c r="C129" s="235">
        <v>3.5619699975204554E-2</v>
      </c>
      <c r="D129" s="235">
        <f t="shared" si="1"/>
        <v>9.1320782631020253E-2</v>
      </c>
      <c r="E129" s="235">
        <v>4.8020782631020255E-2</v>
      </c>
      <c r="F129" s="235">
        <v>0.25</v>
      </c>
    </row>
    <row r="130" spans="1:6" ht="16">
      <c r="A130" s="233" t="s">
        <v>575</v>
      </c>
      <c r="B130" s="34" t="s">
        <v>692</v>
      </c>
      <c r="C130" s="227">
        <v>0</v>
      </c>
      <c r="D130" s="235">
        <f t="shared" si="1"/>
        <v>4.3299999999999998E-2</v>
      </c>
      <c r="E130" s="227">
        <v>0</v>
      </c>
      <c r="F130" s="227">
        <v>0.25800000000000001</v>
      </c>
    </row>
    <row r="131" spans="1:6" ht="16">
      <c r="A131" s="233" t="s">
        <v>793</v>
      </c>
      <c r="B131" s="234" t="s">
        <v>778</v>
      </c>
      <c r="C131" s="235">
        <v>6.0122636258365322E-2</v>
      </c>
      <c r="D131" s="235">
        <f t="shared" si="1"/>
        <v>0.12435447404039451</v>
      </c>
      <c r="E131" s="235">
        <v>8.1054474040394509E-2</v>
      </c>
      <c r="F131" s="235">
        <v>0.25228018689443577</v>
      </c>
    </row>
    <row r="132" spans="1:6" ht="16">
      <c r="A132" s="233" t="s">
        <v>523</v>
      </c>
      <c r="B132" s="234" t="s">
        <v>692</v>
      </c>
      <c r="C132" s="235">
        <v>0</v>
      </c>
      <c r="D132" s="235">
        <f t="shared" si="1"/>
        <v>4.3299999999999998E-2</v>
      </c>
      <c r="E132" s="235">
        <v>0</v>
      </c>
      <c r="F132" s="235">
        <v>0.28000000000000003</v>
      </c>
    </row>
    <row r="133" spans="1:6" ht="16">
      <c r="A133" s="233" t="s">
        <v>524</v>
      </c>
      <c r="B133" s="234" t="s">
        <v>690</v>
      </c>
      <c r="C133" s="235">
        <v>5.4477188197371677E-2</v>
      </c>
      <c r="D133" s="235">
        <f t="shared" si="1"/>
        <v>0.11674354990626629</v>
      </c>
      <c r="E133" s="235">
        <v>7.3443549906266281E-2</v>
      </c>
      <c r="F133" s="235">
        <v>0.3</v>
      </c>
    </row>
    <row r="134" spans="1:6" ht="16">
      <c r="A134" s="233" t="s">
        <v>720</v>
      </c>
      <c r="B134" s="234" t="s">
        <v>771</v>
      </c>
      <c r="C134" s="235">
        <v>9.9060015290519873E-2</v>
      </c>
      <c r="D134" s="235">
        <f t="shared" ref="D134:D195" si="2">$B$1+E134</f>
        <v>0.17684799352613806</v>
      </c>
      <c r="E134" s="235">
        <v>0.13354799352613805</v>
      </c>
      <c r="F134" s="235">
        <v>0.26860000000000001</v>
      </c>
    </row>
    <row r="135" spans="1:6" ht="16">
      <c r="A135" s="233" t="s">
        <v>576</v>
      </c>
      <c r="B135" s="234" t="s">
        <v>697</v>
      </c>
      <c r="C135" s="235">
        <v>7.4265910405818647E-2</v>
      </c>
      <c r="D135" s="235">
        <f t="shared" si="2"/>
        <v>0.1434217624790553</v>
      </c>
      <c r="E135" s="235">
        <v>0.10012176247905531</v>
      </c>
      <c r="F135" s="235">
        <v>0.3</v>
      </c>
    </row>
    <row r="136" spans="1:6" ht="16">
      <c r="A136" s="233" t="s">
        <v>525</v>
      </c>
      <c r="B136" s="234" t="s">
        <v>692</v>
      </c>
      <c r="C136" s="235">
        <v>0</v>
      </c>
      <c r="D136" s="235">
        <f t="shared" si="2"/>
        <v>4.3299999999999998E-2</v>
      </c>
      <c r="E136" s="235">
        <v>0</v>
      </c>
      <c r="F136" s="235">
        <v>0.22</v>
      </c>
    </row>
    <row r="137" spans="1:6" ht="16">
      <c r="A137" s="233" t="s">
        <v>526</v>
      </c>
      <c r="B137" s="234" t="s">
        <v>707</v>
      </c>
      <c r="C137" s="235">
        <v>2.4794104884701216E-2</v>
      </c>
      <c r="D137" s="235">
        <f t="shared" si="2"/>
        <v>7.6726231047082732E-2</v>
      </c>
      <c r="E137" s="235">
        <v>3.3426231047082741E-2</v>
      </c>
      <c r="F137" s="235">
        <v>0.15</v>
      </c>
    </row>
    <row r="138" spans="1:6" ht="16">
      <c r="A138" s="233" t="s">
        <v>527</v>
      </c>
      <c r="B138" s="34" t="s">
        <v>704</v>
      </c>
      <c r="C138" s="227">
        <v>8.9165654186296364E-2</v>
      </c>
      <c r="D138" s="235">
        <f t="shared" si="2"/>
        <v>0.16350888723974355</v>
      </c>
      <c r="E138" s="227">
        <v>0.12020888723974354</v>
      </c>
      <c r="F138" s="227">
        <v>0.28999999999999998</v>
      </c>
    </row>
    <row r="139" spans="1:6" ht="16">
      <c r="A139" s="233" t="s">
        <v>794</v>
      </c>
      <c r="B139" s="234" t="s">
        <v>778</v>
      </c>
      <c r="C139" s="235">
        <v>0.17499999999999999</v>
      </c>
      <c r="D139" s="235">
        <f t="shared" si="2"/>
        <v>0.27922666323069684</v>
      </c>
      <c r="E139" s="235">
        <v>0.23592666323069683</v>
      </c>
      <c r="F139" s="235">
        <v>0.17</v>
      </c>
    </row>
    <row r="140" spans="1:6" ht="16">
      <c r="A140" s="233" t="s">
        <v>528</v>
      </c>
      <c r="B140" s="234" t="s">
        <v>695</v>
      </c>
      <c r="C140" s="235">
        <v>2.1767594429291676E-2</v>
      </c>
      <c r="D140" s="235">
        <f t="shared" si="2"/>
        <v>7.2646033830067944E-2</v>
      </c>
      <c r="E140" s="235">
        <v>2.9346033830067942E-2</v>
      </c>
      <c r="F140" s="235">
        <v>0.25</v>
      </c>
    </row>
    <row r="141" spans="1:6" ht="16">
      <c r="A141" s="233" t="s">
        <v>529</v>
      </c>
      <c r="B141" s="234" t="s">
        <v>690</v>
      </c>
      <c r="C141" s="235">
        <v>5.4477188197371677E-2</v>
      </c>
      <c r="D141" s="235">
        <f t="shared" si="2"/>
        <v>0.11674354990626629</v>
      </c>
      <c r="E141" s="235">
        <v>7.3443549906266281E-2</v>
      </c>
      <c r="F141" s="235">
        <v>0.3</v>
      </c>
    </row>
    <row r="142" spans="1:6" ht="16">
      <c r="A142" s="233" t="s">
        <v>530</v>
      </c>
      <c r="B142" s="234" t="s">
        <v>695</v>
      </c>
      <c r="C142" s="235">
        <v>2.1767594429291676E-2</v>
      </c>
      <c r="D142" s="235">
        <f t="shared" si="2"/>
        <v>7.2646033830067944E-2</v>
      </c>
      <c r="E142" s="235">
        <v>2.9346033830067942E-2</v>
      </c>
      <c r="F142" s="235">
        <v>0.1</v>
      </c>
    </row>
    <row r="143" spans="1:6" ht="16">
      <c r="A143" s="233" t="s">
        <v>531</v>
      </c>
      <c r="B143" s="234" t="s">
        <v>691</v>
      </c>
      <c r="C143" s="235">
        <v>1.5830977766757577E-2</v>
      </c>
      <c r="D143" s="235">
        <f t="shared" si="2"/>
        <v>6.4642570058231222E-2</v>
      </c>
      <c r="E143" s="235">
        <v>2.134257005823122E-2</v>
      </c>
      <c r="F143" s="235">
        <v>0.29499999999999998</v>
      </c>
    </row>
    <row r="144" spans="1:6" ht="16">
      <c r="A144" s="233" t="s">
        <v>532</v>
      </c>
      <c r="B144" s="234" t="s">
        <v>689</v>
      </c>
      <c r="C144" s="235">
        <v>1.885748822216712E-2</v>
      </c>
      <c r="D144" s="235">
        <f t="shared" si="2"/>
        <v>6.8722767275246024E-2</v>
      </c>
      <c r="E144" s="235">
        <v>2.5422767275246023E-2</v>
      </c>
      <c r="F144" s="235">
        <v>0.25</v>
      </c>
    </row>
    <row r="145" spans="1:6" ht="16">
      <c r="A145" s="233" t="s">
        <v>533</v>
      </c>
      <c r="B145" s="234" t="s">
        <v>701</v>
      </c>
      <c r="C145" s="235">
        <v>8.3811058765187203E-3</v>
      </c>
      <c r="D145" s="235">
        <f t="shared" si="2"/>
        <v>5.4599007677887119E-2</v>
      </c>
      <c r="E145" s="235">
        <v>1.1299007677887121E-2</v>
      </c>
      <c r="F145" s="235">
        <v>0.19</v>
      </c>
    </row>
    <row r="146" spans="1:6" ht="16">
      <c r="A146" s="233" t="s">
        <v>577</v>
      </c>
      <c r="B146" s="234" t="s">
        <v>705</v>
      </c>
      <c r="C146" s="235">
        <v>1.1873233325068186E-2</v>
      </c>
      <c r="D146" s="235">
        <f t="shared" si="2"/>
        <v>5.9306927543673421E-2</v>
      </c>
      <c r="E146" s="235">
        <v>1.6006927543673423E-2</v>
      </c>
      <c r="F146" s="235">
        <v>0.21</v>
      </c>
    </row>
    <row r="147" spans="1:6" ht="16">
      <c r="A147" s="233" t="s">
        <v>534</v>
      </c>
      <c r="B147" s="234" t="s">
        <v>686</v>
      </c>
      <c r="C147" s="235">
        <v>4.8889784279692525E-3</v>
      </c>
      <c r="D147" s="235">
        <f t="shared" si="2"/>
        <v>4.9891087812100818E-2</v>
      </c>
      <c r="E147" s="235">
        <v>6.5910878121008187E-3</v>
      </c>
      <c r="F147" s="235">
        <v>0.1</v>
      </c>
    </row>
    <row r="148" spans="1:6" ht="16">
      <c r="A148" s="233" t="s">
        <v>621</v>
      </c>
      <c r="B148" s="34" t="s">
        <v>705</v>
      </c>
      <c r="C148" s="227">
        <v>1.1873233325068186E-2</v>
      </c>
      <c r="D148" s="235">
        <f t="shared" si="2"/>
        <v>5.9306927543673421E-2</v>
      </c>
      <c r="E148" s="227">
        <v>1.6006927543673423E-2</v>
      </c>
      <c r="F148" s="227">
        <v>0</v>
      </c>
    </row>
    <row r="149" spans="1:6" ht="16">
      <c r="A149" s="233" t="s">
        <v>795</v>
      </c>
      <c r="B149" s="234" t="s">
        <v>778</v>
      </c>
      <c r="C149" s="235">
        <v>1.0708616059682126E-2</v>
      </c>
      <c r="D149" s="235">
        <f t="shared" si="2"/>
        <v>5.7736846027311189E-2</v>
      </c>
      <c r="E149" s="235">
        <v>1.4436846027311188E-2</v>
      </c>
      <c r="F149" s="235">
        <v>0.2534417911673511</v>
      </c>
    </row>
    <row r="150" spans="1:6" ht="16">
      <c r="A150" s="233" t="s">
        <v>535</v>
      </c>
      <c r="B150" s="234" t="s">
        <v>695</v>
      </c>
      <c r="C150" s="235">
        <v>2.1767594429291676E-2</v>
      </c>
      <c r="D150" s="235">
        <f t="shared" si="2"/>
        <v>7.2646033830067944E-2</v>
      </c>
      <c r="E150" s="235">
        <v>2.9346033830067942E-2</v>
      </c>
      <c r="F150" s="235">
        <v>0.16</v>
      </c>
    </row>
    <row r="151" spans="1:6" ht="16">
      <c r="A151" s="233" t="s">
        <v>536</v>
      </c>
      <c r="B151" s="234" t="s">
        <v>778</v>
      </c>
      <c r="C151" s="235">
        <v>2.9799487560955448E-2</v>
      </c>
      <c r="D151" s="235">
        <f t="shared" si="2"/>
        <v>8.3474249521376429E-2</v>
      </c>
      <c r="E151" s="235">
        <v>4.017424952137643E-2</v>
      </c>
      <c r="F151" s="235">
        <v>0.2</v>
      </c>
    </row>
    <row r="152" spans="1:6" ht="16">
      <c r="A152" s="233" t="s">
        <v>602</v>
      </c>
      <c r="B152" s="34" t="s">
        <v>690</v>
      </c>
      <c r="C152" s="227">
        <v>5.4477188197371677E-2</v>
      </c>
      <c r="D152" s="235">
        <f t="shared" si="2"/>
        <v>0.11674354990626629</v>
      </c>
      <c r="E152" s="227">
        <v>7.3443549906266281E-2</v>
      </c>
      <c r="F152" s="227">
        <v>0.3</v>
      </c>
    </row>
    <row r="153" spans="1:6" ht="16">
      <c r="A153" s="233" t="s">
        <v>796</v>
      </c>
      <c r="B153" s="234" t="s">
        <v>778</v>
      </c>
      <c r="C153" s="235">
        <v>6.0122636258365322E-2</v>
      </c>
      <c r="D153" s="235">
        <f t="shared" si="2"/>
        <v>0.12435447404039451</v>
      </c>
      <c r="E153" s="235">
        <v>8.1054474040394509E-2</v>
      </c>
      <c r="F153" s="235">
        <v>0.25228018689443577</v>
      </c>
    </row>
    <row r="154" spans="1:6" ht="16">
      <c r="A154" s="233" t="s">
        <v>537</v>
      </c>
      <c r="B154" s="234" t="s">
        <v>698</v>
      </c>
      <c r="C154" s="235">
        <v>5.9366166625340932E-3</v>
      </c>
      <c r="D154" s="235">
        <f t="shared" si="2"/>
        <v>5.1303463771836713E-2</v>
      </c>
      <c r="E154" s="235">
        <v>8.0034637718367115E-3</v>
      </c>
      <c r="F154" s="235">
        <v>0.2</v>
      </c>
    </row>
    <row r="155" spans="1:6" ht="16">
      <c r="A155" s="233" t="s">
        <v>538</v>
      </c>
      <c r="B155" s="234" t="s">
        <v>687</v>
      </c>
      <c r="C155" s="235">
        <v>4.4582827093148182E-2</v>
      </c>
      <c r="D155" s="235">
        <f t="shared" si="2"/>
        <v>0.10340444361987178</v>
      </c>
      <c r="E155" s="235">
        <v>6.0104443619871772E-2</v>
      </c>
      <c r="F155" s="235">
        <v>0.3</v>
      </c>
    </row>
    <row r="156" spans="1:6" ht="16">
      <c r="A156" s="233" t="s">
        <v>609</v>
      </c>
      <c r="B156" s="234" t="s">
        <v>694</v>
      </c>
      <c r="C156" s="235">
        <v>2.9799487560955448E-2</v>
      </c>
      <c r="D156" s="235">
        <f t="shared" si="2"/>
        <v>8.3474249521376429E-2</v>
      </c>
      <c r="E156" s="235">
        <v>4.017424952137643E-2</v>
      </c>
      <c r="F156" s="235">
        <v>0.15</v>
      </c>
    </row>
    <row r="157" spans="1:6" ht="16">
      <c r="A157" s="236" t="s">
        <v>622</v>
      </c>
      <c r="B157" s="234" t="s">
        <v>707</v>
      </c>
      <c r="C157" s="235">
        <v>2.4794104884701216E-2</v>
      </c>
      <c r="D157" s="235">
        <f t="shared" si="2"/>
        <v>7.6726231047082732E-2</v>
      </c>
      <c r="E157" s="235">
        <v>3.3426231047082741E-2</v>
      </c>
      <c r="F157" s="235">
        <v>0</v>
      </c>
    </row>
    <row r="158" spans="1:6" ht="16">
      <c r="A158" s="233" t="s">
        <v>721</v>
      </c>
      <c r="B158" s="234" t="s">
        <v>778</v>
      </c>
      <c r="C158" s="235">
        <v>8.916565418629635E-2</v>
      </c>
      <c r="D158" s="235">
        <f t="shared" si="2"/>
        <v>0.16350888723974349</v>
      </c>
      <c r="E158" s="235">
        <v>0.1202088872397435</v>
      </c>
      <c r="F158" s="235">
        <v>0</v>
      </c>
    </row>
    <row r="159" spans="1:6" ht="16">
      <c r="A159" s="233" t="s">
        <v>539</v>
      </c>
      <c r="B159" s="234" t="s">
        <v>692</v>
      </c>
      <c r="C159" s="235">
        <v>0</v>
      </c>
      <c r="D159" s="235">
        <f t="shared" si="2"/>
        <v>4.3299999999999998E-2</v>
      </c>
      <c r="E159" s="235">
        <v>0</v>
      </c>
      <c r="F159" s="235">
        <v>0.17</v>
      </c>
    </row>
    <row r="160" spans="1:6" ht="16">
      <c r="A160" s="233" t="s">
        <v>540</v>
      </c>
      <c r="B160" s="234" t="s">
        <v>705</v>
      </c>
      <c r="C160" s="235">
        <v>1.1873233325068186E-2</v>
      </c>
      <c r="D160" s="235">
        <f t="shared" si="2"/>
        <v>5.9306927543673421E-2</v>
      </c>
      <c r="E160" s="235">
        <v>1.6006927543673423E-2</v>
      </c>
      <c r="F160" s="235">
        <v>0.21</v>
      </c>
    </row>
    <row r="161" spans="1:6" ht="16">
      <c r="A161" s="233" t="s">
        <v>578</v>
      </c>
      <c r="B161" s="234" t="s">
        <v>705</v>
      </c>
      <c r="C161" s="235">
        <v>1.1873233325068186E-2</v>
      </c>
      <c r="D161" s="235">
        <f t="shared" si="2"/>
        <v>5.9306927543673421E-2</v>
      </c>
      <c r="E161" s="235">
        <v>1.6006927543673423E-2</v>
      </c>
      <c r="F161" s="235">
        <v>0.19</v>
      </c>
    </row>
    <row r="162" spans="1:6" ht="16">
      <c r="A162" s="237" t="s">
        <v>722</v>
      </c>
      <c r="B162" s="234" t="s">
        <v>697</v>
      </c>
      <c r="C162" s="235">
        <v>7.4265910405818647E-2</v>
      </c>
      <c r="D162" s="235">
        <f t="shared" si="2"/>
        <v>0.1434217624790553</v>
      </c>
      <c r="E162" s="235">
        <v>0.10012176247905531</v>
      </c>
      <c r="F162" s="235">
        <v>0.3</v>
      </c>
    </row>
    <row r="163" spans="1:6" ht="16">
      <c r="A163" s="233" t="s">
        <v>723</v>
      </c>
      <c r="B163" s="234" t="s">
        <v>778</v>
      </c>
      <c r="C163" s="235">
        <v>9.9060015290519859E-2</v>
      </c>
      <c r="D163" s="235">
        <f t="shared" si="2"/>
        <v>0.17684799352613806</v>
      </c>
      <c r="E163" s="235">
        <v>0.13354799352613805</v>
      </c>
      <c r="F163" s="235">
        <v>0.3</v>
      </c>
    </row>
    <row r="164" spans="1:6" ht="16">
      <c r="A164" s="233" t="s">
        <v>541</v>
      </c>
      <c r="B164" s="234" t="s">
        <v>694</v>
      </c>
      <c r="C164" s="235">
        <v>2.9799487560955448E-2</v>
      </c>
      <c r="D164" s="235">
        <f t="shared" si="2"/>
        <v>8.3474249521376429E-2</v>
      </c>
      <c r="E164" s="235">
        <v>4.017424952137643E-2</v>
      </c>
      <c r="F164" s="235">
        <v>0.27</v>
      </c>
    </row>
    <row r="165" spans="1:6" ht="16">
      <c r="A165" s="233" t="s">
        <v>797</v>
      </c>
      <c r="B165" s="234" t="s">
        <v>686</v>
      </c>
      <c r="C165" s="235">
        <v>4.8889784279692525E-3</v>
      </c>
      <c r="D165" s="235">
        <f t="shared" si="2"/>
        <v>4.9891087812100818E-2</v>
      </c>
      <c r="E165" s="235">
        <v>6.5910878121008187E-3</v>
      </c>
      <c r="F165" s="235">
        <v>0.25</v>
      </c>
    </row>
    <row r="166" spans="1:6" ht="16">
      <c r="A166" s="233" t="s">
        <v>542</v>
      </c>
      <c r="B166" s="234" t="s">
        <v>691</v>
      </c>
      <c r="C166" s="235">
        <v>1.5830977766757577E-2</v>
      </c>
      <c r="D166" s="235">
        <f t="shared" si="2"/>
        <v>6.4642570058231222E-2</v>
      </c>
      <c r="E166" s="235">
        <v>2.134257005823122E-2</v>
      </c>
      <c r="F166" s="235">
        <v>0.25</v>
      </c>
    </row>
    <row r="167" spans="1:6" ht="16">
      <c r="A167" s="233" t="s">
        <v>543</v>
      </c>
      <c r="B167" s="234" t="s">
        <v>770</v>
      </c>
      <c r="C167" s="235">
        <v>0.11884873749896685</v>
      </c>
      <c r="D167" s="235">
        <f t="shared" si="2"/>
        <v>0.2035262060989271</v>
      </c>
      <c r="E167" s="235">
        <v>0.1602262060989271</v>
      </c>
      <c r="F167" s="235">
        <v>0.24</v>
      </c>
    </row>
    <row r="168" spans="1:6" ht="16">
      <c r="A168" s="233" t="s">
        <v>579</v>
      </c>
      <c r="B168" s="234" t="s">
        <v>694</v>
      </c>
      <c r="C168" s="235">
        <v>2.9799487560955448E-2</v>
      </c>
      <c r="D168" s="235">
        <f t="shared" si="2"/>
        <v>8.3474249521376429E-2</v>
      </c>
      <c r="E168" s="235">
        <v>4.017424952137643E-2</v>
      </c>
      <c r="F168" s="235">
        <v>0.2853</v>
      </c>
    </row>
    <row r="169" spans="1:6" ht="16">
      <c r="A169" s="236" t="s">
        <v>544</v>
      </c>
      <c r="B169" s="234" t="s">
        <v>699</v>
      </c>
      <c r="C169" s="235">
        <v>6.4371549301595152E-2</v>
      </c>
      <c r="D169" s="235">
        <f t="shared" si="2"/>
        <v>0.13008265619266079</v>
      </c>
      <c r="E169" s="235">
        <v>8.6782656192660804E-2</v>
      </c>
      <c r="F169" s="235">
        <v>0.2853</v>
      </c>
    </row>
    <row r="170" spans="1:6" ht="16">
      <c r="A170" s="233" t="s">
        <v>724</v>
      </c>
      <c r="B170" s="234" t="s">
        <v>778</v>
      </c>
      <c r="C170" s="235">
        <v>0.17499999999999999</v>
      </c>
      <c r="D170" s="235">
        <f t="shared" si="2"/>
        <v>0.27922666323069684</v>
      </c>
      <c r="E170" s="235">
        <v>0.23592666323069683</v>
      </c>
      <c r="F170" s="235">
        <v>0.2853</v>
      </c>
    </row>
    <row r="171" spans="1:6" ht="16">
      <c r="A171" s="233" t="s">
        <v>545</v>
      </c>
      <c r="B171" s="234" t="s">
        <v>697</v>
      </c>
      <c r="C171" s="235">
        <v>7.4265910405818647E-2</v>
      </c>
      <c r="D171" s="235">
        <f t="shared" si="2"/>
        <v>0.1434217624790553</v>
      </c>
      <c r="E171" s="235">
        <v>0.10012176247905531</v>
      </c>
      <c r="F171" s="235">
        <v>0.36</v>
      </c>
    </row>
    <row r="172" spans="1:6" ht="16">
      <c r="A172" s="233" t="s">
        <v>725</v>
      </c>
      <c r="B172" s="234" t="s">
        <v>690</v>
      </c>
      <c r="C172" s="235">
        <v>5.4477188197371677E-2</v>
      </c>
      <c r="D172" s="235">
        <f t="shared" si="2"/>
        <v>0.11674354990626629</v>
      </c>
      <c r="E172" s="235">
        <v>7.3443549906266281E-2</v>
      </c>
      <c r="F172" s="235">
        <v>0.27500000000000002</v>
      </c>
    </row>
    <row r="173" spans="1:6" ht="16">
      <c r="A173" s="233" t="s">
        <v>546</v>
      </c>
      <c r="B173" s="234" t="s">
        <v>692</v>
      </c>
      <c r="C173" s="235">
        <v>0</v>
      </c>
      <c r="D173" s="235">
        <f t="shared" si="2"/>
        <v>4.3299999999999998E-2</v>
      </c>
      <c r="E173" s="235">
        <v>0</v>
      </c>
      <c r="F173" s="235">
        <v>0.20600000000000002</v>
      </c>
    </row>
    <row r="174" spans="1:6" ht="16">
      <c r="A174" s="237" t="s">
        <v>547</v>
      </c>
      <c r="B174" s="234" t="s">
        <v>692</v>
      </c>
      <c r="C174" s="235">
        <v>0</v>
      </c>
      <c r="D174" s="235">
        <f t="shared" si="2"/>
        <v>4.3299999999999998E-2</v>
      </c>
      <c r="E174" s="235">
        <v>0</v>
      </c>
      <c r="F174" s="235">
        <v>0.14599999999999999</v>
      </c>
    </row>
    <row r="175" spans="1:6" ht="16">
      <c r="A175" s="233" t="s">
        <v>726</v>
      </c>
      <c r="B175" s="234" t="s">
        <v>778</v>
      </c>
      <c r="C175" s="235">
        <v>0.17499999999999999</v>
      </c>
      <c r="D175" s="235">
        <f t="shared" si="2"/>
        <v>0.27922666323069684</v>
      </c>
      <c r="E175" s="235">
        <v>0.23592666323069683</v>
      </c>
      <c r="F175" s="235">
        <v>0.14599999999999999</v>
      </c>
    </row>
    <row r="176" spans="1:6" ht="16">
      <c r="A176" s="233" t="s">
        <v>548</v>
      </c>
      <c r="B176" s="234" t="s">
        <v>698</v>
      </c>
      <c r="C176" s="235">
        <v>5.9366166625340932E-3</v>
      </c>
      <c r="D176" s="235">
        <f t="shared" si="2"/>
        <v>5.1303463771836713E-2</v>
      </c>
      <c r="E176" s="235">
        <v>8.0034637718367115E-3</v>
      </c>
      <c r="F176" s="235">
        <v>0.2</v>
      </c>
    </row>
    <row r="177" spans="1:6" ht="16">
      <c r="A177" s="233" t="s">
        <v>727</v>
      </c>
      <c r="B177" s="234" t="s">
        <v>699</v>
      </c>
      <c r="C177" s="235">
        <v>6.4371549301595152E-2</v>
      </c>
      <c r="D177" s="235">
        <f t="shared" si="2"/>
        <v>0.13008265619266079</v>
      </c>
      <c r="E177" s="235">
        <v>8.6782656192660804E-2</v>
      </c>
      <c r="F177" s="235">
        <v>0.18</v>
      </c>
    </row>
    <row r="178" spans="1:6" ht="16">
      <c r="A178" s="233" t="s">
        <v>728</v>
      </c>
      <c r="B178" s="234" t="s">
        <v>687</v>
      </c>
      <c r="C178" s="235">
        <v>4.4582827093148182E-2</v>
      </c>
      <c r="D178" s="235">
        <f t="shared" si="2"/>
        <v>0.10340444361987178</v>
      </c>
      <c r="E178" s="235">
        <v>6.0104443619871772E-2</v>
      </c>
      <c r="F178" s="235">
        <v>0.3</v>
      </c>
    </row>
    <row r="179" spans="1:6" ht="16">
      <c r="A179" s="233" t="s">
        <v>549</v>
      </c>
      <c r="B179" s="234" t="s">
        <v>691</v>
      </c>
      <c r="C179" s="235">
        <v>1.5830977766757577E-2</v>
      </c>
      <c r="D179" s="235">
        <f t="shared" si="2"/>
        <v>6.4642570058231222E-2</v>
      </c>
      <c r="E179" s="235">
        <v>2.134257005823122E-2</v>
      </c>
      <c r="F179" s="235">
        <v>0.2</v>
      </c>
    </row>
    <row r="180" spans="1:6" ht="16">
      <c r="A180" s="233" t="s">
        <v>729</v>
      </c>
      <c r="B180" s="234" t="s">
        <v>699</v>
      </c>
      <c r="C180" s="235">
        <v>6.4371549301595152E-2</v>
      </c>
      <c r="D180" s="235">
        <f t="shared" si="2"/>
        <v>0.13008265619266079</v>
      </c>
      <c r="E180" s="235">
        <v>8.6782656192660804E-2</v>
      </c>
      <c r="F180" s="235">
        <v>0.26860000000000001</v>
      </c>
    </row>
    <row r="181" spans="1:6" ht="16">
      <c r="A181" s="233" t="s">
        <v>798</v>
      </c>
      <c r="B181" s="234" t="s">
        <v>694</v>
      </c>
      <c r="C181" s="235">
        <v>2.9799487560955448E-2</v>
      </c>
      <c r="D181" s="235">
        <f t="shared" si="2"/>
        <v>8.3474249521376429E-2</v>
      </c>
      <c r="E181" s="235">
        <v>4.017424952137643E-2</v>
      </c>
      <c r="F181" s="235">
        <v>0.3</v>
      </c>
    </row>
    <row r="182" spans="1:6" ht="16">
      <c r="A182" s="233" t="s">
        <v>550</v>
      </c>
      <c r="B182" s="234" t="s">
        <v>704</v>
      </c>
      <c r="C182" s="235">
        <v>8.9165654186296364E-2</v>
      </c>
      <c r="D182" s="235">
        <f t="shared" si="2"/>
        <v>0.16350888723974355</v>
      </c>
      <c r="E182" s="235">
        <v>0.12020888723974354</v>
      </c>
      <c r="F182" s="235">
        <v>0.15</v>
      </c>
    </row>
    <row r="183" spans="1:6" ht="16">
      <c r="A183" s="239" t="s">
        <v>551</v>
      </c>
      <c r="B183" s="234" t="s">
        <v>687</v>
      </c>
      <c r="C183" s="235">
        <v>4.4582827093148182E-2</v>
      </c>
      <c r="D183" s="235">
        <f t="shared" si="2"/>
        <v>0.10340444361987178</v>
      </c>
      <c r="E183" s="235">
        <v>6.0104443619871772E-2</v>
      </c>
      <c r="F183" s="235">
        <v>0.25</v>
      </c>
    </row>
    <row r="184" spans="1:6" ht="16">
      <c r="A184" s="233" t="s">
        <v>799</v>
      </c>
      <c r="B184" s="234" t="s">
        <v>691</v>
      </c>
      <c r="C184" s="235">
        <v>1.5830977766757577E-2</v>
      </c>
      <c r="D184" s="235">
        <f t="shared" si="2"/>
        <v>6.4642570058231222E-2</v>
      </c>
      <c r="E184" s="235">
        <v>2.134257005823122E-2</v>
      </c>
      <c r="F184" s="235">
        <v>0</v>
      </c>
    </row>
    <row r="185" spans="1:6" ht="16">
      <c r="A185" s="233" t="s">
        <v>603</v>
      </c>
      <c r="B185" s="234" t="s">
        <v>699</v>
      </c>
      <c r="C185" s="235">
        <v>6.4371549301595152E-2</v>
      </c>
      <c r="D185" s="235">
        <f t="shared" si="2"/>
        <v>0.13008265619266079</v>
      </c>
      <c r="E185" s="235">
        <v>8.6782656192660804E-2</v>
      </c>
      <c r="F185" s="235">
        <v>0.3</v>
      </c>
    </row>
    <row r="186" spans="1:6" ht="16">
      <c r="A186" s="233" t="s">
        <v>552</v>
      </c>
      <c r="B186" s="234" t="s">
        <v>770</v>
      </c>
      <c r="C186" s="235">
        <v>0.11884873749896685</v>
      </c>
      <c r="D186" s="235">
        <f t="shared" si="2"/>
        <v>0.2035262060989271</v>
      </c>
      <c r="E186" s="235">
        <v>0.1602262060989271</v>
      </c>
      <c r="F186" s="235">
        <v>0.18</v>
      </c>
    </row>
    <row r="187" spans="1:6" ht="16">
      <c r="A187" s="233" t="s">
        <v>553</v>
      </c>
      <c r="B187" s="234" t="s">
        <v>686</v>
      </c>
      <c r="C187" s="235">
        <v>4.8889784279692525E-3</v>
      </c>
      <c r="D187" s="235">
        <f t="shared" si="2"/>
        <v>4.9891087812100818E-2</v>
      </c>
      <c r="E187" s="235">
        <v>6.5910878121008187E-3</v>
      </c>
      <c r="F187" s="235">
        <v>0.25</v>
      </c>
    </row>
    <row r="188" spans="1:6" ht="16">
      <c r="A188" s="233" t="s">
        <v>554</v>
      </c>
      <c r="B188" s="234" t="s">
        <v>698</v>
      </c>
      <c r="C188" s="235">
        <v>5.9366166625340932E-3</v>
      </c>
      <c r="D188" s="235">
        <f t="shared" si="2"/>
        <v>5.1303463771836713E-2</v>
      </c>
      <c r="E188" s="235">
        <v>8.0034637718367115E-3</v>
      </c>
      <c r="F188" s="235">
        <v>0.25</v>
      </c>
    </row>
    <row r="189" spans="1:6" ht="16">
      <c r="A189" s="233" t="s">
        <v>653</v>
      </c>
      <c r="B189" s="234" t="s">
        <v>692</v>
      </c>
      <c r="C189" s="235">
        <v>0</v>
      </c>
      <c r="D189" s="235">
        <f t="shared" si="2"/>
        <v>4.3299999999999998E-2</v>
      </c>
      <c r="E189" s="235">
        <v>0</v>
      </c>
      <c r="F189" s="235">
        <v>0.25</v>
      </c>
    </row>
    <row r="190" spans="1:6" ht="16">
      <c r="A190" s="233" t="s">
        <v>555</v>
      </c>
      <c r="B190" s="234" t="s">
        <v>691</v>
      </c>
      <c r="C190" s="235">
        <v>1.5830977766757577E-2</v>
      </c>
      <c r="D190" s="235">
        <f t="shared" si="2"/>
        <v>6.4642570058231222E-2</v>
      </c>
      <c r="E190" s="235">
        <v>2.134257005823122E-2</v>
      </c>
      <c r="F190" s="235">
        <v>0.25</v>
      </c>
    </row>
    <row r="191" spans="1:6" ht="16">
      <c r="A191" s="233" t="s">
        <v>776</v>
      </c>
      <c r="B191" s="234" t="s">
        <v>696</v>
      </c>
      <c r="C191" s="235">
        <v>3.5619699975204554E-2</v>
      </c>
      <c r="D191" s="235">
        <f t="shared" si="2"/>
        <v>9.1320782631020253E-2</v>
      </c>
      <c r="E191" s="235">
        <v>4.8020782631020255E-2</v>
      </c>
      <c r="F191" s="235">
        <v>0.15</v>
      </c>
    </row>
    <row r="192" spans="1:6" ht="16">
      <c r="A192" s="233" t="s">
        <v>556</v>
      </c>
      <c r="B192" s="234" t="s">
        <v>740</v>
      </c>
      <c r="C192" s="235">
        <v>0.17499999999999999</v>
      </c>
      <c r="D192" s="235">
        <f t="shared" si="2"/>
        <v>0.27922666323069684</v>
      </c>
      <c r="E192" s="235">
        <v>0.23592666323069683</v>
      </c>
      <c r="F192" s="235">
        <v>0.34</v>
      </c>
    </row>
    <row r="193" spans="1:6" ht="16">
      <c r="A193" s="236" t="s">
        <v>557</v>
      </c>
      <c r="B193" s="234" t="s">
        <v>694</v>
      </c>
      <c r="C193" s="235">
        <v>2.9799487560955448E-2</v>
      </c>
      <c r="D193" s="235">
        <f t="shared" si="2"/>
        <v>8.3474249521376429E-2</v>
      </c>
      <c r="E193" s="235">
        <v>4.017424952137643E-2</v>
      </c>
      <c r="F193" s="235">
        <v>0.2</v>
      </c>
    </row>
    <row r="194" spans="1:6" ht="16">
      <c r="A194" s="233" t="s">
        <v>800</v>
      </c>
      <c r="B194" s="234" t="s">
        <v>778</v>
      </c>
      <c r="C194" s="235">
        <v>0.11884873749896685</v>
      </c>
      <c r="D194" s="235">
        <f t="shared" si="2"/>
        <v>0.2035262060989271</v>
      </c>
      <c r="E194" s="235">
        <v>0.1602262060989271</v>
      </c>
      <c r="F194" s="235">
        <v>0.2</v>
      </c>
    </row>
    <row r="195" spans="1:6" ht="16">
      <c r="A195" s="237" t="s">
        <v>580</v>
      </c>
      <c r="B195" s="234" t="s">
        <v>704</v>
      </c>
      <c r="C195" s="235">
        <v>8.9165654186296364E-2</v>
      </c>
      <c r="D195" s="235">
        <f t="shared" si="2"/>
        <v>0.16350888723974355</v>
      </c>
      <c r="E195" s="235">
        <v>0.12020888723974354</v>
      </c>
      <c r="F195" s="235">
        <v>0.35</v>
      </c>
    </row>
    <row r="196" spans="1:6">
      <c r="A196" t="s">
        <v>730</v>
      </c>
      <c r="B196" t="s">
        <v>778</v>
      </c>
      <c r="C196" s="243">
        <v>8.916565418629635E-2</v>
      </c>
      <c r="E196" s="243">
        <v>0.1202088872397435</v>
      </c>
      <c r="F196" s="243">
        <v>0.35</v>
      </c>
    </row>
    <row r="200" spans="1:6">
      <c r="A200" s="264" t="s">
        <v>422</v>
      </c>
      <c r="B200" s="265" t="s">
        <v>407</v>
      </c>
      <c r="C200" s="265" t="s">
        <v>877</v>
      </c>
      <c r="D200" s="265" t="s">
        <v>779</v>
      </c>
      <c r="E200" s="265" t="s">
        <v>878</v>
      </c>
      <c r="F200" s="123" t="s">
        <v>879</v>
      </c>
    </row>
    <row r="201" spans="1:6">
      <c r="A201" s="117" t="s">
        <v>460</v>
      </c>
      <c r="B201" s="121">
        <v>0.12636516288511693</v>
      </c>
      <c r="C201" s="121">
        <v>6.163973704915901E-2</v>
      </c>
      <c r="D201" s="121">
        <v>0.27421914500863898</v>
      </c>
      <c r="E201" s="121">
        <v>8.3065162885116936E-2</v>
      </c>
      <c r="F201" s="266">
        <v>2508220.6789325164</v>
      </c>
    </row>
    <row r="202" spans="1:6">
      <c r="A202" s="117" t="s">
        <v>563</v>
      </c>
      <c r="B202" s="121">
        <v>5.8700000000000002E-2</v>
      </c>
      <c r="C202" s="121">
        <v>1.0708616059682126E-2</v>
      </c>
      <c r="D202" s="121">
        <v>0.2534417911673511</v>
      </c>
      <c r="E202" s="121">
        <v>1.54E-2</v>
      </c>
      <c r="F202" s="266">
        <v>32948678.067337982</v>
      </c>
    </row>
    <row r="203" spans="1:6">
      <c r="A203" s="117" t="s">
        <v>465</v>
      </c>
      <c r="B203" s="121">
        <v>4.3342933242096059E-2</v>
      </c>
      <c r="C203" s="121">
        <v>3.1859249552415043E-5</v>
      </c>
      <c r="D203" s="121">
        <v>0.29743620926523207</v>
      </c>
      <c r="E203" s="121">
        <v>4.2933242096058726E-5</v>
      </c>
      <c r="F203" s="266">
        <v>1942472.3523971008</v>
      </c>
    </row>
    <row r="204" spans="1:6">
      <c r="A204" s="117" t="s">
        <v>469</v>
      </c>
      <c r="B204" s="121">
        <v>0.12432073131656701</v>
      </c>
      <c r="C204" s="121">
        <v>6.0122636258365322E-2</v>
      </c>
      <c r="D204" s="121">
        <v>0.25228018689443577</v>
      </c>
      <c r="E204" s="121">
        <v>8.1020731316567021E-2</v>
      </c>
      <c r="F204" s="266">
        <v>869389.47891538299</v>
      </c>
    </row>
    <row r="205" spans="1:6">
      <c r="A205" s="117" t="s">
        <v>462</v>
      </c>
      <c r="B205" s="121">
        <v>9.1502494977120707E-2</v>
      </c>
      <c r="C205" s="121">
        <v>3.5769376863949848E-2</v>
      </c>
      <c r="D205" s="121">
        <v>0.31553952561697912</v>
      </c>
      <c r="E205" s="121">
        <v>4.8202494977120702E-2</v>
      </c>
      <c r="F205" s="266">
        <v>5601817.8332648547</v>
      </c>
    </row>
    <row r="206" spans="1:6">
      <c r="A206" s="117" t="s">
        <v>880</v>
      </c>
      <c r="B206" s="121">
        <v>7.7277034566536854E-2</v>
      </c>
      <c r="C206" s="121">
        <v>2.5213162818787022E-2</v>
      </c>
      <c r="D206" s="121">
        <v>0.17230578031123689</v>
      </c>
      <c r="E206" s="121">
        <v>3.3977034566536855E-2</v>
      </c>
      <c r="F206" s="266">
        <v>5010073.2660032045</v>
      </c>
    </row>
    <row r="207" spans="1:6">
      <c r="A207" s="117" t="s">
        <v>471</v>
      </c>
      <c r="B207" s="121">
        <v>6.42857466003489E-2</v>
      </c>
      <c r="C207" s="121">
        <v>1.5572784754721281E-2</v>
      </c>
      <c r="D207" s="121">
        <v>0.18937682936327277</v>
      </c>
      <c r="E207" s="121">
        <v>2.0985746600348899E-2</v>
      </c>
      <c r="F207" s="266">
        <v>3382577.6565681733</v>
      </c>
    </row>
    <row r="208" spans="1:6">
      <c r="A208" s="117" t="s">
        <v>483</v>
      </c>
      <c r="B208" s="121">
        <v>4.3299999999999998E-2</v>
      </c>
      <c r="C208" s="121">
        <v>0</v>
      </c>
      <c r="D208" s="121">
        <v>0.25108814145744907</v>
      </c>
      <c r="E208" s="121">
        <v>0</v>
      </c>
      <c r="F208" s="266">
        <v>27577639.220074911</v>
      </c>
    </row>
    <row r="209" spans="1:6">
      <c r="A209" s="117" t="s">
        <v>466</v>
      </c>
      <c r="B209" s="121">
        <v>5.4450110634666364E-2</v>
      </c>
      <c r="C209" s="121">
        <v>8.2741050967470049E-3</v>
      </c>
      <c r="D209" s="121">
        <v>0.24775219614916172</v>
      </c>
      <c r="E209" s="121">
        <v>1.1150110634666366E-2</v>
      </c>
      <c r="F209" s="266">
        <v>20250228.834865417</v>
      </c>
    </row>
    <row r="210" spans="1:6">
      <c r="A210" s="117" t="s">
        <v>612</v>
      </c>
      <c r="B210" s="121">
        <v>5.7599999999999998E-2</v>
      </c>
      <c r="C210" s="121">
        <v>1.0377275529176463E-2</v>
      </c>
      <c r="D210" s="121">
        <v>0.25221031401922173</v>
      </c>
      <c r="E210" s="121">
        <v>1.43E-2</v>
      </c>
      <c r="F210" s="266">
        <v>100091097.38835955</v>
      </c>
    </row>
    <row r="211" spans="1:6">
      <c r="D211" s="34"/>
    </row>
    <row r="212" spans="1:6">
      <c r="D212" s="34"/>
    </row>
    <row r="213" spans="1:6">
      <c r="A213" s="265"/>
      <c r="B213" s="265" t="s">
        <v>407</v>
      </c>
      <c r="C213" s="265" t="s">
        <v>801</v>
      </c>
      <c r="D213" s="123" t="s">
        <v>881</v>
      </c>
      <c r="E213" s="265" t="s">
        <v>802</v>
      </c>
    </row>
    <row r="214" spans="1:6">
      <c r="A214" s="117" t="s">
        <v>882</v>
      </c>
      <c r="B214" s="139">
        <v>9.8900000000000002E-2</v>
      </c>
      <c r="C214" s="139">
        <v>3.5269458671611922E-2</v>
      </c>
      <c r="D214" s="121">
        <v>0.22565253987565378</v>
      </c>
      <c r="E214" s="121">
        <v>5.5600000000000004E-2</v>
      </c>
      <c r="F214" s="243"/>
    </row>
    <row r="215" spans="1:6">
      <c r="A215" s="117" t="s">
        <v>883</v>
      </c>
      <c r="B215" s="139">
        <v>4.3320625536113641E-2</v>
      </c>
      <c r="C215" s="139">
        <v>1.5305485216481364E-5</v>
      </c>
      <c r="D215" s="121">
        <v>0.28058266212676913</v>
      </c>
      <c r="E215" s="121">
        <v>2.0625536113642873E-5</v>
      </c>
    </row>
    <row r="216" spans="1:6">
      <c r="A216" s="117" t="s">
        <v>884</v>
      </c>
      <c r="B216" s="139">
        <v>9.323718559787203E-2</v>
      </c>
      <c r="C216" s="139">
        <v>3.7059194817035325E-2</v>
      </c>
      <c r="D216" s="121">
        <v>0.31219579378380224</v>
      </c>
      <c r="E216" s="121">
        <v>4.9937185597872032E-2</v>
      </c>
    </row>
    <row r="217" spans="1:6">
      <c r="A217" s="117" t="s">
        <v>508</v>
      </c>
      <c r="B217" s="139">
        <v>4.9888343962875968E-2</v>
      </c>
      <c r="C217" s="121">
        <v>4.8889784279692525E-3</v>
      </c>
      <c r="D217" s="121">
        <v>0.25</v>
      </c>
      <c r="E217" s="121">
        <v>6.5883439628759699E-3</v>
      </c>
    </row>
    <row r="218" spans="1:6">
      <c r="A218" s="117" t="s">
        <v>885</v>
      </c>
      <c r="B218" s="139">
        <v>4.3299999999999998E-2</v>
      </c>
      <c r="C218" s="121">
        <v>0</v>
      </c>
      <c r="D218" s="121">
        <v>0.25</v>
      </c>
      <c r="E218" s="121">
        <v>0</v>
      </c>
    </row>
    <row r="219" spans="1:6">
      <c r="A219" s="117" t="s">
        <v>886</v>
      </c>
      <c r="B219" s="139">
        <v>5.4450110634666357E-2</v>
      </c>
      <c r="C219" s="121">
        <v>8.2741050967470049E-3</v>
      </c>
      <c r="D219" s="121">
        <v>0.24775219614916172</v>
      </c>
      <c r="E219" s="121">
        <v>1.1150110634666359E-2</v>
      </c>
    </row>
    <row r="220" spans="1:6">
      <c r="A220" s="117" t="s">
        <v>887</v>
      </c>
      <c r="B220" s="139">
        <v>6.7888776273373461E-2</v>
      </c>
      <c r="C220" s="139">
        <v>1.854688453505424E-2</v>
      </c>
      <c r="D220" s="121">
        <v>0.25317912344463717</v>
      </c>
      <c r="E220" s="121">
        <v>2.4588776273373462E-2</v>
      </c>
    </row>
    <row r="221" spans="1:6">
      <c r="A221" s="117" t="s">
        <v>888</v>
      </c>
      <c r="B221" s="139">
        <v>6.078982612878147E-2</v>
      </c>
      <c r="C221" s="139">
        <v>1.2979483446303937E-2</v>
      </c>
      <c r="D221" s="121">
        <v>0.25517258432985945</v>
      </c>
      <c r="E221" s="121">
        <v>1.7489826128781472E-2</v>
      </c>
    </row>
    <row r="222" spans="1:6">
      <c r="A222" s="117" t="s">
        <v>503</v>
      </c>
      <c r="B222" s="139">
        <v>7.2633817168042999E-2</v>
      </c>
      <c r="C222" s="139">
        <v>2.1767594429291676E-2</v>
      </c>
      <c r="D222" s="121">
        <v>0.3</v>
      </c>
      <c r="E222" s="121">
        <v>2.9333817168043001E-2</v>
      </c>
    </row>
    <row r="223" spans="1:6">
      <c r="A223" s="117" t="s">
        <v>486</v>
      </c>
      <c r="B223" s="139">
        <v>5.2711919946965669E-2</v>
      </c>
      <c r="C223" s="121">
        <v>6.9842548970989338E-3</v>
      </c>
      <c r="D223" s="121">
        <v>0.25</v>
      </c>
      <c r="E223" s="121">
        <v>9.4119199469656703E-3</v>
      </c>
    </row>
    <row r="224" spans="1:6">
      <c r="A224" s="117" t="s">
        <v>612</v>
      </c>
      <c r="B224" s="139">
        <v>5.7599999999999998E-2</v>
      </c>
      <c r="C224" s="121">
        <v>1.0377275529176463E-2</v>
      </c>
      <c r="D224" s="121">
        <v>0.25221031401922173</v>
      </c>
      <c r="E224" s="121">
        <v>1.43E-2</v>
      </c>
    </row>
    <row r="225" spans="1:5">
      <c r="B225" s="34"/>
      <c r="C225" s="34"/>
      <c r="D225" s="34"/>
    </row>
    <row r="226" spans="1:5">
      <c r="A226" s="267" t="s">
        <v>889</v>
      </c>
      <c r="B226" s="267"/>
      <c r="C226" s="267"/>
      <c r="D226" s="34"/>
    </row>
    <row r="227" spans="1:5">
      <c r="A227" s="265"/>
      <c r="B227" s="265" t="s">
        <v>407</v>
      </c>
      <c r="C227" s="265" t="s">
        <v>801</v>
      </c>
      <c r="D227" s="123" t="s">
        <v>881</v>
      </c>
      <c r="E227" s="265" t="s">
        <v>802</v>
      </c>
    </row>
    <row r="228" spans="1:5">
      <c r="A228" s="117" t="s">
        <v>890</v>
      </c>
      <c r="B228" s="139">
        <v>6.1729262278108245E-2</v>
      </c>
      <c r="C228" s="139">
        <v>1.3675707617689077E-2</v>
      </c>
      <c r="D228" s="268">
        <v>0.24333019223993782</v>
      </c>
      <c r="E228" s="121">
        <v>1.8429262278108247E-2</v>
      </c>
    </row>
  </sheetData>
  <mergeCells count="1">
    <mergeCell ref="A226:C226"/>
  </mergeCells>
  <pageMargins left="0.75" right="0.75" top="1" bottom="1" header="0.5" footer="0.5"/>
  <pageSetup orientation="portrait" horizontalDpi="4294967292" verticalDpi="4294967292"/>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2"/>
  <sheetViews>
    <sheetView workbookViewId="0">
      <selection activeCell="C29" sqref="C29"/>
    </sheetView>
  </sheetViews>
  <sheetFormatPr baseColWidth="10" defaultRowHeight="14"/>
  <cols>
    <col min="1" max="1" width="27.140625" customWidth="1"/>
  </cols>
  <sheetData>
    <row r="1" spans="1:5">
      <c r="B1" s="123" t="s">
        <v>629</v>
      </c>
      <c r="C1" s="123" t="s">
        <v>630</v>
      </c>
      <c r="D1" s="123" t="s">
        <v>631</v>
      </c>
      <c r="E1" s="123" t="s">
        <v>615</v>
      </c>
    </row>
    <row r="2" spans="1:5">
      <c r="A2" s="124" t="s">
        <v>269</v>
      </c>
      <c r="B2" s="131">
        <v>5089</v>
      </c>
      <c r="C2" s="131">
        <v>2242</v>
      </c>
      <c r="D2" s="131">
        <v>3271</v>
      </c>
      <c r="E2" s="135">
        <f>B2-C2+D2</f>
        <v>6118</v>
      </c>
    </row>
    <row r="3" spans="1:5">
      <c r="A3" s="124" t="s">
        <v>632</v>
      </c>
      <c r="B3" s="131">
        <v>1399</v>
      </c>
      <c r="C3" s="131">
        <v>858</v>
      </c>
      <c r="D3" s="131">
        <v>637</v>
      </c>
      <c r="E3" s="135">
        <f>B3-C3+D3</f>
        <v>1178</v>
      </c>
    </row>
    <row r="4" spans="1:5">
      <c r="A4" s="124" t="s">
        <v>633</v>
      </c>
      <c r="B4" s="131">
        <v>538</v>
      </c>
      <c r="C4" s="131">
        <v>-362</v>
      </c>
      <c r="D4" s="131">
        <v>935</v>
      </c>
      <c r="E4" s="135">
        <f>B4-C4+D4</f>
        <v>1835</v>
      </c>
    </row>
    <row r="5" spans="1:5">
      <c r="A5" s="124" t="s">
        <v>634</v>
      </c>
      <c r="B5" s="131">
        <v>51</v>
      </c>
      <c r="C5" s="131">
        <v>24</v>
      </c>
      <c r="D5" s="131">
        <v>29</v>
      </c>
      <c r="E5" s="135">
        <f>B5-C5+D5</f>
        <v>56</v>
      </c>
    </row>
    <row r="6" spans="1:5">
      <c r="A6" s="124" t="s">
        <v>635</v>
      </c>
      <c r="B6" s="131">
        <v>11755</v>
      </c>
      <c r="C6" s="131"/>
      <c r="D6" s="131">
        <v>12349</v>
      </c>
      <c r="E6" s="135"/>
    </row>
    <row r="7" spans="1:5">
      <c r="A7" s="124" t="s">
        <v>636</v>
      </c>
      <c r="B7" s="131">
        <v>2356</v>
      </c>
      <c r="C7" s="131"/>
      <c r="D7" s="131">
        <f>1500+351+316</f>
        <v>2167</v>
      </c>
      <c r="E7" s="135"/>
    </row>
    <row r="8" spans="1:5">
      <c r="A8" s="124" t="s">
        <v>637</v>
      </c>
      <c r="B8" s="131"/>
      <c r="C8" s="131"/>
      <c r="D8" s="131"/>
      <c r="E8" s="135"/>
    </row>
    <row r="9" spans="1:5">
      <c r="A9" s="124" t="s">
        <v>638</v>
      </c>
      <c r="B9" s="131">
        <f>2384+7242</f>
        <v>9626</v>
      </c>
      <c r="C9" s="131"/>
      <c r="D9" s="131">
        <f>3001+7251</f>
        <v>10252</v>
      </c>
      <c r="E9" s="135"/>
    </row>
    <row r="10" spans="1:5">
      <c r="A10" s="124" t="s">
        <v>639</v>
      </c>
      <c r="B10" s="131">
        <v>0</v>
      </c>
      <c r="C10" s="131"/>
      <c r="D10" s="131">
        <v>0</v>
      </c>
      <c r="E10" s="135"/>
    </row>
    <row r="11" spans="1:5">
      <c r="A11" s="124" t="s">
        <v>400</v>
      </c>
      <c r="B11" s="131">
        <v>0</v>
      </c>
      <c r="C11" s="131"/>
      <c r="D11" s="131">
        <v>0</v>
      </c>
      <c r="E11" s="135"/>
    </row>
    <row r="12" spans="1:5">
      <c r="A12" s="124" t="s">
        <v>352</v>
      </c>
      <c r="B12" s="131"/>
      <c r="C12" s="131"/>
      <c r="D12" s="131"/>
      <c r="E12" s="135"/>
    </row>
    <row r="13" spans="1:5">
      <c r="A13" s="124" t="s">
        <v>640</v>
      </c>
      <c r="B13" s="132"/>
      <c r="C13" s="131"/>
      <c r="D13" s="131"/>
      <c r="E13" s="135"/>
    </row>
    <row r="14" spans="1:5">
      <c r="A14" s="124" t="s">
        <v>641</v>
      </c>
      <c r="B14" s="133">
        <f>695/1695</f>
        <v>0.41002949852507375</v>
      </c>
      <c r="C14" s="133">
        <f>294/1318</f>
        <v>0.22306525037936267</v>
      </c>
      <c r="D14" s="133">
        <f>212/545</f>
        <v>0.38899082568807342</v>
      </c>
      <c r="E14" s="113"/>
    </row>
    <row r="15" spans="1:5">
      <c r="A15" s="124" t="s">
        <v>642</v>
      </c>
      <c r="B15" s="134"/>
      <c r="C15" s="134"/>
      <c r="D15" s="134"/>
      <c r="E15" s="113"/>
    </row>
    <row r="16" spans="1:5" s="116" customFormat="1">
      <c r="A16" s="125" t="s">
        <v>643</v>
      </c>
      <c r="B16" s="126"/>
      <c r="C16" s="126"/>
      <c r="D16" s="126"/>
      <c r="E16" s="127"/>
    </row>
    <row r="17" spans="1:5">
      <c r="A17" s="128" t="s">
        <v>644</v>
      </c>
      <c r="B17" s="136">
        <v>142</v>
      </c>
      <c r="C17" s="129"/>
      <c r="D17" s="129" t="s">
        <v>285</v>
      </c>
      <c r="E17" s="130"/>
    </row>
    <row r="18" spans="1:5">
      <c r="A18" s="128" t="s">
        <v>645</v>
      </c>
      <c r="B18" s="136">
        <v>128</v>
      </c>
      <c r="C18" s="129"/>
      <c r="D18" s="129" t="s">
        <v>285</v>
      </c>
      <c r="E18" s="130"/>
    </row>
    <row r="19" spans="1:5">
      <c r="A19" s="128" t="s">
        <v>646</v>
      </c>
      <c r="B19" s="136">
        <v>117</v>
      </c>
      <c r="C19" s="129"/>
      <c r="D19" s="129" t="s">
        <v>285</v>
      </c>
      <c r="E19" s="130"/>
    </row>
    <row r="20" spans="1:5">
      <c r="A20" s="128" t="s">
        <v>647</v>
      </c>
      <c r="B20" s="136">
        <v>110</v>
      </c>
      <c r="C20" s="129"/>
      <c r="D20" s="129" t="s">
        <v>285</v>
      </c>
      <c r="E20" s="130"/>
    </row>
    <row r="21" spans="1:5">
      <c r="A21" s="128" t="s">
        <v>648</v>
      </c>
      <c r="B21" s="136">
        <v>102</v>
      </c>
      <c r="C21" s="129"/>
      <c r="D21" s="129" t="s">
        <v>285</v>
      </c>
      <c r="E21" s="130"/>
    </row>
    <row r="22" spans="1:5">
      <c r="A22" s="128" t="s">
        <v>649</v>
      </c>
      <c r="B22" s="136">
        <v>252</v>
      </c>
      <c r="C22" s="129"/>
      <c r="D22" s="129" t="s">
        <v>285</v>
      </c>
      <c r="E22" s="130"/>
    </row>
  </sheetData>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L16"/>
  <sheetViews>
    <sheetView workbookViewId="0">
      <selection activeCell="F1" sqref="F1:L65536"/>
    </sheetView>
  </sheetViews>
  <sheetFormatPr baseColWidth="10" defaultRowHeight="14"/>
  <cols>
    <col min="6" max="6" width="5.42578125" bestFit="1" customWidth="1"/>
    <col min="7" max="7" width="14.140625" bestFit="1" customWidth="1"/>
    <col min="8" max="8" width="15.7109375" bestFit="1" customWidth="1"/>
    <col min="9" max="10" width="10.5703125" bestFit="1" customWidth="1"/>
    <col min="11" max="11" width="15.140625" bestFit="1" customWidth="1"/>
  </cols>
  <sheetData>
    <row r="1" spans="2:12">
      <c r="B1" t="s">
        <v>396</v>
      </c>
      <c r="F1" s="166" t="s">
        <v>396</v>
      </c>
      <c r="G1" s="166" t="s">
        <v>753</v>
      </c>
      <c r="H1" s="166" t="s">
        <v>754</v>
      </c>
      <c r="I1" s="166" t="s">
        <v>755</v>
      </c>
      <c r="J1" s="166" t="s">
        <v>748</v>
      </c>
      <c r="K1" s="166" t="s">
        <v>756</v>
      </c>
      <c r="L1" t="s">
        <v>211</v>
      </c>
    </row>
    <row r="2" spans="2:12">
      <c r="B2" t="s">
        <v>189</v>
      </c>
      <c r="C2" t="s">
        <v>401</v>
      </c>
      <c r="D2" s="16" t="s">
        <v>751</v>
      </c>
      <c r="F2" t="s">
        <v>189</v>
      </c>
      <c r="G2" t="s">
        <v>757</v>
      </c>
      <c r="H2" t="s">
        <v>758</v>
      </c>
      <c r="I2" t="s">
        <v>759</v>
      </c>
      <c r="J2">
        <v>1</v>
      </c>
      <c r="K2" t="s">
        <v>759</v>
      </c>
      <c r="L2" t="s">
        <v>595</v>
      </c>
    </row>
    <row r="3" spans="2:12">
      <c r="B3" t="s">
        <v>353</v>
      </c>
      <c r="C3" t="s">
        <v>402</v>
      </c>
      <c r="D3" s="16" t="s">
        <v>752</v>
      </c>
      <c r="F3" t="s">
        <v>353</v>
      </c>
      <c r="G3" t="s">
        <v>760</v>
      </c>
      <c r="H3" t="s">
        <v>761</v>
      </c>
      <c r="I3" t="s">
        <v>748</v>
      </c>
      <c r="J3">
        <v>2</v>
      </c>
      <c r="K3" t="s">
        <v>745</v>
      </c>
      <c r="L3" t="s">
        <v>594</v>
      </c>
    </row>
    <row r="4" spans="2:12">
      <c r="H4" t="s">
        <v>746</v>
      </c>
      <c r="I4" t="s">
        <v>762</v>
      </c>
      <c r="K4" t="s">
        <v>763</v>
      </c>
      <c r="L4" t="s">
        <v>593</v>
      </c>
    </row>
    <row r="5" spans="2:12">
      <c r="H5" t="s">
        <v>764</v>
      </c>
      <c r="K5" t="s">
        <v>765</v>
      </c>
      <c r="L5" t="s">
        <v>592</v>
      </c>
    </row>
    <row r="6" spans="2:12">
      <c r="K6" t="s">
        <v>766</v>
      </c>
      <c r="L6" t="s">
        <v>591</v>
      </c>
    </row>
    <row r="7" spans="2:12">
      <c r="L7" t="s">
        <v>590</v>
      </c>
    </row>
    <row r="8" spans="2:12">
      <c r="L8" t="s">
        <v>589</v>
      </c>
    </row>
    <row r="9" spans="2:12">
      <c r="L9" t="s">
        <v>588</v>
      </c>
    </row>
    <row r="10" spans="2:12">
      <c r="L10" t="s">
        <v>587</v>
      </c>
    </row>
    <row r="11" spans="2:12">
      <c r="L11" t="s">
        <v>586</v>
      </c>
    </row>
    <row r="12" spans="2:12">
      <c r="L12" t="s">
        <v>585</v>
      </c>
    </row>
    <row r="13" spans="2:12">
      <c r="L13" t="s">
        <v>582</v>
      </c>
    </row>
    <row r="14" spans="2:12">
      <c r="L14" t="s">
        <v>583</v>
      </c>
    </row>
    <row r="15" spans="2:12">
      <c r="L15" t="s">
        <v>584</v>
      </c>
    </row>
    <row r="16" spans="2:12">
      <c r="L16" t="s">
        <v>581</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7"/>
  <sheetViews>
    <sheetView tabSelected="1" topLeftCell="A52" zoomScale="150" workbookViewId="0">
      <selection activeCell="B9" sqref="B9"/>
    </sheetView>
  </sheetViews>
  <sheetFormatPr baseColWidth="10" defaultRowHeight="14"/>
  <cols>
    <col min="1" max="1" width="49.85546875" bestFit="1" customWidth="1"/>
    <col min="2" max="2" width="12.7109375" customWidth="1"/>
  </cols>
  <sheetData>
    <row r="1" spans="1:6" s="83" customFormat="1">
      <c r="A1" s="83" t="s">
        <v>225</v>
      </c>
    </row>
    <row r="2" spans="1:6" s="83" customFormat="1">
      <c r="A2" s="83" t="s">
        <v>58</v>
      </c>
    </row>
    <row r="3" spans="1:6" s="14" customFormat="1" ht="18">
      <c r="A3" s="14" t="s">
        <v>121</v>
      </c>
    </row>
    <row r="4" spans="1:6" s="1" customFormat="1" ht="13">
      <c r="A4" s="1" t="s">
        <v>613</v>
      </c>
      <c r="B4" s="119" t="s">
        <v>867</v>
      </c>
    </row>
    <row r="5" spans="1:6" s="1" customFormat="1" ht="13">
      <c r="A5" s="1" t="s">
        <v>614</v>
      </c>
      <c r="B5" s="120">
        <v>43951</v>
      </c>
    </row>
    <row r="6" spans="1:6" s="1" customFormat="1">
      <c r="A6" s="1" t="s">
        <v>9</v>
      </c>
      <c r="B6" s="59" t="s">
        <v>189</v>
      </c>
      <c r="D6" s="88" t="s">
        <v>397</v>
      </c>
      <c r="F6" s="87"/>
    </row>
    <row r="7" spans="1:6" s="1" customFormat="1" ht="13">
      <c r="A7" s="1" t="s">
        <v>165</v>
      </c>
      <c r="B7" s="59" t="s">
        <v>353</v>
      </c>
      <c r="D7" s="88" t="s">
        <v>398</v>
      </c>
    </row>
    <row r="8" spans="1:6" s="1" customFormat="1" ht="13">
      <c r="A8" s="1" t="s">
        <v>264</v>
      </c>
      <c r="B8" s="59" t="s">
        <v>353</v>
      </c>
      <c r="D8" s="88" t="s">
        <v>399</v>
      </c>
    </row>
    <row r="9" spans="1:6">
      <c r="A9" s="1" t="s">
        <v>761</v>
      </c>
      <c r="B9" s="223" t="s">
        <v>653</v>
      </c>
    </row>
    <row r="10" spans="1:6" s="1" customFormat="1" ht="16">
      <c r="A10" s="32" t="s">
        <v>11</v>
      </c>
    </row>
    <row r="11" spans="1:6" s="1" customFormat="1" ht="13">
      <c r="A11" s="3" t="s">
        <v>227</v>
      </c>
    </row>
    <row r="12" spans="1:6" s="1" customFormat="1" ht="13">
      <c r="A12" s="1" t="s">
        <v>772</v>
      </c>
      <c r="B12" s="56">
        <f>6555+485</f>
        <v>7040</v>
      </c>
      <c r="C12" s="88" t="s">
        <v>51</v>
      </c>
    </row>
    <row r="13" spans="1:6" s="1" customFormat="1" ht="13">
      <c r="A13" s="1" t="s">
        <v>57</v>
      </c>
      <c r="B13" s="56">
        <v>486</v>
      </c>
    </row>
    <row r="14" spans="1:6" s="1" customFormat="1" ht="13">
      <c r="A14" s="1" t="s">
        <v>230</v>
      </c>
      <c r="B14" s="56">
        <v>3448</v>
      </c>
    </row>
    <row r="15" spans="1:6" s="1" customFormat="1" ht="13">
      <c r="A15" s="1" t="s">
        <v>168</v>
      </c>
      <c r="B15" s="56">
        <v>1527</v>
      </c>
    </row>
    <row r="16" spans="1:6" s="1" customFormat="1" ht="13">
      <c r="A16" s="1" t="s">
        <v>403</v>
      </c>
      <c r="B16" s="57">
        <f>1314.2/6554.6</f>
        <v>0.20050041192445001</v>
      </c>
    </row>
    <row r="17" spans="1:4" s="1" customFormat="1" ht="13">
      <c r="A17" s="1" t="s">
        <v>404</v>
      </c>
      <c r="B17" s="57">
        <v>0.25</v>
      </c>
      <c r="C17" s="1" t="s">
        <v>139</v>
      </c>
    </row>
    <row r="18" spans="1:4" s="1" customFormat="1" ht="13">
      <c r="A18" s="1" t="s">
        <v>118</v>
      </c>
      <c r="B18" s="56">
        <v>34124</v>
      </c>
      <c r="C18" s="89">
        <v>28541</v>
      </c>
    </row>
    <row r="19" spans="1:4" s="1" customFormat="1" ht="13">
      <c r="A19" s="1" t="s">
        <v>119</v>
      </c>
      <c r="B19" s="56">
        <f>(25727-2819-109)-(27293-6905)</f>
        <v>2411</v>
      </c>
    </row>
    <row r="20" spans="1:4" s="1" customFormat="1" ht="13">
      <c r="A20" s="1" t="s">
        <v>120</v>
      </c>
      <c r="B20" s="56">
        <f>B19-((18035-2067-145)-(17138-1501))</f>
        <v>2225</v>
      </c>
      <c r="C20" s="5" t="s">
        <v>139</v>
      </c>
    </row>
    <row r="21" spans="1:4" s="1" customFormat="1" ht="13">
      <c r="A21" s="1" t="s">
        <v>195</v>
      </c>
      <c r="B21" s="56">
        <f>18321+6905</f>
        <v>25226</v>
      </c>
      <c r="C21" s="89">
        <f>14738+1501</f>
        <v>16239</v>
      </c>
    </row>
    <row r="22" spans="1:4" s="1" customFormat="1" ht="13">
      <c r="A22" s="1" t="s">
        <v>216</v>
      </c>
      <c r="B22" s="56">
        <v>10864</v>
      </c>
      <c r="C22" s="89">
        <v>10775</v>
      </c>
    </row>
    <row r="23" spans="1:4" s="1" customFormat="1" ht="13">
      <c r="B23" s="6"/>
    </row>
    <row r="24" spans="1:4" s="1" customFormat="1" ht="13">
      <c r="A24" s="1" t="s">
        <v>174</v>
      </c>
      <c r="B24" s="56">
        <f>2819+109</f>
        <v>2928</v>
      </c>
      <c r="C24" s="89">
        <f>2067+145</f>
        <v>2212</v>
      </c>
    </row>
    <row r="25" spans="1:4" s="1" customFormat="1" ht="13">
      <c r="A25" s="1" t="s">
        <v>175</v>
      </c>
      <c r="B25" s="56">
        <v>3052</v>
      </c>
      <c r="C25" s="91">
        <v>2902</v>
      </c>
    </row>
    <row r="26" spans="1:4" s="1" customFormat="1" ht="13">
      <c r="A26" s="1" t="s">
        <v>400</v>
      </c>
      <c r="B26" s="56">
        <v>92</v>
      </c>
      <c r="C26" s="91">
        <v>126</v>
      </c>
    </row>
    <row r="27" spans="1:4" s="1" customFormat="1" ht="13">
      <c r="B27" s="62"/>
    </row>
    <row r="28" spans="1:4" s="3" customFormat="1" ht="13">
      <c r="A28" s="3" t="s">
        <v>184</v>
      </c>
      <c r="B28" s="68"/>
    </row>
    <row r="29" spans="1:4" s="1" customFormat="1" ht="13">
      <c r="A29" s="1" t="s">
        <v>183</v>
      </c>
      <c r="B29" s="59" t="s">
        <v>189</v>
      </c>
    </row>
    <row r="30" spans="1:4" s="4" customFormat="1" ht="13">
      <c r="A30" s="4" t="s">
        <v>347</v>
      </c>
      <c r="B30" s="69"/>
    </row>
    <row r="31" spans="1:4" s="1" customFormat="1" ht="13">
      <c r="A31" s="1" t="s">
        <v>200</v>
      </c>
      <c r="B31" s="56">
        <v>804.14</v>
      </c>
      <c r="D31" s="44"/>
    </row>
    <row r="32" spans="1:4" s="1" customFormat="1" ht="13">
      <c r="A32" s="1" t="s">
        <v>352</v>
      </c>
      <c r="B32" s="60">
        <v>950.41</v>
      </c>
      <c r="D32" s="44"/>
    </row>
    <row r="33" spans="1:3" s="1" customFormat="1" ht="13">
      <c r="A33" s="1" t="s">
        <v>363</v>
      </c>
      <c r="B33" s="56">
        <f>B21</f>
        <v>25226</v>
      </c>
    </row>
    <row r="34" spans="1:3" s="4" customFormat="1" ht="13">
      <c r="A34" s="4" t="s">
        <v>395</v>
      </c>
      <c r="B34" s="69"/>
    </row>
    <row r="35" spans="1:3" s="1" customFormat="1" ht="13">
      <c r="A35" s="1" t="s">
        <v>321</v>
      </c>
      <c r="B35" s="59" t="s">
        <v>353</v>
      </c>
    </row>
    <row r="36" spans="1:3" s="1" customFormat="1" ht="13">
      <c r="A36" s="1" t="s">
        <v>322</v>
      </c>
      <c r="B36" s="86">
        <v>0.35</v>
      </c>
    </row>
    <row r="37" spans="1:3" s="1" customFormat="1" ht="13"/>
    <row r="38" spans="1:3" s="1" customFormat="1" ht="13">
      <c r="A38" s="4" t="s">
        <v>328</v>
      </c>
    </row>
    <row r="39" spans="1:3" s="1" customFormat="1" ht="13">
      <c r="A39" s="1" t="s">
        <v>287</v>
      </c>
      <c r="B39" s="61">
        <v>4.4999999999999998E-2</v>
      </c>
    </row>
    <row r="40" spans="1:3" s="1" customFormat="1" ht="13">
      <c r="A40" s="1" t="s">
        <v>417</v>
      </c>
      <c r="B40" s="61">
        <f>'Cost of capital worksheet'!B9</f>
        <v>4.9131247136618365E-2</v>
      </c>
      <c r="C40" s="88" t="s">
        <v>558</v>
      </c>
    </row>
    <row r="41" spans="1:3" s="1" customFormat="1" ht="13"/>
    <row r="42" spans="1:3" s="1" customFormat="1" ht="13">
      <c r="A42" s="4" t="s">
        <v>239</v>
      </c>
    </row>
    <row r="43" spans="1:3" s="1" customFormat="1" ht="13">
      <c r="A43" s="1" t="s">
        <v>83</v>
      </c>
      <c r="B43" s="59" t="s">
        <v>353</v>
      </c>
      <c r="C43" s="88" t="s">
        <v>137</v>
      </c>
    </row>
    <row r="44" spans="1:3" s="1" customFormat="1" ht="13">
      <c r="A44" s="1" t="s">
        <v>355</v>
      </c>
      <c r="B44" s="59">
        <v>1</v>
      </c>
    </row>
    <row r="45" spans="1:3" s="1" customFormat="1" ht="13">
      <c r="A45" s="1" t="s">
        <v>87</v>
      </c>
      <c r="B45" s="59" t="s">
        <v>868</v>
      </c>
    </row>
    <row r="46" spans="1:3" s="1" customFormat="1" ht="13">
      <c r="A46" s="1" t="s">
        <v>88</v>
      </c>
      <c r="B46" s="61">
        <v>5.0900000000000001E-2</v>
      </c>
    </row>
    <row r="48" spans="1:3" s="4" customFormat="1" ht="13">
      <c r="A48" s="4" t="s">
        <v>274</v>
      </c>
    </row>
    <row r="49" spans="1:3" s="1" customFormat="1" ht="13">
      <c r="A49" s="1" t="s">
        <v>105</v>
      </c>
      <c r="B49" s="59" t="s">
        <v>353</v>
      </c>
    </row>
    <row r="50" spans="1:3" s="1" customFormat="1" ht="13">
      <c r="A50" s="1" t="s">
        <v>319</v>
      </c>
      <c r="B50" s="67">
        <v>50.997999999999998</v>
      </c>
    </row>
    <row r="51" spans="1:3" s="1" customFormat="1" ht="13">
      <c r="A51" s="1" t="s">
        <v>320</v>
      </c>
      <c r="B51" s="56">
        <v>40.35</v>
      </c>
    </row>
    <row r="52" spans="1:3" s="1" customFormat="1" ht="13">
      <c r="A52" s="1" t="s">
        <v>19</v>
      </c>
      <c r="B52" s="59">
        <v>8.3000000000000007</v>
      </c>
    </row>
    <row r="53" spans="1:3" s="1" customFormat="1" ht="13">
      <c r="A53" s="1" t="s">
        <v>62</v>
      </c>
      <c r="B53" s="63">
        <v>0.25</v>
      </c>
    </row>
    <row r="54" spans="1:3" s="1" customFormat="1" ht="13">
      <c r="A54" s="1" t="s">
        <v>108</v>
      </c>
      <c r="B54" s="59" t="s">
        <v>401</v>
      </c>
    </row>
    <row r="55" spans="1:3" s="1" customFormat="1" ht="13">
      <c r="B55" s="92"/>
    </row>
    <row r="56" spans="1:3" s="3" customFormat="1" ht="13">
      <c r="A56" s="3" t="s">
        <v>228</v>
      </c>
    </row>
    <row r="57" spans="1:3" s="4" customFormat="1" ht="13">
      <c r="A57" s="4" t="s">
        <v>229</v>
      </c>
      <c r="B57" s="4" t="s">
        <v>3</v>
      </c>
    </row>
    <row r="58" spans="1:3" s="1" customFormat="1" ht="13">
      <c r="A58" s="1" t="s">
        <v>102</v>
      </c>
      <c r="B58" s="59">
        <v>10</v>
      </c>
    </row>
    <row r="59" spans="1:3" s="1" customFormat="1" ht="13">
      <c r="A59" s="1" t="s">
        <v>339</v>
      </c>
      <c r="B59" s="67">
        <f>'Cost of capital worksheet'!C35</f>
        <v>1.0065322414933349</v>
      </c>
      <c r="C59" s="88" t="s">
        <v>558</v>
      </c>
    </row>
    <row r="60" spans="1:3" s="1" customFormat="1" ht="13">
      <c r="A60" s="1" t="s">
        <v>80</v>
      </c>
      <c r="B60" s="59" t="s">
        <v>189</v>
      </c>
    </row>
    <row r="61" spans="1:3" s="1" customFormat="1" ht="13">
      <c r="A61" s="1" t="s">
        <v>142</v>
      </c>
      <c r="B61" s="71">
        <f>IF(B29="Yes",IF(B7="Yes",1-(B31*B32+'Valuation Model'!F69)/(B33+B31*B32+'Valuation Model'!F69+'Operating lease converter'!C30),1-(B31*B32)/(B33+B31*B32)),IF(B35="Yes",B21/(B21+B22),B36))</f>
        <v>3.1952325705328133E-2</v>
      </c>
    </row>
    <row r="62" spans="1:3" s="1" customFormat="1" ht="13">
      <c r="A62" s="1" t="s">
        <v>334</v>
      </c>
      <c r="B62" s="72">
        <f>7%</f>
        <v>7.0000000000000007E-2</v>
      </c>
    </row>
    <row r="63" spans="1:3" s="1" customFormat="1" ht="13">
      <c r="A63" s="1" t="s">
        <v>358</v>
      </c>
      <c r="B63" s="59" t="s">
        <v>189</v>
      </c>
    </row>
    <row r="64" spans="1:3" s="1" customFormat="1" ht="13">
      <c r="A64" s="1" t="s">
        <v>359</v>
      </c>
      <c r="B64" s="72">
        <f>B19/B18</f>
        <v>7.0654085101394912E-2</v>
      </c>
    </row>
    <row r="65" spans="1:2" s="1" customFormat="1" ht="13">
      <c r="A65" s="1" t="s">
        <v>28</v>
      </c>
      <c r="B65" s="63">
        <v>0.12</v>
      </c>
    </row>
    <row r="66" spans="1:2" s="1" customFormat="1" ht="13">
      <c r="A66" s="1" t="s">
        <v>215</v>
      </c>
      <c r="B66" s="59" t="s">
        <v>189</v>
      </c>
    </row>
    <row r="67" spans="1:2" s="1" customFormat="1" ht="13">
      <c r="A67" s="1" t="s">
        <v>325</v>
      </c>
      <c r="B67" s="63">
        <v>0.15</v>
      </c>
    </row>
    <row r="68" spans="1:2" s="1" customFormat="1" ht="13">
      <c r="A68" s="4" t="s">
        <v>163</v>
      </c>
      <c r="B68" s="5"/>
    </row>
    <row r="69" spans="1:2" s="1" customFormat="1" ht="13">
      <c r="A69" s="1" t="s">
        <v>236</v>
      </c>
      <c r="B69" s="71">
        <f>IF('Master Inputs Start here'!B6="Yes",('Valuation Model'!D3*(1-'Valuation Model'!D7)+'R&amp;D converter'!D40)/('Valuation Model'!D11+'Valuation Model'!D12-C24-C25),('Valuation Model'!D3*(1-'Valuation Model'!D7))/('Valuation Model'!D11+'Valuation Model'!D12-C24-C25))</f>
        <v>0.20425152371042071</v>
      </c>
    </row>
    <row r="70" spans="1:2" s="1" customFormat="1" ht="13">
      <c r="A70" s="1" t="s">
        <v>164</v>
      </c>
      <c r="B70" s="71">
        <f>IF('Master Inputs Start here'!B6="Yes",('Valuation Model'!D5-'Valuation Model'!D6+'Valuation Model'!D10)/'Valuation Model'!C43,('Valuation Model'!D5-'Valuation Model'!D6+'Valuation Model'!D10)/'Valuation Model'!C43)</f>
        <v>0.88112850246063579</v>
      </c>
    </row>
    <row r="71" spans="1:2" s="1" customFormat="1" ht="13">
      <c r="A71" s="1" t="s">
        <v>299</v>
      </c>
      <c r="B71" s="59" t="s">
        <v>353</v>
      </c>
    </row>
    <row r="72" spans="1:2" s="1" customFormat="1" ht="13">
      <c r="A72" s="1" t="s">
        <v>236</v>
      </c>
      <c r="B72" s="61">
        <v>0.33</v>
      </c>
    </row>
    <row r="73" spans="1:2" s="1" customFormat="1" ht="13">
      <c r="A73" s="1" t="s">
        <v>164</v>
      </c>
      <c r="B73" s="61">
        <f>B70</f>
        <v>0.88112850246063579</v>
      </c>
    </row>
    <row r="74" spans="1:2" s="1" customFormat="1" ht="13">
      <c r="B74" s="80"/>
    </row>
    <row r="75" spans="1:2" s="1" customFormat="1" ht="13">
      <c r="A75" s="1" t="s">
        <v>367</v>
      </c>
      <c r="B75" s="59" t="s">
        <v>189</v>
      </c>
    </row>
    <row r="76" spans="1:2" s="1" customFormat="1" ht="13">
      <c r="B76" s="5"/>
    </row>
    <row r="77" spans="1:2" s="4" customFormat="1" ht="13">
      <c r="A77" s="4" t="s">
        <v>323</v>
      </c>
      <c r="B77" s="10"/>
    </row>
    <row r="78" spans="1:2" s="1" customFormat="1" ht="13">
      <c r="A78" s="1" t="s">
        <v>18</v>
      </c>
      <c r="B78" s="61">
        <v>0.04</v>
      </c>
    </row>
    <row r="79" spans="1:2" s="1" customFormat="1" ht="13">
      <c r="A79" s="11" t="s">
        <v>205</v>
      </c>
      <c r="B79" s="67">
        <v>1</v>
      </c>
    </row>
    <row r="80" spans="1:2" s="1" customFormat="1" ht="13">
      <c r="A80" s="11" t="s">
        <v>616</v>
      </c>
      <c r="B80" s="61">
        <f>B40</f>
        <v>4.9131247136618365E-2</v>
      </c>
    </row>
    <row r="81" spans="1:3" s="1" customFormat="1" ht="13">
      <c r="A81" s="1" t="s">
        <v>162</v>
      </c>
      <c r="B81" s="61">
        <v>0.2</v>
      </c>
    </row>
    <row r="82" spans="1:3" s="1" customFormat="1" ht="13">
      <c r="A82" s="1" t="s">
        <v>371</v>
      </c>
      <c r="B82" s="61">
        <f>B46</f>
        <v>5.0900000000000001E-2</v>
      </c>
    </row>
    <row r="83" spans="1:3" s="1" customFormat="1" ht="13">
      <c r="A83" s="1" t="s">
        <v>38</v>
      </c>
      <c r="B83" s="61">
        <v>0.25</v>
      </c>
    </row>
    <row r="84" spans="1:3" s="4" customFormat="1" ht="12" customHeight="1">
      <c r="A84" s="4" t="s">
        <v>281</v>
      </c>
      <c r="B84" s="10"/>
    </row>
    <row r="85" spans="1:3" s="1" customFormat="1" ht="12" customHeight="1">
      <c r="A85" s="1" t="s">
        <v>149</v>
      </c>
      <c r="B85" s="59" t="s">
        <v>189</v>
      </c>
    </row>
    <row r="86" spans="1:3" s="1" customFormat="1" ht="12" customHeight="1">
      <c r="A86" s="1" t="s">
        <v>344</v>
      </c>
      <c r="B86" s="61">
        <v>0.15</v>
      </c>
    </row>
    <row r="87" spans="1:3" s="1" customFormat="1" ht="12" customHeight="1">
      <c r="A87" s="1" t="s">
        <v>124</v>
      </c>
      <c r="B87" s="63">
        <v>1.2</v>
      </c>
      <c r="C87" s="5" t="s">
        <v>318</v>
      </c>
    </row>
  </sheetData>
  <phoneticPr fontId="24"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B5E2A108-688F-1949-87CF-274DCE272914}">
          <x14:formula1>
            <xm:f>Answers!$B$2:$B$3</xm:f>
          </x14:formula1>
          <xm:sqref>B6:B8 B29 B35 B43 B71 B63 B60 B75 B85</xm:sqref>
        </x14:dataValidation>
        <x14:dataValidation type="list" allowBlank="1" showInputMessage="1" showErrorMessage="1" xr:uid="{473617DF-25CE-A940-8E5A-1B2A644AC4B9}">
          <x14:formula1>
            <xm:f>'Country ERP'!$A$5:$A$196</xm:f>
          </x14:formula1>
          <xm:sqref>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3"/>
  <sheetViews>
    <sheetView showGridLines="0" topLeftCell="A35" workbookViewId="0">
      <selection activeCell="B47" sqref="B47:M47"/>
    </sheetView>
  </sheetViews>
  <sheetFormatPr baseColWidth="10" defaultRowHeight="14"/>
  <cols>
    <col min="1" max="1" width="2.7109375" customWidth="1"/>
    <col min="2" max="2" width="14.7109375" customWidth="1"/>
    <col min="3" max="8" width="12.7109375" customWidth="1"/>
  </cols>
  <sheetData>
    <row r="1" spans="1:16" s="179" customFormat="1" ht="25" customHeight="1">
      <c r="B1" s="245" t="s">
        <v>176</v>
      </c>
      <c r="C1" s="245"/>
      <c r="D1" s="245"/>
      <c r="E1" s="245"/>
      <c r="F1" s="245"/>
      <c r="G1" s="245"/>
      <c r="H1" s="245"/>
      <c r="I1" s="245"/>
      <c r="J1" s="245"/>
    </row>
    <row r="2" spans="1:16" s="179" customFormat="1" ht="25" customHeight="1">
      <c r="A2" s="182"/>
      <c r="B2" s="183" t="s">
        <v>44</v>
      </c>
      <c r="C2" s="182"/>
      <c r="D2" s="184">
        <f>IF('Master Inputs Start here'!B8="Yes",'Earnings Normalizer'!D14,'Master Inputs Start here'!B12)</f>
        <v>7040</v>
      </c>
      <c r="E2" s="182"/>
      <c r="F2" s="182"/>
      <c r="G2" s="182"/>
      <c r="H2" s="182"/>
      <c r="I2" s="182"/>
    </row>
    <row r="3" spans="1:16" s="179" customFormat="1" ht="25" customHeight="1">
      <c r="B3" s="179" t="s">
        <v>47</v>
      </c>
      <c r="D3" s="184">
        <f>IF('Master Inputs Start here'!B6="Yes",(IF('Master Inputs Start here'!B7="Yes",D2+'R&amp;D converter'!D39+'Operating lease converter'!F34,D2+'R&amp;D converter'!D39)),IF('Master Inputs Start here'!B7="Yes",D2+'Operating lease converter'!F34,D2))</f>
        <v>13851.2</v>
      </c>
    </row>
    <row r="4" spans="1:16" s="179" customFormat="1" ht="25" customHeight="1">
      <c r="B4" s="179" t="s">
        <v>303</v>
      </c>
      <c r="D4" s="184">
        <f>IF('Master Inputs Start here'!B7="Yes",'Master Inputs Start here'!B13+'Operating lease converter'!C30*'Operating lease converter'!C14,'Master Inputs Start here'!B13)</f>
        <v>486</v>
      </c>
    </row>
    <row r="5" spans="1:16" s="179" customFormat="1" ht="25" customHeight="1">
      <c r="B5" s="179" t="s">
        <v>92</v>
      </c>
      <c r="D5" s="184">
        <f>IF('Master Inputs Start here'!B6="Yes",(IF('Master Inputs Start here'!B7="Yes",'Master Inputs Start here'!B14+'R&amp;D converter'!F7+'Operating lease converter'!E3,'Master Inputs Start here'!B14+'R&amp;D converter'!F7)),(IF('Master Inputs Start here'!B7="Yes",'Master Inputs Start here'!B14+'Operating lease converter'!E3,'Master Inputs Start here'!B14)))</f>
        <v>16561</v>
      </c>
    </row>
    <row r="6" spans="1:16" s="179" customFormat="1" ht="25" customHeight="1">
      <c r="B6" s="179" t="s">
        <v>224</v>
      </c>
      <c r="D6" s="184">
        <f>IF('Master Inputs Start here'!B6="Yes",(IF('Master Inputs Start here'!B7="Yes",'Master Inputs Start here'!B15+'R&amp;D converter'!D37+'Operating lease converter'!F33,'Master Inputs Start here'!B15+'R&amp;D converter'!D37)),(IF('Master Inputs Start here'!B7="Yes",'Master Inputs Start here'!B15+'Operating lease converter'!F33,'Master Inputs Start here'!B15)))</f>
        <v>7828.8</v>
      </c>
    </row>
    <row r="7" spans="1:16" s="179" customFormat="1" ht="25" customHeight="1">
      <c r="B7" s="179" t="s">
        <v>231</v>
      </c>
      <c r="D7" s="185">
        <f>'Master Inputs Start here'!B17</f>
        <v>0.25</v>
      </c>
    </row>
    <row r="8" spans="1:16" s="179" customFormat="1" ht="25" customHeight="1">
      <c r="B8" s="179" t="s">
        <v>118</v>
      </c>
      <c r="D8" s="184">
        <f>'Master Inputs Start here'!B18</f>
        <v>34124</v>
      </c>
    </row>
    <row r="9" spans="1:16" s="179" customFormat="1" ht="25" customHeight="1">
      <c r="B9" s="179" t="s">
        <v>119</v>
      </c>
      <c r="D9" s="184">
        <f>'Master Inputs Start here'!B19</f>
        <v>2411</v>
      </c>
    </row>
    <row r="10" spans="1:16" s="179" customFormat="1" ht="25" customHeight="1">
      <c r="B10" s="179" t="s">
        <v>120</v>
      </c>
      <c r="D10" s="184">
        <f>IF('Master Inputs Start here'!B20&lt;0,('Master Inputs Start here'!B18-'Master Inputs Start here'!C18)*('Master Inputs Start here'!B19/'Master Inputs Start here'!B18),'Master Inputs Start here'!B20)</f>
        <v>2225</v>
      </c>
    </row>
    <row r="11" spans="1:16" s="179" customFormat="1" ht="25" customHeight="1">
      <c r="B11" s="179" t="s">
        <v>48</v>
      </c>
      <c r="D11" s="184">
        <f>IF('Master Inputs Start here'!B7="Yes",'Master Inputs Start here'!C21+'Operating lease converter'!F35,'Master Inputs Start here'!C21)</f>
        <v>16239</v>
      </c>
    </row>
    <row r="12" spans="1:16" s="179" customFormat="1" ht="25" customHeight="1" thickBot="1">
      <c r="B12" s="179" t="s">
        <v>364</v>
      </c>
      <c r="D12" s="184">
        <f>IF('Master Inputs Start here'!B6="Yes",'Master Inputs Start here'!C22+'R&amp;D converter'!D35-'R&amp;D converter'!D24+'R&amp;D converter'!E35,'Master Inputs Start here'!C22)</f>
        <v>48072.6</v>
      </c>
    </row>
    <row r="13" spans="1:16" s="179" customFormat="1" ht="25" customHeight="1">
      <c r="D13" s="186"/>
      <c r="E13" s="180"/>
      <c r="F13" s="247" t="s">
        <v>6</v>
      </c>
      <c r="G13" s="248"/>
      <c r="H13" s="248"/>
      <c r="I13" s="248"/>
      <c r="J13" s="248"/>
      <c r="K13" s="248"/>
      <c r="L13" s="248"/>
      <c r="M13" s="248"/>
      <c r="N13" s="248"/>
      <c r="O13" s="249"/>
      <c r="P13" s="187" t="s">
        <v>373</v>
      </c>
    </row>
    <row r="14" spans="1:16" s="188" customFormat="1" ht="25" customHeight="1">
      <c r="B14" s="179" t="s">
        <v>33</v>
      </c>
      <c r="D14" s="189">
        <f>'Master Inputs Start here'!B58</f>
        <v>10</v>
      </c>
      <c r="E14" s="190" t="s">
        <v>34</v>
      </c>
      <c r="F14" s="175" t="str">
        <f>IF(D14&gt;10,"Growth periods longer than 10 years are indicative of extraordinary competitive advantages. What is your company's competitive advantage?","")</f>
        <v/>
      </c>
      <c r="P14" s="176" t="s">
        <v>374</v>
      </c>
    </row>
    <row r="15" spans="1:16" s="188" customFormat="1" ht="25" customHeight="1">
      <c r="B15" s="179" t="s">
        <v>123</v>
      </c>
      <c r="D15" s="191">
        <f>IF('Master Inputs Start here'!B66="Yes",'Valuation Model'!D23*'Valuation Model'!D24,'Master Inputs Start here'!B67)</f>
        <v>0.17997183921226603</v>
      </c>
      <c r="E15" s="192">
        <f>'Master Inputs Start here'!B78</f>
        <v>0.04</v>
      </c>
      <c r="F15" s="175" t="str">
        <f>IF(E15&gt;E18, "Stable growth rate &gt; Riskfree rate: Not a good idea. Cap this number at the risk free rate","")</f>
        <v/>
      </c>
      <c r="P15" s="176" t="s">
        <v>375</v>
      </c>
    </row>
    <row r="16" spans="1:16" s="179" customFormat="1" ht="25" customHeight="1">
      <c r="B16" s="179" t="s">
        <v>50</v>
      </c>
      <c r="D16" s="185">
        <f>IF('Master Inputs Start here'!B60="Yes",'Master Inputs Start here'!B61,'Master Inputs Start here'!B62)</f>
        <v>3.1952325705328133E-2</v>
      </c>
      <c r="E16" s="192">
        <f>'Master Inputs Start here'!B81</f>
        <v>0.2</v>
      </c>
      <c r="F16" s="175" t="str">
        <f>IF(E16=D16,"Stable growth debt ratio is set to same value as high growth debt ratio. While this is possible, stable growth companies usually carry more debt. Look at the industry average","")</f>
        <v/>
      </c>
      <c r="P16" s="176" t="s">
        <v>376</v>
      </c>
    </row>
    <row r="17" spans="1:16" s="179" customFormat="1" ht="25" customHeight="1">
      <c r="B17" s="179" t="s">
        <v>17</v>
      </c>
      <c r="D17" s="193">
        <f>'Master Inputs Start here'!B59</f>
        <v>1.0065322414933349</v>
      </c>
      <c r="E17" s="194">
        <f>'Master Inputs Start here'!B79</f>
        <v>1</v>
      </c>
      <c r="F17" s="175" t="str">
        <f>IF(E17&gt;1.2,"Too high a beta for stable growth. Move down towards 1.00 (cap = 1.20)",IF(E17&lt;0.8,"Too low a beta for stable growth. Push up towards 1.00 (floor = 0.80)"," "))</f>
        <v xml:space="preserve"> </v>
      </c>
      <c r="P17" s="176" t="s">
        <v>377</v>
      </c>
    </row>
    <row r="18" spans="1:16" s="179" customFormat="1" ht="25" customHeight="1">
      <c r="B18" s="179" t="s">
        <v>298</v>
      </c>
      <c r="D18" s="185">
        <f>'Master Inputs Start here'!B39</f>
        <v>4.4999999999999998E-2</v>
      </c>
      <c r="E18" s="192">
        <f>D18</f>
        <v>4.4999999999999998E-2</v>
      </c>
      <c r="F18" s="175"/>
      <c r="P18" s="176"/>
    </row>
    <row r="19" spans="1:16" s="179" customFormat="1" ht="25" customHeight="1">
      <c r="B19" s="179" t="s">
        <v>32</v>
      </c>
      <c r="D19" s="185">
        <f>'Master Inputs Start here'!B40</f>
        <v>4.9131247136618365E-2</v>
      </c>
      <c r="E19" s="195">
        <f>'Master Inputs Start here'!B80</f>
        <v>4.9131247136618365E-2</v>
      </c>
      <c r="F19" s="175"/>
      <c r="P19" s="176"/>
    </row>
    <row r="20" spans="1:16" s="179" customFormat="1" ht="25" customHeight="1">
      <c r="B20" s="179" t="s">
        <v>35</v>
      </c>
      <c r="D20" s="185">
        <f>IF('Master Inputs Start here'!B43="Yes",'Ratings estimator'!D13,'Master Inputs Start here'!B46)</f>
        <v>5.0900000000000001E-2</v>
      </c>
      <c r="E20" s="192">
        <f>'Master Inputs Start here'!B82</f>
        <v>5.0900000000000001E-2</v>
      </c>
      <c r="F20" s="175" t="str">
        <f>IF(E20&gt;E18+0.03,"This is a high cost of debt for stable growth. Consider moving this down.",IF(E20&lt;E18,"Cost of debt is less than the riskfree rate - Not possible"," "))</f>
        <v xml:space="preserve"> </v>
      </c>
      <c r="P20" s="176" t="s">
        <v>378</v>
      </c>
    </row>
    <row r="21" spans="1:16" s="179" customFormat="1" ht="25" customHeight="1">
      <c r="B21" s="179" t="s">
        <v>560</v>
      </c>
      <c r="D21" s="185">
        <f>'Master Inputs Start here'!B16</f>
        <v>0.20050041192445001</v>
      </c>
      <c r="E21" s="192">
        <f>'Master Inputs Start here'!B83</f>
        <v>0.25</v>
      </c>
      <c r="F21" s="175"/>
      <c r="P21" s="176"/>
    </row>
    <row r="22" spans="1:16" s="179" customFormat="1" ht="25" customHeight="1">
      <c r="B22" s="179" t="s">
        <v>561</v>
      </c>
      <c r="D22" s="185">
        <f>'Master Inputs Start here'!B17</f>
        <v>0.25</v>
      </c>
      <c r="E22" s="192">
        <f>'Master Inputs Start here'!B83</f>
        <v>0.25</v>
      </c>
      <c r="F22" s="175" t="str">
        <f>IF(E22&lt;0.35,"If this is a US company, this tax rate is below the marginal tax rate. Move towards a marginal tax rate"," ")</f>
        <v>If this is a US company, this tax rate is below the marginal tax rate. Move towards a marginal tax rate</v>
      </c>
      <c r="P22" s="176" t="s">
        <v>379</v>
      </c>
    </row>
    <row r="23" spans="1:16" s="179" customFormat="1" ht="25" customHeight="1">
      <c r="B23" s="179" t="s">
        <v>236</v>
      </c>
      <c r="D23" s="185">
        <f>IF('Master Inputs Start here'!B71="Yes",'Master Inputs Start here'!B72,'Master Inputs Start here'!B69)</f>
        <v>0.20425152371042071</v>
      </c>
      <c r="E23" s="192">
        <f>'Master Inputs Start here'!B86</f>
        <v>0.15</v>
      </c>
      <c r="F23" s="175" t="str">
        <f>IF(E23&gt;D58+0.05,"Your return on capital exceeds your cost of capital by more than 5%. That is unusually high. Does your company have that sustainable a competitive advantage?",IF(E23&lt;D58, "Your return on capital is less than your cost of capital forever and you are forcing the firm to destroy value in perpetuity. Push up to the cost of capital"," "))</f>
        <v>Your return on capital exceeds your cost of capital by more than 5%. That is unusually high. Does your company have that sustainable a competitive advantage?</v>
      </c>
      <c r="P23" s="176" t="s">
        <v>380</v>
      </c>
    </row>
    <row r="24" spans="1:16" s="179" customFormat="1" ht="25" customHeight="1" thickBot="1">
      <c r="B24" s="179" t="s">
        <v>164</v>
      </c>
      <c r="D24" s="185">
        <f>IF('Master Inputs Start here'!B71="Yes",'Master Inputs Start here'!B73,'Master Inputs Start here'!B70)</f>
        <v>0.88112850246063579</v>
      </c>
      <c r="E24" s="192">
        <f>IF('Master Inputs Start here'!B85="Yes",'Master Inputs Start here'!B78/'Master Inputs Start here'!B86,(S43-S46)/S43)</f>
        <v>0.26666666666666666</v>
      </c>
      <c r="F24" s="177" t="s">
        <v>5</v>
      </c>
      <c r="G24" s="196"/>
      <c r="H24" s="197">
        <f>IF(E24&lt;0.0001,"Infinite ROC. Not feasible. You need reinvestment to grow",E15/E24)</f>
        <v>0.15</v>
      </c>
      <c r="I24" s="196"/>
      <c r="J24" s="196"/>
      <c r="K24" s="196"/>
      <c r="L24" s="196"/>
      <c r="M24" s="196"/>
      <c r="N24" s="196"/>
      <c r="O24" s="196"/>
      <c r="P24" s="178" t="s">
        <v>7</v>
      </c>
    </row>
    <row r="25" spans="1:16" s="179" customFormat="1" ht="25" customHeight="1">
      <c r="D25" s="186"/>
      <c r="E25" s="180"/>
    </row>
    <row r="26" spans="1:16" s="179" customFormat="1" ht="25" customHeight="1">
      <c r="A26" s="182"/>
      <c r="B26" s="198" t="s">
        <v>307</v>
      </c>
      <c r="C26" s="182"/>
      <c r="D26" s="182"/>
      <c r="E26" s="182"/>
      <c r="F26" s="182"/>
      <c r="G26" s="182"/>
      <c r="H26" s="182"/>
      <c r="I26" s="182"/>
    </row>
    <row r="27" spans="1:16" s="179" customFormat="1" ht="25" customHeight="1">
      <c r="B27" s="179" t="s">
        <v>192</v>
      </c>
      <c r="D27" s="199">
        <f>D18+D17*D19</f>
        <v>9.4452184307783474E-2</v>
      </c>
      <c r="E27" s="180"/>
      <c r="F27" s="180"/>
    </row>
    <row r="28" spans="1:16" s="179" customFormat="1" ht="25" customHeight="1">
      <c r="B28" s="179" t="s">
        <v>147</v>
      </c>
      <c r="D28" s="199">
        <f>1-D30</f>
        <v>0.96804767429467187</v>
      </c>
      <c r="E28" s="180"/>
      <c r="F28" s="180"/>
    </row>
    <row r="29" spans="1:16" s="179" customFormat="1" ht="25" customHeight="1">
      <c r="B29" s="179" t="s">
        <v>148</v>
      </c>
      <c r="D29" s="199">
        <f>D20*(1-D7)</f>
        <v>3.8175000000000001E-2</v>
      </c>
      <c r="E29" s="180"/>
      <c r="F29" s="180"/>
    </row>
    <row r="30" spans="1:16" s="179" customFormat="1" ht="25" customHeight="1">
      <c r="B30" s="179" t="s">
        <v>77</v>
      </c>
      <c r="D30" s="200">
        <f>D16</f>
        <v>3.1952325705328133E-2</v>
      </c>
      <c r="E30" s="180"/>
      <c r="F30" s="180"/>
    </row>
    <row r="31" spans="1:16" s="179" customFormat="1" ht="25" customHeight="1">
      <c r="B31" s="179" t="s">
        <v>79</v>
      </c>
      <c r="D31" s="199">
        <f>D27*D28+D29*D30</f>
        <v>9.2653997385002393E-2</v>
      </c>
      <c r="E31" s="180"/>
      <c r="F31" s="180"/>
    </row>
    <row r="32" spans="1:16" s="179" customFormat="1" ht="25" customHeight="1">
      <c r="E32" s="180"/>
      <c r="F32" s="180"/>
    </row>
    <row r="33" spans="2:19" s="179" customFormat="1" ht="25" customHeight="1">
      <c r="B33" s="201" t="s">
        <v>194</v>
      </c>
      <c r="E33" s="180"/>
      <c r="F33" s="180"/>
    </row>
    <row r="34" spans="2:19" s="201" customFormat="1" ht="25" customHeight="1">
      <c r="B34" s="179" t="s">
        <v>340</v>
      </c>
      <c r="D34" s="199">
        <f>IF('Master Inputs Start here'!B66="No",'Master Inputs Start here'!B67,IF('Master Inputs Start here'!B71="No",'Master Inputs Start here'!B69*'Master Inputs Start here'!B70,'Master Inputs Start here'!B72*'Master Inputs Start here'!B73))</f>
        <v>0.17997183921226603</v>
      </c>
      <c r="E34" s="202"/>
      <c r="F34" s="202"/>
    </row>
    <row r="35" spans="2:19" s="179" customFormat="1" ht="25" customHeight="1">
      <c r="B35" s="179" t="s">
        <v>392</v>
      </c>
      <c r="D35" s="199">
        <f>IF('Master Inputs Start here'!B63="Yes",'Master Inputs Start here'!B64,'Master Inputs Start here'!B65)</f>
        <v>7.0654085101394912E-2</v>
      </c>
      <c r="E35" s="180" t="s">
        <v>393</v>
      </c>
    </row>
    <row r="36" spans="2:19" s="179" customFormat="1" ht="25" customHeight="1">
      <c r="B36" s="201" t="s">
        <v>295</v>
      </c>
      <c r="E36" s="203"/>
      <c r="F36" s="180"/>
    </row>
    <row r="37" spans="2:19" s="179" customFormat="1" ht="25" customHeight="1">
      <c r="B37" s="189"/>
      <c r="C37" s="204" t="s">
        <v>53</v>
      </c>
      <c r="D37" s="189">
        <f>IF(D14=0," ",1)</f>
        <v>1</v>
      </c>
      <c r="E37" s="189">
        <f>IF(D14&lt;2," ",2)</f>
        <v>2</v>
      </c>
      <c r="F37" s="189">
        <f>IF(D14&lt;3," ",3)</f>
        <v>3</v>
      </c>
      <c r="G37" s="189">
        <f>IF(D14&lt;4," ",4)</f>
        <v>4</v>
      </c>
      <c r="H37" s="189">
        <f>IF(D14&lt;5," ",5)</f>
        <v>5</v>
      </c>
      <c r="I37" s="189">
        <f>IF(D14&lt;6," ",6)</f>
        <v>6</v>
      </c>
      <c r="J37" s="189">
        <f>IF(D14&lt;7," ",7)</f>
        <v>7</v>
      </c>
      <c r="K37" s="189">
        <f>IF(D14&lt;8," ",8)</f>
        <v>8</v>
      </c>
      <c r="L37" s="189">
        <f>IF(D14&lt;9," ",9)</f>
        <v>9</v>
      </c>
      <c r="M37" s="189">
        <f>IF(D14&lt;10," ",10)</f>
        <v>10</v>
      </c>
      <c r="N37" s="189" t="str">
        <f>IF(D14&lt;11," ",11)</f>
        <v xml:space="preserve"> </v>
      </c>
      <c r="O37" s="189" t="str">
        <f>IF(D14&lt;12," ",12)</f>
        <v xml:space="preserve"> </v>
      </c>
      <c r="P37" s="189" t="str">
        <f>IF(D14&lt;13," ",13)</f>
        <v xml:space="preserve"> </v>
      </c>
      <c r="Q37" s="189" t="str">
        <f>IF(D14&lt;14," ",14)</f>
        <v xml:space="preserve"> </v>
      </c>
      <c r="R37" s="189" t="str">
        <f>IF(D14&lt;15," ",15)</f>
        <v xml:space="preserve"> </v>
      </c>
      <c r="S37" s="205" t="s">
        <v>336</v>
      </c>
    </row>
    <row r="38" spans="2:19" s="179" customFormat="1" ht="25" customHeight="1">
      <c r="B38" s="206" t="s">
        <v>340</v>
      </c>
      <c r="C38" s="204"/>
      <c r="D38" s="191">
        <f>IF($D$14&lt;D37," ",IF('Master Inputs Start here'!$B$75="Yes",IF(D37&lt;'Master Inputs Start here'!$B$58/2,$D$15,$D$51+(($D$15-$D$51)/('Master Inputs Start here'!$B$58/2))*('Master Inputs Start here'!$B$58-'Valuation Model'!D37)),$D$15))</f>
        <v>0.17997183921226603</v>
      </c>
      <c r="E38" s="191">
        <f>IF($D$14&lt;E37," ",IF('Master Inputs Start here'!$B$75="Yes",IF(E37&lt;'Master Inputs Start here'!$B$58/2,$D$15,$D$51+(($D$15-$D$51)/('Master Inputs Start here'!$B$58/2))*('Master Inputs Start here'!$B$58-'Valuation Model'!E37)),$D$15))</f>
        <v>0.17997183921226603</v>
      </c>
      <c r="F38" s="191">
        <f>IF($D$14&lt;F37," ",IF('Master Inputs Start here'!$B$75="Yes",IF(F37&lt;'Master Inputs Start here'!$B$58/2,$D$15,$D$51+(($D$15-$D$51)/('Master Inputs Start here'!$B$58/2))*('Master Inputs Start here'!$B$58-'Valuation Model'!F37)),$D$15))</f>
        <v>0.17997183921226603</v>
      </c>
      <c r="G38" s="191">
        <f>IF($D$14&lt;G37," ",IF('Master Inputs Start here'!$B$75="Yes",IF(G37&lt;'Master Inputs Start here'!$B$58/2,$D$15,$D$51+(($D$15-$D$51)/('Master Inputs Start here'!$B$58/2))*('Master Inputs Start here'!$B$58-'Valuation Model'!G37)),$D$15))</f>
        <v>0.17997183921226603</v>
      </c>
      <c r="H38" s="191">
        <f>IF($D$14&lt;H37," ",IF('Master Inputs Start here'!$B$75="Yes",IF(H37&lt;'Master Inputs Start here'!$B$58/2,$D$15,$D$51+(($D$15-$D$51)/('Master Inputs Start here'!$B$58/2))*('Master Inputs Start here'!$B$58-'Valuation Model'!H37)),$D$15))</f>
        <v>0.17997183921226603</v>
      </c>
      <c r="I38" s="191">
        <f>IF($D$14&lt;I37," ",IF('Master Inputs Start here'!$B$75="Yes",IF(I37&lt;'Master Inputs Start here'!$B$58/2,$D$15,$D$51+(($D$15-$D$51)/('Master Inputs Start here'!$B$58/2))*('Master Inputs Start here'!$B$58-'Valuation Model'!I37)),$D$15))</f>
        <v>0.15197747136981282</v>
      </c>
      <c r="J38" s="191">
        <f>IF($D$14&lt;J37," ",IF('Master Inputs Start here'!$B$75="Yes",IF(J37&lt;'Master Inputs Start here'!$B$58/2,$D$15,$D$51+(($D$15-$D$51)/('Master Inputs Start here'!$B$58/2))*('Master Inputs Start here'!$B$58-'Valuation Model'!J37)),$D$15))</f>
        <v>0.12398310352735961</v>
      </c>
      <c r="K38" s="191">
        <f>IF($D$14&lt;K37," ",IF('Master Inputs Start here'!$B$75="Yes",IF(K37&lt;'Master Inputs Start here'!$B$58/2,$D$15,$D$51+(($D$15-$D$51)/('Master Inputs Start here'!$B$58/2))*('Master Inputs Start here'!$B$58-'Valuation Model'!K37)),$D$15))</f>
        <v>9.5988735684906401E-2</v>
      </c>
      <c r="L38" s="191">
        <f>IF($D$14&lt;L37," ",IF('Master Inputs Start here'!$B$75="Yes",IF(L37&lt;'Master Inputs Start here'!$B$58/2,$D$15,$D$51+(($D$15-$D$51)/('Master Inputs Start here'!$B$58/2))*('Master Inputs Start here'!$B$58-'Valuation Model'!L37)),$D$15))</f>
        <v>6.7994367842453204E-2</v>
      </c>
      <c r="M38" s="191">
        <f>IF($D$14&lt;M37," ",IF('Master Inputs Start here'!$B$75="Yes",IF(M37&lt;'Master Inputs Start here'!$B$58/2,$D$15,$D$51+(($D$15-$D$51)/('Master Inputs Start here'!$B$58/2))*('Master Inputs Start here'!$B$58-'Valuation Model'!M37)),$D$15))</f>
        <v>0.04</v>
      </c>
      <c r="N38" s="191" t="str">
        <f>IF($D$14&lt;N37," ",IF('Master Inputs Start here'!$B$75="Yes",IF(N37&lt;'Master Inputs Start here'!$B$58/2,$D$15,$D$51+(($D$15-$D$51)/('Master Inputs Start here'!$B$58/2))*('Master Inputs Start here'!$B$58-'Valuation Model'!N37)),$D$15))</f>
        <v xml:space="preserve"> </v>
      </c>
      <c r="O38" s="191" t="str">
        <f>IF($D$14&lt;O37," ",IF('Master Inputs Start here'!$B$75="Yes",IF(O37&lt;'Master Inputs Start here'!$B$58/2,$D$15,$D$51+(($D$15-$D$51)/('Master Inputs Start here'!$B$58/2))*('Master Inputs Start here'!$B$58-'Valuation Model'!O37)),$D$15))</f>
        <v xml:space="preserve"> </v>
      </c>
      <c r="P38" s="191" t="str">
        <f>IF($D$14&lt;P37," ",IF('Master Inputs Start here'!$B$75="Yes",IF(P37&lt;'Master Inputs Start here'!$B$58/2,$D$15,$D$51+(($D$15-$D$51)/('Master Inputs Start here'!$B$58/2))*('Master Inputs Start here'!$B$58-'Valuation Model'!P37)),$D$15))</f>
        <v xml:space="preserve"> </v>
      </c>
      <c r="Q38" s="191" t="str">
        <f>IF($D$14&lt;Q37," ",IF('Master Inputs Start here'!$B$75="Yes",IF(Q37&lt;'Master Inputs Start here'!$B$58/2,$D$15,$D$51+(($D$15-$D$51)/('Master Inputs Start here'!$B$58/2))*('Master Inputs Start here'!$B$58-'Valuation Model'!Q37)),$D$15))</f>
        <v xml:space="preserve"> </v>
      </c>
      <c r="R38" s="191" t="str">
        <f>IF($D$14&lt;R37," ",IF('Master Inputs Start here'!$B$75="Yes",IF(R37&lt;'Master Inputs Start here'!$B$58/2,$D$15,$D$51+(($D$15-$D$51)/('Master Inputs Start here'!$B$58/2))*('Master Inputs Start here'!$B$58-'Valuation Model'!R37)),$D$15))</f>
        <v xml:space="preserve"> </v>
      </c>
      <c r="S38" s="205"/>
    </row>
    <row r="39" spans="2:19" s="179" customFormat="1" ht="25" customHeight="1">
      <c r="B39" s="206" t="s">
        <v>369</v>
      </c>
      <c r="C39" s="204"/>
      <c r="D39" s="191">
        <f>IF($D$14&lt;D37," ",(1+D38))</f>
        <v>1.179971839212266</v>
      </c>
      <c r="E39" s="191">
        <f>IF($D$14&lt;E37," ",(1+D38)*(1+E38))</f>
        <v>1.3923335413339777</v>
      </c>
      <c r="F39" s="191">
        <f>IF($D$14&lt;F37," ",(1+D38)*(1+E38)*(1+F38))</f>
        <v>1.6429143695647812</v>
      </c>
      <c r="G39" s="191">
        <f>IF($D$14&lt;G37," ",(1+D38)*(1+E38)*(1+F38)*(1+G38))</f>
        <v>1.9385926903236155</v>
      </c>
      <c r="H39" s="191">
        <f>IF($D$14&lt;H37," ",(1+D38)*(1+E38)*(1+F38)*(1+G38)*(1+H38))</f>
        <v>2.2874847822846114</v>
      </c>
      <c r="I39" s="191">
        <f>IF($D$14&lt;I37," ",(1+D38)*(1+E38)*(1+F38)*(1+G38)*(1+H38)*(1+I38))</f>
        <v>2.6351309352931533</v>
      </c>
      <c r="J39" s="191">
        <f>IF($D$14&lt;J37," ",(1+D38)*(1+E38)*(1+F38)*(1+G38)*(1+H38)*(1+I38)*(1+J38))</f>
        <v>2.961842646851752</v>
      </c>
      <c r="K39" s="191">
        <f>IF($D$14&lt;K37," ",(1+D38)*(1+E38)*(1+F38)*(1+G38)*(1+H38)*(1+I38)*(1+J38)*(1+K38))</f>
        <v>3.2461461778206888</v>
      </c>
      <c r="L39" s="191">
        <f>IF($D$14&lt;L37," ",(1+D38)*(1+E38)*(1+F38)*(1+G38)*(1+H38)*(1+I38)*(1+J38)*(1+K38)*(1+L38))</f>
        <v>3.4668658351058026</v>
      </c>
      <c r="M39" s="191">
        <f>IF($D$14&lt;M37," ",(1+D38)*(1+E38)*(1+F38)*(1+G38)*(1+H38)*(1+I38)*(1+J38)*(1+K38)*(1+L38)*(1+M38))</f>
        <v>3.6055404685100347</v>
      </c>
      <c r="N39" s="191" t="str">
        <f>IF($D$14&lt;N37," ",(1+D38)*(1+E38)*(1+F38)*(1+G38)*(1+H38)*(1+I38)*(1+J38)*(1+K38)*(1+L38)*(1+M38)*(1+N38))</f>
        <v xml:space="preserve"> </v>
      </c>
      <c r="O39" s="191" t="str">
        <f>IF($D$14&lt;O37," ",(1+D38)*(1+E38)*(1+F38)*(1+G38)*(1+H38)*(1+I38)*(1+J38)*(1+K38)*(1+L38)*(1+M38)*(1+N38)*(1+O38))</f>
        <v xml:space="preserve"> </v>
      </c>
      <c r="P39" s="191" t="str">
        <f>IF($D$14&lt;P37," ",(1+D38)*(1+E38)*(1+F38)*(1+G38)*(1+H38)*(1+I38)*(1+J38)*(1+K38)*(1+L38)*(1+M38)*(1+N38)*(1+O38)*(1+P38))</f>
        <v xml:space="preserve"> </v>
      </c>
      <c r="Q39" s="191" t="str">
        <f>IF($D$14&lt;Q37," ",(1+D38)*(1+E38)*(1+F38)*(1+G38)*(1+H38)*(1+I38)*(1+J38)*(1+K38)*(1+L38)*(1+M38)*(1+N38)*(1+O38)*(1+P38)*(1+Q38))</f>
        <v xml:space="preserve"> </v>
      </c>
      <c r="R39" s="191" t="str">
        <f>IF($D$14&lt;R37," ",(1+D38)*(1+E38)*(1+F38)*(1+G38)*(1+H38)*(1+I38)*(1+J38)*(1+K38)*(1+L38)*(1+M38)*(1+N38)*(1+O38)*(1+P38)*(1+Q38)*(1+R38))</f>
        <v xml:space="preserve"> </v>
      </c>
      <c r="S39" s="205"/>
    </row>
    <row r="40" spans="2:19" s="179" customFormat="1" ht="25" customHeight="1">
      <c r="B40" s="206" t="s">
        <v>27</v>
      </c>
      <c r="C40" s="204"/>
      <c r="D40" s="191">
        <f>IF($D$14&lt;D37," ",IF('Master Inputs Start here'!$B$75="Yes",IF(D37&lt;'Master Inputs Start here'!$B$58/2,$D$24,$D$52+(($D$24-$D$52)/('Master Inputs Start here'!$B$58/2))*('Master Inputs Start here'!$B$58-'Valuation Model'!D37)),$D$24))</f>
        <v>0.88112850246063579</v>
      </c>
      <c r="E40" s="191">
        <f>IF($D$14&lt;E37," ",IF('Master Inputs Start here'!$B$75="Yes",IF(E37&lt;'Master Inputs Start here'!$B$58/2,$D$24,$D$52+(($D$24-$D$52)/('Master Inputs Start here'!$B$58/2))*('Master Inputs Start here'!$B$58-'Valuation Model'!E37)),$D$24))</f>
        <v>0.88112850246063579</v>
      </c>
      <c r="F40" s="191">
        <f>IF($D$14&lt;F37," ",IF('Master Inputs Start here'!$B$75="Yes",IF(F37&lt;'Master Inputs Start here'!$B$58/2,$D$24,$D$52+(($D$24-$D$52)/('Master Inputs Start here'!$B$58/2))*('Master Inputs Start here'!$B$58-'Valuation Model'!F37)),$D$24))</f>
        <v>0.88112850246063579</v>
      </c>
      <c r="G40" s="191">
        <f>IF($D$14&lt;G37," ",IF('Master Inputs Start here'!$B$75="Yes",IF(G37&lt;'Master Inputs Start here'!$B$58/2,$D$24,$D$52+(($D$24-$D$52)/('Master Inputs Start here'!$B$58/2))*('Master Inputs Start here'!$B$58-'Valuation Model'!G37)),$D$24))</f>
        <v>0.88112850246063579</v>
      </c>
      <c r="H40" s="191">
        <f>IF($D$14&lt;H37," ",IF('Master Inputs Start here'!$B$75="Yes",IF(H37&lt;'Master Inputs Start here'!$B$58/2,$D$24,$D$52+(($D$24-$D$52)/('Master Inputs Start here'!$B$58/2))*('Master Inputs Start here'!$B$58-'Valuation Model'!H37)),$D$24))</f>
        <v>0.88112850246063568</v>
      </c>
      <c r="I40" s="191">
        <f>IF($D$14&lt;I37," ",IF('Master Inputs Start here'!$B$75="Yes",IF(I37&lt;'Master Inputs Start here'!$B$58/2,$D$24,$D$52+(($D$24-$D$52)/('Master Inputs Start here'!$B$58/2))*('Master Inputs Start here'!$B$58-'Valuation Model'!I37)),$D$24))</f>
        <v>0.75823613530184186</v>
      </c>
      <c r="J40" s="191">
        <f>IF($D$14&lt;J37," ",IF('Master Inputs Start here'!$B$75="Yes",IF(J37&lt;'Master Inputs Start here'!$B$58/2,$D$24,$D$52+(($D$24-$D$52)/('Master Inputs Start here'!$B$58/2))*('Master Inputs Start here'!$B$58-'Valuation Model'!J37)),$D$24))</f>
        <v>0.63534376814304805</v>
      </c>
      <c r="K40" s="191">
        <f>IF($D$14&lt;K37," ",IF('Master Inputs Start here'!$B$75="Yes",IF(K37&lt;'Master Inputs Start here'!$B$58/2,$D$24,$D$52+(($D$24-$D$52)/('Master Inputs Start here'!$B$58/2))*('Master Inputs Start here'!$B$58-'Valuation Model'!K37)),$D$24))</f>
        <v>0.51245140098425424</v>
      </c>
      <c r="L40" s="191">
        <f>IF($D$14&lt;L37," ",IF('Master Inputs Start here'!$B$75="Yes",IF(L37&lt;'Master Inputs Start here'!$B$58/2,$D$24,$D$52+(($D$24-$D$52)/('Master Inputs Start here'!$B$58/2))*('Master Inputs Start here'!$B$58-'Valuation Model'!L37)),$D$24))</f>
        <v>0.38955903382546048</v>
      </c>
      <c r="M40" s="191">
        <f>IF($D$14&lt;M37," ",IF('Master Inputs Start here'!$B$75="Yes",IF(M37&lt;'Master Inputs Start here'!$B$58/2,$D$24,$D$52+(($D$24-$D$52)/('Master Inputs Start here'!$B$58/2))*('Master Inputs Start here'!$B$58-'Valuation Model'!M37)),$D$24))</f>
        <v>0.26666666666666666</v>
      </c>
      <c r="N40" s="191" t="str">
        <f>IF($D$14&lt;N37," ",IF('Master Inputs Start here'!$B$75="Yes",IF(N37&lt;'Master Inputs Start here'!$B$58/2,$D$24,$D$52+(($D$24-$D$52)/('Master Inputs Start here'!$B$58/2))*('Master Inputs Start here'!$B$58-'Valuation Model'!N37)),$D$24))</f>
        <v xml:space="preserve"> </v>
      </c>
      <c r="O40" s="191" t="str">
        <f>IF($D$14&lt;O37," ",IF('Master Inputs Start here'!$B$75="Yes",IF(O37&lt;'Master Inputs Start here'!$B$58/2,$D$24,$D$52+(($D$24-$D$52)/('Master Inputs Start here'!$B$58/2))*('Master Inputs Start here'!$B$58-'Valuation Model'!O37)),$D$24))</f>
        <v xml:space="preserve"> </v>
      </c>
      <c r="P40" s="191" t="str">
        <f>IF($D$14&lt;P37," ",IF('Master Inputs Start here'!$B$75="Yes",IF(P37&lt;'Master Inputs Start here'!$B$58/2,$D$24,$D$52+(($D$24-$D$52)/('Master Inputs Start here'!$B$58/2))*('Master Inputs Start here'!$B$58-'Valuation Model'!P37)),$D$24))</f>
        <v xml:space="preserve"> </v>
      </c>
      <c r="Q40" s="191" t="str">
        <f>IF($D$14&lt;Q37," ",IF('Master Inputs Start here'!$B$75="Yes",IF(Q37&lt;'Master Inputs Start here'!$B$58/2,$D$24,$D$52+(($D$24-$D$52)/('Master Inputs Start here'!$B$58/2))*('Master Inputs Start here'!$B$58-'Valuation Model'!Q37)),$D$24))</f>
        <v xml:space="preserve"> </v>
      </c>
      <c r="R40" s="191" t="str">
        <f>IF($D$14&lt;R37," ",IF('Master Inputs Start here'!$B$75="Yes",IF(R37&lt;'Master Inputs Start here'!$B$58/2,$D$24,$D$52+(($D$24-$D$52)/('Master Inputs Start here'!$B$58/2))*('Master Inputs Start here'!$B$58-'Valuation Model'!R37)),$D$24))</f>
        <v xml:space="preserve"> </v>
      </c>
      <c r="S40" s="205"/>
    </row>
    <row r="41" spans="2:19" s="179" customFormat="1" ht="25" customHeight="1">
      <c r="B41" s="206" t="s">
        <v>187</v>
      </c>
      <c r="C41" s="207">
        <f>IF('Master Inputs Start here'!B6="yes",D3+'R&amp;D converter'!D40,D3)</f>
        <v>15554</v>
      </c>
      <c r="D41" s="208">
        <f>IF($D$14&lt;D37," ",C41*(1+D38))</f>
        <v>18353.281987107584</v>
      </c>
      <c r="E41" s="208">
        <f t="shared" ref="E41:R41" si="0">IF($D$14&lt;E37," ",D41*(1+E38))</f>
        <v>21656.35590190869</v>
      </c>
      <c r="F41" s="208">
        <f t="shared" si="0"/>
        <v>25553.890104210608</v>
      </c>
      <c r="G41" s="208">
        <f t="shared" si="0"/>
        <v>30152.870705293513</v>
      </c>
      <c r="H41" s="208">
        <f t="shared" si="0"/>
        <v>35579.538303654845</v>
      </c>
      <c r="I41" s="208">
        <f t="shared" si="0"/>
        <v>40986.826567549702</v>
      </c>
      <c r="J41" s="208">
        <f t="shared" si="0"/>
        <v>46068.50052913215</v>
      </c>
      <c r="K41" s="208">
        <f t="shared" si="0"/>
        <v>50490.557649822993</v>
      </c>
      <c r="L41" s="208">
        <f t="shared" si="0"/>
        <v>53923.63119923565</v>
      </c>
      <c r="M41" s="208">
        <f t="shared" si="0"/>
        <v>56080.57644720508</v>
      </c>
      <c r="N41" s="208" t="str">
        <f t="shared" si="0"/>
        <v xml:space="preserve"> </v>
      </c>
      <c r="O41" s="208" t="str">
        <f t="shared" si="0"/>
        <v xml:space="preserve"> </v>
      </c>
      <c r="P41" s="208" t="str">
        <f t="shared" si="0"/>
        <v xml:space="preserve"> </v>
      </c>
      <c r="Q41" s="208" t="str">
        <f t="shared" si="0"/>
        <v xml:space="preserve"> </v>
      </c>
      <c r="R41" s="208" t="str">
        <f t="shared" si="0"/>
        <v xml:space="preserve"> </v>
      </c>
      <c r="S41" s="205"/>
    </row>
    <row r="42" spans="2:19" s="179" customFormat="1" ht="25" customHeight="1">
      <c r="B42" s="206" t="s">
        <v>559</v>
      </c>
      <c r="C42" s="209">
        <f>'Master Inputs Start here'!B16</f>
        <v>0.20050041192445001</v>
      </c>
      <c r="D42" s="191">
        <f>IF($D$14&lt;D37," ",$S$42-($D$14-D37)*($S$42-$C$42)/$D$14)</f>
        <v>0.20545037073200501</v>
      </c>
      <c r="E42" s="191">
        <f t="shared" ref="E42:R42" si="1">IF($D$14&lt;E37," ",$S$42-($D$14-E37)*($S$42-$C$42)/$D$14)</f>
        <v>0.21040032953956</v>
      </c>
      <c r="F42" s="191">
        <f t="shared" si="1"/>
        <v>0.215350288347115</v>
      </c>
      <c r="G42" s="191">
        <f t="shared" si="1"/>
        <v>0.22030024715467</v>
      </c>
      <c r="H42" s="191">
        <f t="shared" si="1"/>
        <v>0.225250205962225</v>
      </c>
      <c r="I42" s="191">
        <f t="shared" si="1"/>
        <v>0.23020016476978</v>
      </c>
      <c r="J42" s="191">
        <f t="shared" si="1"/>
        <v>0.235150123577335</v>
      </c>
      <c r="K42" s="191">
        <f t="shared" si="1"/>
        <v>0.24010008238489</v>
      </c>
      <c r="L42" s="191">
        <f t="shared" si="1"/>
        <v>0.245050041192445</v>
      </c>
      <c r="M42" s="191">
        <f t="shared" si="1"/>
        <v>0.25</v>
      </c>
      <c r="N42" s="191" t="str">
        <f t="shared" si="1"/>
        <v xml:space="preserve"> </v>
      </c>
      <c r="O42" s="191" t="str">
        <f t="shared" si="1"/>
        <v xml:space="preserve"> </v>
      </c>
      <c r="P42" s="191" t="str">
        <f t="shared" si="1"/>
        <v xml:space="preserve"> </v>
      </c>
      <c r="Q42" s="191" t="str">
        <f t="shared" si="1"/>
        <v xml:space="preserve"> </v>
      </c>
      <c r="R42" s="191" t="str">
        <f t="shared" si="1"/>
        <v xml:space="preserve"> </v>
      </c>
      <c r="S42" s="199">
        <f>'Master Inputs Start here'!B83</f>
        <v>0.25</v>
      </c>
    </row>
    <row r="43" spans="2:19" s="179" customFormat="1" ht="25" customHeight="1">
      <c r="B43" s="206" t="s">
        <v>282</v>
      </c>
      <c r="C43" s="210">
        <f>C41*(1-C42)</f>
        <v>12435.416592927104</v>
      </c>
      <c r="D43" s="210">
        <f>IF($D$14&lt;D37," ",D41*(1-D42))</f>
        <v>14582.593398707302</v>
      </c>
      <c r="E43" s="210">
        <f t="shared" ref="E43:R43" si="2">IF($D$14&lt;E37," ",E41*(1-E42))</f>
        <v>17099.851483521106</v>
      </c>
      <c r="F43" s="210">
        <f t="shared" si="2"/>
        <v>20050.852501878366</v>
      </c>
      <c r="G43" s="210">
        <f t="shared" si="2"/>
        <v>23510.185836494544</v>
      </c>
      <c r="H43" s="210">
        <f t="shared" si="2"/>
        <v>27565.239972715717</v>
      </c>
      <c r="I43" s="210">
        <f t="shared" si="2"/>
        <v>31551.652338309363</v>
      </c>
      <c r="J43" s="210">
        <f t="shared" si="2"/>
        <v>35235.486936684203</v>
      </c>
      <c r="K43" s="210">
        <f t="shared" si="2"/>
        <v>38367.770598441457</v>
      </c>
      <c r="L43" s="210">
        <f t="shared" si="2"/>
        <v>40709.643152616743</v>
      </c>
      <c r="M43" s="210">
        <f t="shared" si="2"/>
        <v>42060.432335403806</v>
      </c>
      <c r="N43" s="210" t="str">
        <f t="shared" si="2"/>
        <v xml:space="preserve"> </v>
      </c>
      <c r="O43" s="210" t="str">
        <f t="shared" si="2"/>
        <v xml:space="preserve"> </v>
      </c>
      <c r="P43" s="210" t="str">
        <f t="shared" si="2"/>
        <v xml:space="preserve"> </v>
      </c>
      <c r="Q43" s="210" t="str">
        <f t="shared" si="2"/>
        <v xml:space="preserve"> </v>
      </c>
      <c r="R43" s="210" t="str">
        <f t="shared" si="2"/>
        <v xml:space="preserve"> </v>
      </c>
      <c r="S43" s="184">
        <f>(MAX(C43:R43)/(1-D22))*(1-E22)*(1+D51)</f>
        <v>43742.84962881996</v>
      </c>
    </row>
    <row r="44" spans="2:19" s="179" customFormat="1" ht="25" customHeight="1">
      <c r="B44" s="206" t="s">
        <v>290</v>
      </c>
      <c r="C44" s="207">
        <f>D5-D6</f>
        <v>8732.2000000000007</v>
      </c>
      <c r="D44" s="210">
        <f>IF($D$14&lt;D37," ",D40*D43-D45)</f>
        <v>12415.226579054544</v>
      </c>
      <c r="E44" s="210">
        <f t="shared" ref="E44:R44" si="3">IF($D$14&lt;E37," ",E40*E43-E45)</f>
        <v>14555.162466158788</v>
      </c>
      <c r="F44" s="210">
        <f t="shared" si="3"/>
        <v>17063.227261174707</v>
      </c>
      <c r="G44" s="210">
        <f t="shared" si="3"/>
        <v>20002.614407332137</v>
      </c>
      <c r="H44" s="210">
        <f t="shared" si="3"/>
        <v>23447.339783409094</v>
      </c>
      <c r="I44" s="210">
        <f t="shared" si="3"/>
        <v>23085.428056483419</v>
      </c>
      <c r="J44" s="210">
        <f t="shared" si="3"/>
        <v>21598.945106140305</v>
      </c>
      <c r="K44" s="210">
        <f t="shared" si="3"/>
        <v>18976.161982647696</v>
      </c>
      <c r="L44" s="210">
        <f t="shared" si="3"/>
        <v>15326.654160198243</v>
      </c>
      <c r="M44" s="210">
        <f t="shared" si="3"/>
        <v>10881.770748303412</v>
      </c>
      <c r="N44" s="210" t="str">
        <f t="shared" si="3"/>
        <v xml:space="preserve"> </v>
      </c>
      <c r="O44" s="210" t="str">
        <f t="shared" si="3"/>
        <v xml:space="preserve"> </v>
      </c>
      <c r="P44" s="184" t="str">
        <f t="shared" si="3"/>
        <v xml:space="preserve"> </v>
      </c>
      <c r="Q44" s="184" t="str">
        <f t="shared" si="3"/>
        <v xml:space="preserve"> </v>
      </c>
      <c r="R44" s="184" t="str">
        <f t="shared" si="3"/>
        <v xml:space="preserve"> </v>
      </c>
      <c r="S44" s="184">
        <f>IF('Master Inputs Start here'!B85="yes",'Valuation Model'!E24*S43-S45,('Master Inputs Start here'!B87-1)*D6*(1+'Valuation Model'!D34)^D14*(1+D51))</f>
        <v>11160.129246500184</v>
      </c>
    </row>
    <row r="45" spans="2:19" s="179" customFormat="1" ht="25" customHeight="1">
      <c r="B45" s="206" t="s">
        <v>222</v>
      </c>
      <c r="C45" s="210">
        <f>D10</f>
        <v>2225</v>
      </c>
      <c r="D45" s="210">
        <f>IF($D$14&lt;D37," ",($D$8*(D39-1)*$D$35))</f>
        <v>433.91210434077334</v>
      </c>
      <c r="E45" s="210">
        <f>IF($D$14&lt;E37," ",($D$8*(E39-D39)*$D$35))</f>
        <v>512.0040638154469</v>
      </c>
      <c r="F45" s="210">
        <f t="shared" ref="F45:R45" si="4">IF($D$14&lt;F37," ",($D$8*(F39-E39)*$D$35))</f>
        <v>604.15037686446726</v>
      </c>
      <c r="G45" s="210">
        <f t="shared" si="4"/>
        <v>712.88043134954933</v>
      </c>
      <c r="H45" s="210">
        <f t="shared" si="4"/>
        <v>841.17883371796108</v>
      </c>
      <c r="I45" s="210">
        <f t="shared" si="4"/>
        <v>838.17487490359474</v>
      </c>
      <c r="J45" s="210">
        <f t="shared" si="4"/>
        <v>787.70193656778133</v>
      </c>
      <c r="K45" s="210">
        <f t="shared" si="4"/>
        <v>685.45581316610651</v>
      </c>
      <c r="L45" s="210">
        <f t="shared" si="4"/>
        <v>532.1550937144093</v>
      </c>
      <c r="M45" s="210">
        <f t="shared" si="4"/>
        <v>334.3445411376037</v>
      </c>
      <c r="N45" s="210" t="str">
        <f t="shared" si="4"/>
        <v xml:space="preserve"> </v>
      </c>
      <c r="O45" s="210" t="str">
        <f t="shared" si="4"/>
        <v xml:space="preserve"> </v>
      </c>
      <c r="P45" s="184" t="str">
        <f t="shared" si="4"/>
        <v xml:space="preserve"> </v>
      </c>
      <c r="Q45" s="184" t="str">
        <f t="shared" si="4"/>
        <v xml:space="preserve"> </v>
      </c>
      <c r="R45" s="184" t="str">
        <f t="shared" si="4"/>
        <v xml:space="preserve"> </v>
      </c>
      <c r="S45" s="184">
        <f>(D8*(1+D34)^D14*(1+D51)-D8*(1+D34)^D14)*D35</f>
        <v>504.63065451847308</v>
      </c>
    </row>
    <row r="46" spans="2:19" s="179" customFormat="1" ht="25" customHeight="1">
      <c r="B46" s="206" t="s">
        <v>178</v>
      </c>
      <c r="C46" s="210">
        <f>C43-C44-C45</f>
        <v>1478.2165929271032</v>
      </c>
      <c r="D46" s="210">
        <f>IF($D$14&lt;D37," ",D43-D44-D45)</f>
        <v>1733.4547153119845</v>
      </c>
      <c r="E46" s="210">
        <f t="shared" ref="E46:R46" si="5">IF($D$14&lt;E37," ",E43-E44-E45)</f>
        <v>2032.6849535468709</v>
      </c>
      <c r="F46" s="210">
        <f t="shared" si="5"/>
        <v>2383.474863839192</v>
      </c>
      <c r="G46" s="210">
        <f t="shared" si="5"/>
        <v>2794.6909978128569</v>
      </c>
      <c r="H46" s="210">
        <f t="shared" si="5"/>
        <v>3276.7213555886624</v>
      </c>
      <c r="I46" s="210">
        <f t="shared" si="5"/>
        <v>7628.0494069223487</v>
      </c>
      <c r="J46" s="210">
        <f t="shared" si="5"/>
        <v>12848.839893976117</v>
      </c>
      <c r="K46" s="210">
        <f t="shared" si="5"/>
        <v>18706.152802627654</v>
      </c>
      <c r="L46" s="210">
        <f t="shared" si="5"/>
        <v>24850.833898704092</v>
      </c>
      <c r="M46" s="210">
        <f t="shared" si="5"/>
        <v>30844.317045962791</v>
      </c>
      <c r="N46" s="210" t="str">
        <f t="shared" si="5"/>
        <v xml:space="preserve"> </v>
      </c>
      <c r="O46" s="210" t="str">
        <f t="shared" si="5"/>
        <v xml:space="preserve"> </v>
      </c>
      <c r="P46" s="184" t="str">
        <f t="shared" si="5"/>
        <v xml:space="preserve"> </v>
      </c>
      <c r="Q46" s="184" t="str">
        <f t="shared" si="5"/>
        <v xml:space="preserve"> </v>
      </c>
      <c r="R46" s="184" t="str">
        <f t="shared" si="5"/>
        <v xml:space="preserve"> </v>
      </c>
      <c r="S46" s="211">
        <f>S43-S44-S45</f>
        <v>32078.089727801304</v>
      </c>
    </row>
    <row r="47" spans="2:19" s="179" customFormat="1" ht="25" customHeight="1">
      <c r="B47" s="206" t="s">
        <v>78</v>
      </c>
      <c r="C47" s="184"/>
      <c r="D47" s="191">
        <f>IF($D$14&lt;D37," ",IF('Master Inputs Start here'!$B$75="Yes",IF(D37&lt;'Master Inputs Start here'!$B$58/2,$D$31,$D$58+(($D$31-$D$58)/('Master Inputs Start here'!$B$58/2))*('Master Inputs Start here'!$B$58-'Valuation Model'!D37)),$D$31))</f>
        <v>9.2653997385002393E-2</v>
      </c>
      <c r="E47" s="191">
        <f>IF($D$14&lt;E37," ",IF('Master Inputs Start here'!$B$75="Yes",IF(E37&lt;'Master Inputs Start here'!$B$58/2,$D$31,$D$58+(($D$31-$D$58)/('Master Inputs Start here'!$B$58/2))*('Master Inputs Start here'!$B$58-'Valuation Model'!E37)),$D$31))</f>
        <v>9.2653997385002393E-2</v>
      </c>
      <c r="F47" s="191">
        <f>IF($D$14&lt;F37," ",IF('Master Inputs Start here'!$B$75="Yes",IF(F37&lt;'Master Inputs Start here'!$B$58/2,$D$31,$D$58+(($D$31-$D$58)/('Master Inputs Start here'!$B$58/2))*('Master Inputs Start here'!$B$58-'Valuation Model'!F37)),$D$31))</f>
        <v>9.2653997385002393E-2</v>
      </c>
      <c r="G47" s="191">
        <f>IF($D$14&lt;G37," ",IF('Master Inputs Start here'!$B$75="Yes",IF(G37&lt;'Master Inputs Start here'!$B$58/2,$D$31,$D$58+(($D$31-$D$58)/('Master Inputs Start here'!$B$58/2))*('Master Inputs Start here'!$B$58-'Valuation Model'!G37)),$D$31))</f>
        <v>9.2653997385002393E-2</v>
      </c>
      <c r="H47" s="191">
        <f>IF($D$14&lt;H37," ",IF('Master Inputs Start here'!$B$75="Yes",IF(H37&lt;'Master Inputs Start here'!$B$58/2,$D$31,$D$58+(($D$31-$D$58)/('Master Inputs Start here'!$B$58/2))*('Master Inputs Start here'!$B$58-'Valuation Model'!H37)),$D$31))</f>
        <v>9.2653997385002393E-2</v>
      </c>
      <c r="I47" s="191">
        <f>IF($D$14&lt;I37," ",IF('Master Inputs Start here'!$B$75="Yes",IF(I37&lt;'Master Inputs Start here'!$B$58/2,$D$31,$D$58+(($D$31-$D$58)/('Master Inputs Start here'!$B$58/2))*('Master Inputs Start here'!$B$58-'Valuation Model'!I37)),$D$31))</f>
        <v>9.071119744986085E-2</v>
      </c>
      <c r="J47" s="191">
        <f>IF($D$14&lt;J37," ",IF('Master Inputs Start here'!$B$75="Yes",IF(J37&lt;'Master Inputs Start here'!$B$58/2,$D$31,$D$58+(($D$31-$D$58)/('Master Inputs Start here'!$B$58/2))*('Master Inputs Start here'!$B$58-'Valuation Model'!J37)),$D$31))</f>
        <v>8.8768397514719308E-2</v>
      </c>
      <c r="K47" s="191">
        <f>IF($D$14&lt;K37," ",IF('Master Inputs Start here'!$B$75="Yes",IF(K37&lt;'Master Inputs Start here'!$B$58/2,$D$31,$D$58+(($D$31-$D$58)/('Master Inputs Start here'!$B$58/2))*('Master Inputs Start here'!$B$58-'Valuation Model'!K37)),$D$31))</f>
        <v>8.6825597579577779E-2</v>
      </c>
      <c r="L47" s="191">
        <f>IF($D$14&lt;L37," ",IF('Master Inputs Start here'!$B$75="Yes",IF(L37&lt;'Master Inputs Start here'!$B$58/2,$D$31,$D$58+(($D$31-$D$58)/('Master Inputs Start here'!$B$58/2))*('Master Inputs Start here'!$B$58-'Valuation Model'!L37)),$D$31))</f>
        <v>8.4882797644436236E-2</v>
      </c>
      <c r="M47" s="191">
        <f>IF($D$14&lt;M37," ",IF('Master Inputs Start here'!$B$75="Yes",IF(M37&lt;'Master Inputs Start here'!$B$58/2,$D$31,$D$58+(($D$31-$D$58)/('Master Inputs Start here'!$B$58/2))*('Master Inputs Start here'!$B$58-'Valuation Model'!M37)),$D$31))</f>
        <v>8.2939997709294694E-2</v>
      </c>
      <c r="N47" s="191" t="str">
        <f>IF($D$14&lt;N37," ",IF('Master Inputs Start here'!$B$75="Yes",IF(N37&lt;'Master Inputs Start here'!$B$58/2,$D$31,$D$58+(($D$31-$D$58)/('Master Inputs Start here'!$B$58/2))*('Master Inputs Start here'!$B$58-'Valuation Model'!N37)),$D$31))</f>
        <v xml:space="preserve"> </v>
      </c>
      <c r="O47" s="191" t="str">
        <f>IF($D$14&lt;O37," ",IF('Master Inputs Start here'!$B$75="Yes",IF(O37&lt;'Master Inputs Start here'!$B$58/2,$D$31,$D$58+(($D$31-$D$58)/('Master Inputs Start here'!$B$58/2))*('Master Inputs Start here'!$B$58-'Valuation Model'!O37)),$D$31))</f>
        <v xml:space="preserve"> </v>
      </c>
      <c r="P47" s="191" t="str">
        <f>IF($D$14&lt;P37," ",IF('Master Inputs Start here'!$B$75="Yes",IF(P37&lt;'Master Inputs Start here'!$B$58/2,$D$31,$D$58+(($D$31-$D$58)/('Master Inputs Start here'!$B$58/2))*('Master Inputs Start here'!$B$58-'Valuation Model'!P37)),$D$31))</f>
        <v xml:space="preserve"> </v>
      </c>
      <c r="Q47" s="191" t="str">
        <f>IF($D$14&lt;Q37," ",IF('Master Inputs Start here'!$B$75="Yes",IF(Q37&lt;'Master Inputs Start here'!$B$58/2,$D$31,$D$58+(($D$31-$D$58)/('Master Inputs Start here'!$B$58/2))*('Master Inputs Start here'!$B$58-'Valuation Model'!Q37)),$D$31))</f>
        <v xml:space="preserve"> </v>
      </c>
      <c r="R47" s="191" t="str">
        <f>IF($D$14&lt;R37," ",IF('Master Inputs Start here'!$B$75="Yes",IF(R37&lt;'Master Inputs Start here'!$B$58/2,$D$31,$D$58+(($D$31-$D$58)/('Master Inputs Start here'!$B$58/2))*('Master Inputs Start here'!$B$58-'Valuation Model'!R37)),$D$31))</f>
        <v xml:space="preserve"> </v>
      </c>
      <c r="S47" s="211"/>
    </row>
    <row r="48" spans="2:19" s="179" customFormat="1" ht="25" customHeight="1">
      <c r="B48" s="206" t="s">
        <v>85</v>
      </c>
      <c r="C48" s="184"/>
      <c r="D48" s="212">
        <f>IF($D$14&lt;D37," ",(1+D47))</f>
        <v>1.0926539973850025</v>
      </c>
      <c r="E48" s="212">
        <f>IF($D$14&lt;E37," ",(1+D47)*(1+E47))</f>
        <v>1.1938927580014249</v>
      </c>
      <c r="F48" s="212">
        <f>IF($D$14&lt;F37," ",(1+D47)*(1+E47)*(1+F47))</f>
        <v>1.3045116944792623</v>
      </c>
      <c r="G48" s="212">
        <f>IF($D$14&lt;G37," ",(1+D47)*(1+E47)*(1+F47)*(1+G47))</f>
        <v>1.4253799176082489</v>
      </c>
      <c r="H48" s="212">
        <f>IF($D$14&lt;H37," ",(1+D47)*(1+E47)*(1+F47)*(1+G47)*(1+H47))</f>
        <v>1.5574470647669587</v>
      </c>
      <c r="I48" s="212">
        <f>IF($D$14&lt;I37," ",(1+D47)*(1+E47)*(1+F47)*(1+G47)*(1+H47)*(1+I47))</f>
        <v>1.6987249529767405</v>
      </c>
      <c r="J48" s="212">
        <f>IF($D$14&lt;J37," ",(1+D47)*(1+E47)*(1+F47)*(1+G47)*(1+H47)*(1+I47)*(1+J47))</f>
        <v>1.8495180448707527</v>
      </c>
      <c r="K48" s="212">
        <f>IF($D$14&lt;K37," ",(1+D47)*(1+E47)*(1+F47)*(1+G47)*(1+H47)*(1+I47)*(1+J47)*(1+K47))</f>
        <v>2.0101035543508678</v>
      </c>
      <c r="L48" s="212">
        <f>IF($D$14&lt;L37," ",(1+D47)*(1+E47)*(1+F47)*(1+G47)*(1+H47)*(1+I47)*(1+J47)*(1+K47)*(1+L47))</f>
        <v>2.1807267675991944</v>
      </c>
      <c r="M48" s="212">
        <f>IF($D$14&lt;M37," ",(1+D47)*(1+E47)*(1+F47)*(1+G47)*(1+H47)*(1+I47)*(1+J47)*(1+K47)*(1+L47)*(1+M47))</f>
        <v>2.3615962407084692</v>
      </c>
      <c r="N48" s="212" t="str">
        <f>IF($D$14&lt;N37," ",(1+D47)*(1+E47)*(1+F47)*(1+G47)*(1+H47)*(1+I47)*(1+J47)*(1+K47)*(1+L47)*(1+M47)*(1+N47))</f>
        <v xml:space="preserve"> </v>
      </c>
      <c r="O48" s="212" t="str">
        <f>IF($D$14&lt;O37," ",(1+D47)*(1+E47)*(1+F47)*(1+G47)*(1+H47)*(1+I47)*(1+J47)*(1+K47)*(1+L47)*(1+M47)*(1+N47)*(1+O47))</f>
        <v xml:space="preserve"> </v>
      </c>
      <c r="P48" s="191" t="str">
        <f>IF($D$14&lt;P37," ",(1+D47)*(1+E47)*(1+F47)*(1+G47)*(1+H47)*(1+I47)*(1+J47)*(1+K47)*(1+L47)*(1+M47)*(1+N47)*(1+O47)*(1+P47))</f>
        <v xml:space="preserve"> </v>
      </c>
      <c r="Q48" s="191" t="str">
        <f>IF($D$14&lt;Q37," ",(1+D47)*(1+E47)*(1+F47)*(1+G47)*(1+H47)*(1+I47)*(1+J47)*(1+K47)*(1+L47)*(1+M47)*(1+N47)*(1+O47)*(1+P47)*(1+Q47))</f>
        <v xml:space="preserve"> </v>
      </c>
      <c r="R48" s="191" t="str">
        <f>IF($D$14&lt;R37," ",(1+D47)*(1+E47)*(1+F47)*(1+G47)*(1+H47)*(1+I47)*(1+J47)*(1+K47)*(1+L47)*(1+M47)*(1+N47)*(1+O47)*(1+P47)*(1+Q47)*(1+R47))</f>
        <v xml:space="preserve"> </v>
      </c>
      <c r="S48" s="211"/>
    </row>
    <row r="49" spans="2:19" s="179" customFormat="1" ht="25" customHeight="1">
      <c r="B49" s="189" t="s">
        <v>317</v>
      </c>
      <c r="C49" s="213"/>
      <c r="D49" s="214">
        <f>IF($D$14&lt;D37," ",D46/D48)</f>
        <v>1586.4626125567474</v>
      </c>
      <c r="E49" s="214">
        <f t="shared" ref="E49:R49" si="6">IF($D$14&lt;E37," ",E46/E48)</f>
        <v>1702.5691293660104</v>
      </c>
      <c r="F49" s="214">
        <f t="shared" si="6"/>
        <v>1827.1011857740627</v>
      </c>
      <c r="G49" s="214">
        <f t="shared" si="6"/>
        <v>1960.6639347790708</v>
      </c>
      <c r="H49" s="214">
        <f t="shared" si="6"/>
        <v>2103.9054422558875</v>
      </c>
      <c r="I49" s="214">
        <f t="shared" si="6"/>
        <v>4490.4558525236398</v>
      </c>
      <c r="J49" s="214">
        <f t="shared" si="6"/>
        <v>6947.1287017770164</v>
      </c>
      <c r="K49" s="214">
        <f t="shared" si="6"/>
        <v>9306.0642384011499</v>
      </c>
      <c r="L49" s="214">
        <f t="shared" si="6"/>
        <v>11395.666008200958</v>
      </c>
      <c r="M49" s="214">
        <f t="shared" si="6"/>
        <v>13060.791897564006</v>
      </c>
      <c r="N49" s="214" t="str">
        <f t="shared" si="6"/>
        <v xml:space="preserve"> </v>
      </c>
      <c r="O49" s="214" t="str">
        <f t="shared" si="6"/>
        <v xml:space="preserve"> </v>
      </c>
      <c r="P49" s="213" t="str">
        <f t="shared" si="6"/>
        <v xml:space="preserve"> </v>
      </c>
      <c r="Q49" s="213" t="str">
        <f t="shared" si="6"/>
        <v xml:space="preserve"> </v>
      </c>
      <c r="R49" s="213" t="str">
        <f t="shared" si="6"/>
        <v xml:space="preserve"> </v>
      </c>
      <c r="S49" s="205"/>
    </row>
    <row r="50" spans="2:19" s="179" customFormat="1" ht="25" customHeight="1">
      <c r="D50" s="215"/>
      <c r="E50" s="180"/>
      <c r="F50" s="180"/>
      <c r="S50" s="216"/>
    </row>
    <row r="51" spans="2:19" s="179" customFormat="1" ht="25" customHeight="1">
      <c r="B51" s="179" t="s">
        <v>272</v>
      </c>
      <c r="D51" s="199">
        <f>'Master Inputs Start here'!B78</f>
        <v>0.04</v>
      </c>
      <c r="E51" s="180"/>
    </row>
    <row r="52" spans="2:19" s="179" customFormat="1" ht="25" customHeight="1">
      <c r="B52" s="179" t="s">
        <v>368</v>
      </c>
      <c r="D52" s="199">
        <f>(S44+S45)/S43</f>
        <v>0.26666666666666666</v>
      </c>
      <c r="E52" s="180"/>
    </row>
    <row r="53" spans="2:19" s="179" customFormat="1" ht="25" customHeight="1">
      <c r="B53" s="179" t="s">
        <v>273</v>
      </c>
      <c r="D53" s="184">
        <f>S46</f>
        <v>32078.089727801304</v>
      </c>
      <c r="E53" s="180"/>
    </row>
    <row r="54" spans="2:19" s="179" customFormat="1" ht="25" customHeight="1">
      <c r="B54" s="179" t="s">
        <v>337</v>
      </c>
      <c r="D54" s="199">
        <f>E18+E17*E19</f>
        <v>9.4131247136618357E-2</v>
      </c>
      <c r="E54" s="180"/>
    </row>
    <row r="55" spans="2:19" s="179" customFormat="1" ht="25" customHeight="1">
      <c r="B55" s="179" t="s">
        <v>226</v>
      </c>
      <c r="D55" s="199">
        <f>1-E16</f>
        <v>0.8</v>
      </c>
      <c r="E55" s="180"/>
    </row>
    <row r="56" spans="2:19" s="179" customFormat="1" ht="25" customHeight="1">
      <c r="B56" s="179" t="s">
        <v>341</v>
      </c>
      <c r="D56" s="199">
        <f>E20*(1-E22)</f>
        <v>3.8175000000000001E-2</v>
      </c>
      <c r="E56" s="180"/>
    </row>
    <row r="57" spans="2:19" s="179" customFormat="1" ht="25" customHeight="1">
      <c r="B57" s="179" t="s">
        <v>141</v>
      </c>
      <c r="D57" s="199">
        <f>1-D55</f>
        <v>0.19999999999999996</v>
      </c>
      <c r="E57" s="180"/>
    </row>
    <row r="58" spans="2:19" s="179" customFormat="1" ht="25" customHeight="1">
      <c r="B58" s="179" t="s">
        <v>291</v>
      </c>
      <c r="D58" s="199">
        <f>D54*D55+D56*D57</f>
        <v>8.2939997709294694E-2</v>
      </c>
      <c r="E58" s="180"/>
    </row>
    <row r="59" spans="2:19" s="217" customFormat="1" ht="25" customHeight="1">
      <c r="B59" s="217" t="s">
        <v>97</v>
      </c>
      <c r="D59" s="213">
        <f>D53/(D58-D51)</f>
        <v>747044.51418398088</v>
      </c>
      <c r="E59" s="218"/>
    </row>
    <row r="60" spans="2:19" s="179" customFormat="1" ht="25" customHeight="1">
      <c r="B60" s="246" t="s">
        <v>54</v>
      </c>
      <c r="C60" s="246"/>
      <c r="D60" s="246"/>
      <c r="E60" s="246"/>
      <c r="F60" s="246"/>
      <c r="G60" s="246"/>
      <c r="H60" s="246"/>
      <c r="I60" s="246"/>
      <c r="J60" s="246"/>
      <c r="K60" s="246"/>
    </row>
    <row r="61" spans="2:19" s="179" customFormat="1" ht="25" customHeight="1">
      <c r="B61" s="217" t="s">
        <v>98</v>
      </c>
      <c r="C61" s="217"/>
      <c r="D61" s="217"/>
      <c r="E61" s="218"/>
      <c r="F61" s="219">
        <f>SUM(D49:R49)</f>
        <v>54380.809003198548</v>
      </c>
    </row>
    <row r="62" spans="2:19" s="179" customFormat="1" ht="25" customHeight="1">
      <c r="B62" s="217" t="s">
        <v>143</v>
      </c>
      <c r="C62" s="217"/>
      <c r="D62" s="217"/>
      <c r="E62" s="218"/>
      <c r="F62" s="219">
        <f>IF('Master Inputs Start here'!B58=0,'Valuation Model'!D59,D59/MAX(D48:R48))</f>
        <v>316330.32832058991</v>
      </c>
      <c r="G62" s="220"/>
    </row>
    <row r="63" spans="2:19" s="179" customFormat="1" ht="25" customHeight="1">
      <c r="B63" s="217" t="s">
        <v>115</v>
      </c>
      <c r="C63" s="217"/>
      <c r="D63" s="217"/>
      <c r="E63" s="218"/>
      <c r="F63" s="219">
        <f>F61+F62</f>
        <v>370711.13732378848</v>
      </c>
    </row>
    <row r="64" spans="2:19" s="179" customFormat="1" ht="25" customHeight="1">
      <c r="B64" s="217" t="s">
        <v>348</v>
      </c>
      <c r="C64" s="217"/>
      <c r="D64" s="217"/>
      <c r="E64" s="218"/>
      <c r="F64" s="219">
        <f>'Master Inputs Start here'!B24+'Master Inputs Start here'!B25</f>
        <v>5980</v>
      </c>
    </row>
    <row r="65" spans="2:6" s="179" customFormat="1" ht="25" customHeight="1">
      <c r="B65" s="217" t="s">
        <v>255</v>
      </c>
      <c r="C65" s="217"/>
      <c r="D65" s="217"/>
      <c r="E65" s="218"/>
      <c r="F65" s="219">
        <f>F63+F64</f>
        <v>376691.13732378848</v>
      </c>
    </row>
    <row r="66" spans="2:6" s="179" customFormat="1" ht="25" customHeight="1">
      <c r="B66" s="217" t="s">
        <v>144</v>
      </c>
      <c r="C66" s="217"/>
      <c r="D66" s="217"/>
      <c r="E66" s="218"/>
      <c r="F66" s="219">
        <f>IF('Master Inputs Start here'!B7="Yes",IF('Master Inputs Start here'!B29="Yes",'Master Inputs Start here'!B33+'Operating lease converter'!F35,'Master Inputs Start here'!B21+'Operating lease converter'!F35),IF('Master Inputs Start here'!B29="Yes",'Master Inputs Start here'!B33,'Master Inputs Start here'!B21))</f>
        <v>25226</v>
      </c>
    </row>
    <row r="67" spans="2:6" s="179" customFormat="1" ht="25" customHeight="1">
      <c r="B67" s="217" t="s">
        <v>405</v>
      </c>
      <c r="C67" s="217"/>
      <c r="D67" s="217"/>
      <c r="E67" s="218"/>
      <c r="F67" s="219">
        <f>'Master Inputs Start here'!B26</f>
        <v>92</v>
      </c>
    </row>
    <row r="68" spans="2:6" s="179" customFormat="1" ht="25" customHeight="1">
      <c r="B68" s="217" t="s">
        <v>145</v>
      </c>
      <c r="C68" s="217"/>
      <c r="D68" s="217"/>
      <c r="E68" s="218"/>
      <c r="F68" s="219">
        <f>F65-F66-F67</f>
        <v>351373.13732378848</v>
      </c>
    </row>
    <row r="69" spans="2:6" s="179" customFormat="1" ht="25" customHeight="1">
      <c r="B69" s="217" t="s">
        <v>190</v>
      </c>
      <c r="C69" s="217"/>
      <c r="D69" s="217"/>
      <c r="E69" s="218"/>
      <c r="F69" s="221">
        <f>IF('Master Inputs Start here'!B49="Yes",'Option Value'!D27*(1-'Master Inputs Start here'!B17),0)</f>
        <v>0</v>
      </c>
    </row>
    <row r="70" spans="2:6" s="179" customFormat="1" ht="25" customHeight="1">
      <c r="B70" s="217" t="s">
        <v>191</v>
      </c>
      <c r="C70" s="217"/>
      <c r="D70" s="217"/>
      <c r="E70" s="218"/>
      <c r="F70" s="221">
        <f>F68-F69</f>
        <v>351373.13732378848</v>
      </c>
    </row>
    <row r="71" spans="2:6" s="179" customFormat="1" ht="25" customHeight="1">
      <c r="B71" s="217" t="s">
        <v>654</v>
      </c>
      <c r="C71" s="217"/>
      <c r="D71" s="217"/>
      <c r="E71" s="218"/>
      <c r="F71" s="221">
        <f>F70/'Master Inputs Start here'!B32</f>
        <v>369.70690262496026</v>
      </c>
    </row>
    <row r="72" spans="2:6" s="179" customFormat="1" ht="25" customHeight="1">
      <c r="B72" s="217" t="s">
        <v>655</v>
      </c>
      <c r="E72" s="180"/>
      <c r="F72" s="181">
        <f>'Master Inputs Start here'!B31</f>
        <v>804.14</v>
      </c>
    </row>
    <row r="73" spans="2:6" s="179" customFormat="1" ht="25" customHeight="1">
      <c r="B73" s="217" t="s">
        <v>656</v>
      </c>
      <c r="F73" s="222">
        <f>F72/F71-1</f>
        <v>1.1750743475183079</v>
      </c>
    </row>
  </sheetData>
  <scenarios current="0" show="0" sqref="F167">
    <scenario name="LifeHighGrowthWhat-if" locked="1" count="1" user="Aswath Damodaran" comment="Created by Aswath Damodaran on 6/21/99">
      <inputCells r="E26" undone="1" val="10" numFmtId="1"/>
    </scenario>
  </scenarios>
  <mergeCells count="3">
    <mergeCell ref="B1:J1"/>
    <mergeCell ref="B60:K60"/>
    <mergeCell ref="F13:O13"/>
  </mergeCells>
  <phoneticPr fontId="24" type="noConversion"/>
  <printOptions gridLinesSet="0"/>
  <pageMargins left="0.75" right="0.75" top="1" bottom="1" header="0.5" footer="0.5"/>
  <pageSetup scale="80" orientation="landscape" horizontalDpi="4294967292" verticalDpi="4294967292"/>
  <headerFooter alignWithMargins="0">
    <oddHeader>&amp;C Two-Stage FCFF Discount Model</oddHeader>
    <oddFooter>Page &amp;p</oddFooter>
  </headerFooter>
  <rowBreaks count="1" manualBreakCount="1">
    <brk id="2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B927-0788-E84E-92D4-6D58EFDA443D}">
  <dimension ref="A1:D5"/>
  <sheetViews>
    <sheetView workbookViewId="0">
      <selection sqref="A1:D5"/>
    </sheetView>
  </sheetViews>
  <sheetFormatPr baseColWidth="10" defaultRowHeight="14"/>
  <cols>
    <col min="1" max="1" width="18.42578125" customWidth="1"/>
  </cols>
  <sheetData>
    <row r="1" spans="1:4">
      <c r="B1" s="242" t="s">
        <v>229</v>
      </c>
      <c r="C1" s="242" t="s">
        <v>870</v>
      </c>
      <c r="D1" s="242" t="s">
        <v>871</v>
      </c>
    </row>
    <row r="2" spans="1:4">
      <c r="A2" s="242" t="s">
        <v>869</v>
      </c>
      <c r="B2" s="243">
        <f>'Valuation Model'!D23</f>
        <v>0.20425152371042071</v>
      </c>
      <c r="D2" s="243">
        <f>'Valuation Model'!E23</f>
        <v>0.15</v>
      </c>
    </row>
    <row r="3" spans="1:4">
      <c r="A3" s="242" t="s">
        <v>27</v>
      </c>
      <c r="B3" s="243">
        <f>'Valuation Model'!D24</f>
        <v>0.88112850246063579</v>
      </c>
      <c r="D3" s="243">
        <f>'Valuation Model'!E24</f>
        <v>0.26666666666666666</v>
      </c>
    </row>
    <row r="4" spans="1:4">
      <c r="A4" s="242" t="s">
        <v>340</v>
      </c>
      <c r="B4" s="243">
        <f>'Valuation Model'!D15</f>
        <v>0.17997183921226603</v>
      </c>
      <c r="D4" s="243">
        <f>'Valuation Model'!E15</f>
        <v>0.04</v>
      </c>
    </row>
    <row r="5" spans="1:4">
      <c r="A5" s="242" t="s">
        <v>78</v>
      </c>
      <c r="B5" s="243">
        <f>'Valuation Model'!D31</f>
        <v>9.2653997385002393E-2</v>
      </c>
      <c r="D5" s="243">
        <f>'Valuation Model'!D58</f>
        <v>8.2939997709294694E-2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1"/>
  <sheetViews>
    <sheetView workbookViewId="0">
      <selection activeCell="G63" sqref="G63"/>
    </sheetView>
  </sheetViews>
  <sheetFormatPr baseColWidth="10" defaultRowHeight="14"/>
  <cols>
    <col min="5" max="5" width="10.7109375" style="34"/>
  </cols>
  <sheetData>
    <row r="1" spans="1:5" s="14" customFormat="1" ht="18">
      <c r="A1" s="14" t="s">
        <v>140</v>
      </c>
      <c r="D1" s="33"/>
      <c r="E1" s="33"/>
    </row>
    <row r="2" spans="1:5" s="1" customFormat="1" ht="13">
      <c r="A2" s="1" t="s">
        <v>308</v>
      </c>
      <c r="D2" s="59">
        <v>3</v>
      </c>
      <c r="E2" s="5"/>
    </row>
    <row r="3" spans="1:5" s="1" customFormat="1" ht="13">
      <c r="E3" s="5"/>
    </row>
    <row r="4" spans="1:5" s="3" customFormat="1" ht="13">
      <c r="A4" s="3" t="s">
        <v>86</v>
      </c>
      <c r="E4" s="9"/>
    </row>
    <row r="5" spans="1:5" s="1" customFormat="1" ht="13">
      <c r="A5" s="1" t="s">
        <v>96</v>
      </c>
      <c r="D5" s="59">
        <v>3500</v>
      </c>
    </row>
    <row r="6" spans="1:5" s="1" customFormat="1" ht="13">
      <c r="D6" s="5"/>
    </row>
    <row r="7" spans="1:5" s="3" customFormat="1" ht="13">
      <c r="A7" s="3" t="s">
        <v>254</v>
      </c>
      <c r="D7" s="9"/>
    </row>
    <row r="8" spans="1:5" s="1" customFormat="1" ht="13">
      <c r="A8" s="1" t="s">
        <v>240</v>
      </c>
      <c r="D8" s="63">
        <v>0.22</v>
      </c>
    </row>
    <row r="9" spans="1:5" s="1" customFormat="1" ht="13">
      <c r="D9" s="5"/>
    </row>
    <row r="10" spans="1:5" s="3" customFormat="1" ht="13">
      <c r="A10" s="3" t="s">
        <v>241</v>
      </c>
      <c r="D10" s="9"/>
    </row>
    <row r="11" spans="1:5" s="1" customFormat="1" ht="13">
      <c r="A11" s="1" t="s">
        <v>45</v>
      </c>
      <c r="D11" s="61">
        <f>G21</f>
        <v>0.14716703458425312</v>
      </c>
      <c r="E11" s="1" t="s">
        <v>46</v>
      </c>
    </row>
    <row r="12" spans="1:5" s="1" customFormat="1" ht="13">
      <c r="E12" s="5"/>
    </row>
    <row r="14" spans="1:5" s="1" customFormat="1" ht="13">
      <c r="A14" s="1" t="s">
        <v>94</v>
      </c>
      <c r="D14" s="64">
        <f>IF(D2=1,D5,(IF(D2=2,D8*('Master Inputs Start here'!B21+'Master Inputs Start here'!B22),'Earnings Normalizer'!D11*'Master Inputs Start here'!B18)))</f>
        <v>5021.9278881530536</v>
      </c>
      <c r="E14" s="5"/>
    </row>
    <row r="17" spans="1:7" s="4" customFormat="1" ht="13">
      <c r="A17" s="4" t="s">
        <v>218</v>
      </c>
      <c r="E17" s="10"/>
    </row>
    <row r="18" spans="1:7" s="5" customFormat="1" ht="13">
      <c r="A18" s="8"/>
      <c r="B18" s="8">
        <v>-5</v>
      </c>
      <c r="C18" s="8">
        <v>-4</v>
      </c>
      <c r="D18" s="8">
        <v>-3</v>
      </c>
      <c r="E18" s="8">
        <v>-2</v>
      </c>
      <c r="F18" s="8">
        <v>-1</v>
      </c>
      <c r="G18" s="8" t="s">
        <v>36</v>
      </c>
    </row>
    <row r="19" spans="1:7" s="1" customFormat="1" ht="13">
      <c r="A19" s="7" t="s">
        <v>269</v>
      </c>
      <c r="B19" s="58">
        <v>2032</v>
      </c>
      <c r="C19" s="58">
        <v>2376</v>
      </c>
      <c r="D19" s="58">
        <v>2779</v>
      </c>
      <c r="E19" s="59">
        <v>3155</v>
      </c>
      <c r="F19" s="58">
        <v>3248</v>
      </c>
      <c r="G19" s="7">
        <f>SUM(B19:F19)</f>
        <v>13590</v>
      </c>
    </row>
    <row r="20" spans="1:7" s="1" customFormat="1" ht="13">
      <c r="A20" s="7" t="s">
        <v>187</v>
      </c>
      <c r="B20" s="58">
        <v>186</v>
      </c>
      <c r="C20" s="58">
        <v>454</v>
      </c>
      <c r="D20" s="58">
        <v>529</v>
      </c>
      <c r="E20" s="59">
        <v>448</v>
      </c>
      <c r="F20" s="58">
        <v>383</v>
      </c>
      <c r="G20" s="7">
        <f>SUM(B20:F20)</f>
        <v>2000</v>
      </c>
    </row>
    <row r="21" spans="1:7" s="1" customFormat="1" ht="13">
      <c r="A21" s="7" t="s">
        <v>204</v>
      </c>
      <c r="B21" s="73">
        <f t="shared" ref="B21:G21" si="0">B20/B19</f>
        <v>9.1535433070866146E-2</v>
      </c>
      <c r="C21" s="73">
        <f t="shared" si="0"/>
        <v>0.19107744107744107</v>
      </c>
      <c r="D21" s="73">
        <f t="shared" si="0"/>
        <v>0.19035624325296868</v>
      </c>
      <c r="E21" s="73">
        <f t="shared" si="0"/>
        <v>0.14199683042789224</v>
      </c>
      <c r="F21" s="73">
        <f t="shared" si="0"/>
        <v>0.11791871921182266</v>
      </c>
      <c r="G21" s="19">
        <f t="shared" si="0"/>
        <v>0.14716703458425312</v>
      </c>
    </row>
  </sheetData>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2"/>
  <sheetViews>
    <sheetView workbookViewId="0">
      <selection activeCell="B21" sqref="B21"/>
    </sheetView>
  </sheetViews>
  <sheetFormatPr baseColWidth="10" defaultRowHeight="14"/>
  <sheetData>
    <row r="1" spans="1:10" s="14" customFormat="1" ht="18">
      <c r="A1" s="12" t="s">
        <v>276</v>
      </c>
      <c r="B1" s="12"/>
      <c r="C1" s="12"/>
      <c r="D1" s="12"/>
      <c r="E1" s="12"/>
      <c r="F1" s="12"/>
      <c r="G1" s="12"/>
      <c r="H1" s="12"/>
      <c r="I1" s="12"/>
      <c r="J1" s="12"/>
    </row>
    <row r="2" spans="1:10" s="1" customFormat="1" ht="13">
      <c r="A2" s="1" t="s">
        <v>70</v>
      </c>
    </row>
    <row r="3" spans="1:10" s="1" customFormat="1" ht="13">
      <c r="A3" s="1" t="s">
        <v>43</v>
      </c>
    </row>
    <row r="4" spans="1:10" s="1" customFormat="1" ht="13"/>
    <row r="5" spans="1:10" s="1" customFormat="1" ht="13">
      <c r="A5" s="3" t="s">
        <v>11</v>
      </c>
    </row>
    <row r="6" spans="1:10" s="1" customFormat="1" ht="13">
      <c r="A6" s="1" t="s">
        <v>267</v>
      </c>
      <c r="F6" s="59">
        <v>10</v>
      </c>
      <c r="G6" s="1" t="s">
        <v>8</v>
      </c>
    </row>
    <row r="7" spans="1:10" s="1" customFormat="1" ht="13">
      <c r="A7" s="1" t="s">
        <v>234</v>
      </c>
      <c r="F7" s="64">
        <v>13113</v>
      </c>
      <c r="G7" s="1" t="s">
        <v>138</v>
      </c>
    </row>
    <row r="8" spans="1:10" s="1" customFormat="1" ht="13">
      <c r="A8" s="1" t="s">
        <v>280</v>
      </c>
    </row>
    <row r="9" spans="1:10" s="1" customFormat="1" ht="13">
      <c r="A9" s="1" t="s">
        <v>275</v>
      </c>
    </row>
    <row r="10" spans="1:10" s="13" customFormat="1" ht="13">
      <c r="A10" s="25" t="s">
        <v>262</v>
      </c>
      <c r="B10" s="25" t="s">
        <v>316</v>
      </c>
      <c r="C10" s="26"/>
      <c r="D10" s="26"/>
      <c r="E10" s="26"/>
      <c r="F10" s="26"/>
      <c r="G10" s="26"/>
      <c r="H10" s="26"/>
      <c r="I10" s="26"/>
    </row>
    <row r="11" spans="1:10" s="13" customFormat="1" ht="13">
      <c r="A11" s="27">
        <v>-1</v>
      </c>
      <c r="B11" s="65">
        <v>8099</v>
      </c>
      <c r="C11" s="26" t="s">
        <v>235</v>
      </c>
      <c r="D11" s="26"/>
      <c r="E11" s="26"/>
      <c r="F11" s="26"/>
      <c r="G11" s="26"/>
      <c r="H11" s="26"/>
      <c r="I11" s="26"/>
    </row>
    <row r="12" spans="1:10" s="13" customFormat="1" ht="13">
      <c r="A12" s="27">
        <f>IF((0-A11)&lt;$F$6,IF(A11&gt;-1,,A11-1),)</f>
        <v>-2</v>
      </c>
      <c r="B12" s="65">
        <v>7901</v>
      </c>
      <c r="C12" s="26" t="s">
        <v>248</v>
      </c>
      <c r="D12" s="26"/>
      <c r="E12" s="26"/>
      <c r="F12" s="26"/>
      <c r="G12" s="26"/>
      <c r="H12" s="26"/>
      <c r="I12" s="26"/>
    </row>
    <row r="13" spans="1:10" s="13" customFormat="1" ht="13">
      <c r="A13" s="27">
        <f t="shared" ref="A13:A20" si="0">IF((0-A12)&lt;$F$6,IF(A12&gt;-1,,A12-1),)</f>
        <v>-3</v>
      </c>
      <c r="B13" s="65">
        <v>6746</v>
      </c>
      <c r="C13" s="26"/>
      <c r="D13" s="26"/>
      <c r="E13" s="26"/>
      <c r="F13" s="26"/>
      <c r="G13" s="26"/>
      <c r="H13" s="26"/>
      <c r="I13" s="26"/>
    </row>
    <row r="14" spans="1:10" s="13" customFormat="1" ht="13">
      <c r="A14" s="27">
        <f t="shared" si="0"/>
        <v>-4</v>
      </c>
      <c r="B14" s="65">
        <v>5835</v>
      </c>
      <c r="C14" s="26"/>
      <c r="D14" s="26"/>
      <c r="E14" s="26"/>
      <c r="F14" s="26"/>
      <c r="G14" s="26"/>
      <c r="H14" s="26"/>
      <c r="I14" s="26"/>
    </row>
    <row r="15" spans="1:10" s="13" customFormat="1" ht="13">
      <c r="A15" s="27">
        <f t="shared" si="0"/>
        <v>-5</v>
      </c>
      <c r="B15" s="65">
        <v>7035</v>
      </c>
      <c r="C15" s="26"/>
      <c r="D15" s="26"/>
      <c r="E15" s="26"/>
      <c r="F15" s="26"/>
      <c r="G15" s="26"/>
      <c r="H15" s="26"/>
      <c r="I15" s="26"/>
    </row>
    <row r="16" spans="1:10" s="13" customFormat="1" ht="13">
      <c r="A16" s="27">
        <f t="shared" si="0"/>
        <v>-6</v>
      </c>
      <c r="B16" s="65">
        <v>6209</v>
      </c>
      <c r="C16" s="26"/>
      <c r="D16" s="26"/>
      <c r="E16" s="26"/>
      <c r="F16" s="26"/>
      <c r="G16" s="26"/>
      <c r="H16" s="26"/>
      <c r="I16" s="26"/>
    </row>
    <row r="17" spans="1:9" s="13" customFormat="1" ht="13">
      <c r="A17" s="27">
        <f t="shared" si="0"/>
        <v>-7</v>
      </c>
      <c r="B17" s="65">
        <v>5340</v>
      </c>
      <c r="C17" s="26"/>
      <c r="D17" s="26"/>
      <c r="E17" s="26"/>
      <c r="F17" s="26"/>
      <c r="G17" s="26"/>
      <c r="H17" s="26"/>
      <c r="I17" s="26"/>
    </row>
    <row r="18" spans="1:9" s="13" customFormat="1" ht="13">
      <c r="A18" s="27">
        <f t="shared" si="0"/>
        <v>-8</v>
      </c>
      <c r="B18" s="65">
        <v>5331</v>
      </c>
      <c r="C18" s="26"/>
      <c r="D18" s="26"/>
      <c r="E18" s="26"/>
      <c r="F18" s="26"/>
      <c r="G18" s="26"/>
      <c r="H18" s="26"/>
      <c r="I18" s="26"/>
    </row>
    <row r="19" spans="1:9" s="13" customFormat="1" ht="13">
      <c r="A19" s="27">
        <f t="shared" si="0"/>
        <v>-9</v>
      </c>
      <c r="B19" s="65">
        <v>4934</v>
      </c>
      <c r="C19" s="26"/>
      <c r="D19" s="26"/>
      <c r="E19" s="26"/>
      <c r="F19" s="26"/>
      <c r="G19" s="26"/>
      <c r="H19" s="26"/>
      <c r="I19" s="26"/>
    </row>
    <row r="20" spans="1:9" s="13" customFormat="1" ht="13">
      <c r="A20" s="27">
        <f t="shared" si="0"/>
        <v>-10</v>
      </c>
      <c r="B20" s="65">
        <v>5588</v>
      </c>
      <c r="C20" s="26"/>
      <c r="D20" s="26"/>
      <c r="E20" s="26"/>
      <c r="F20" s="26"/>
      <c r="G20" s="26"/>
      <c r="H20" s="26"/>
      <c r="I20" s="26"/>
    </row>
    <row r="21" spans="1:9" s="13" customFormat="1" ht="13">
      <c r="A21" s="26"/>
      <c r="B21" s="26"/>
      <c r="C21" s="26"/>
      <c r="D21" s="26"/>
      <c r="E21" s="26"/>
      <c r="F21" s="26"/>
      <c r="G21" s="26"/>
      <c r="H21" s="26"/>
      <c r="I21" s="26"/>
    </row>
    <row r="22" spans="1:9" s="13" customFormat="1" ht="13">
      <c r="A22" s="28" t="s">
        <v>219</v>
      </c>
      <c r="B22" s="26"/>
      <c r="C22" s="26"/>
      <c r="D22" s="26"/>
      <c r="E22" s="26"/>
      <c r="F22" s="26"/>
      <c r="G22" s="26"/>
      <c r="H22" s="26"/>
      <c r="I22" s="26"/>
    </row>
    <row r="23" spans="1:9" s="13" customFormat="1" ht="13">
      <c r="A23" s="25" t="s">
        <v>262</v>
      </c>
      <c r="B23" s="25" t="s">
        <v>271</v>
      </c>
      <c r="C23" s="29" t="s">
        <v>223</v>
      </c>
      <c r="D23" s="30"/>
      <c r="E23" s="26" t="s">
        <v>332</v>
      </c>
      <c r="F23" s="26"/>
      <c r="G23" s="26"/>
      <c r="H23" s="26"/>
      <c r="I23" s="26"/>
    </row>
    <row r="24" spans="1:9" s="13" customFormat="1" ht="13">
      <c r="A24" s="25" t="s">
        <v>53</v>
      </c>
      <c r="B24" s="25">
        <f>F7</f>
        <v>13113</v>
      </c>
      <c r="C24" s="25">
        <f>1</f>
        <v>1</v>
      </c>
      <c r="D24" s="25">
        <f>B24*C24</f>
        <v>13113</v>
      </c>
      <c r="E24" s="26"/>
      <c r="F24" s="26"/>
      <c r="G24" s="26"/>
      <c r="H24" s="26"/>
      <c r="I24" s="26"/>
    </row>
    <row r="25" spans="1:9" s="13" customFormat="1" ht="13">
      <c r="A25" s="27">
        <f>A11</f>
        <v>-1</v>
      </c>
      <c r="B25" s="25">
        <f>B11</f>
        <v>8099</v>
      </c>
      <c r="C25" s="25">
        <f>IF(A25&lt;0,($F$6+A25)/$F$6,0)</f>
        <v>0.9</v>
      </c>
      <c r="D25" s="25">
        <f>B25*C25</f>
        <v>7289.1</v>
      </c>
      <c r="E25" s="84">
        <f t="shared" ref="E25:E34" si="1">IF(A25&lt;0,B25/$F$6,0)</f>
        <v>809.9</v>
      </c>
      <c r="F25" s="26"/>
      <c r="G25" s="26"/>
      <c r="H25" s="26"/>
      <c r="I25" s="26"/>
    </row>
    <row r="26" spans="1:9" s="13" customFormat="1" ht="13">
      <c r="A26" s="27">
        <f t="shared" ref="A26:B34" si="2">A12</f>
        <v>-2</v>
      </c>
      <c r="B26" s="25">
        <f t="shared" si="2"/>
        <v>7901</v>
      </c>
      <c r="C26" s="25">
        <f>IF(A26&lt;0,($F$6+A26)/$F$6,0)</f>
        <v>0.8</v>
      </c>
      <c r="D26" s="25">
        <f t="shared" ref="D26:D34" si="3">B26*C26</f>
        <v>6320.8</v>
      </c>
      <c r="E26" s="84">
        <f t="shared" si="1"/>
        <v>790.1</v>
      </c>
      <c r="F26" s="26"/>
      <c r="G26" s="26"/>
      <c r="H26" s="26"/>
      <c r="I26" s="26"/>
    </row>
    <row r="27" spans="1:9" s="13" customFormat="1" ht="13">
      <c r="A27" s="27">
        <f t="shared" si="2"/>
        <v>-3</v>
      </c>
      <c r="B27" s="25">
        <f t="shared" si="2"/>
        <v>6746</v>
      </c>
      <c r="C27" s="25">
        <f>IF(A27&lt;0,($F$6+A27)/$F$6,0)</f>
        <v>0.7</v>
      </c>
      <c r="D27" s="25">
        <f t="shared" si="3"/>
        <v>4722.2</v>
      </c>
      <c r="E27" s="84">
        <f t="shared" si="1"/>
        <v>674.6</v>
      </c>
      <c r="F27" s="26"/>
      <c r="G27" s="26"/>
      <c r="H27" s="26"/>
      <c r="I27" s="26"/>
    </row>
    <row r="28" spans="1:9" s="13" customFormat="1" ht="13">
      <c r="A28" s="27">
        <f t="shared" si="2"/>
        <v>-4</v>
      </c>
      <c r="B28" s="25">
        <f t="shared" si="2"/>
        <v>5835</v>
      </c>
      <c r="C28" s="25">
        <f t="shared" ref="C28:C34" si="4">IF(A28&lt;0,($F$6+A28)/$F$6,0)</f>
        <v>0.6</v>
      </c>
      <c r="D28" s="25">
        <f t="shared" si="3"/>
        <v>3501</v>
      </c>
      <c r="E28" s="84">
        <f t="shared" si="1"/>
        <v>583.5</v>
      </c>
      <c r="F28" s="26"/>
      <c r="G28" s="26"/>
      <c r="H28" s="26"/>
      <c r="I28" s="26"/>
    </row>
    <row r="29" spans="1:9" s="13" customFormat="1" ht="13">
      <c r="A29" s="27">
        <f t="shared" si="2"/>
        <v>-5</v>
      </c>
      <c r="B29" s="25">
        <f t="shared" si="2"/>
        <v>7035</v>
      </c>
      <c r="C29" s="25">
        <f t="shared" si="4"/>
        <v>0.5</v>
      </c>
      <c r="D29" s="25">
        <f t="shared" si="3"/>
        <v>3517.5</v>
      </c>
      <c r="E29" s="84">
        <f t="shared" si="1"/>
        <v>703.5</v>
      </c>
      <c r="F29" s="26"/>
      <c r="G29" s="26"/>
      <c r="H29" s="26"/>
      <c r="I29" s="26"/>
    </row>
    <row r="30" spans="1:9" s="13" customFormat="1" ht="13">
      <c r="A30" s="27">
        <f t="shared" si="2"/>
        <v>-6</v>
      </c>
      <c r="B30" s="25">
        <f t="shared" si="2"/>
        <v>6209</v>
      </c>
      <c r="C30" s="25">
        <f t="shared" si="4"/>
        <v>0.4</v>
      </c>
      <c r="D30" s="25">
        <f t="shared" si="3"/>
        <v>2483.6000000000004</v>
      </c>
      <c r="E30" s="84">
        <f t="shared" si="1"/>
        <v>620.9</v>
      </c>
      <c r="F30" s="26"/>
      <c r="G30" s="26"/>
      <c r="H30" s="26"/>
      <c r="I30" s="26"/>
    </row>
    <row r="31" spans="1:9" s="13" customFormat="1" ht="13">
      <c r="A31" s="27">
        <f t="shared" si="2"/>
        <v>-7</v>
      </c>
      <c r="B31" s="25">
        <f t="shared" si="2"/>
        <v>5340</v>
      </c>
      <c r="C31" s="25">
        <f t="shared" si="4"/>
        <v>0.3</v>
      </c>
      <c r="D31" s="25">
        <f t="shared" si="3"/>
        <v>1602</v>
      </c>
      <c r="E31" s="84">
        <f t="shared" si="1"/>
        <v>534</v>
      </c>
      <c r="F31" s="26"/>
      <c r="G31" s="26"/>
      <c r="H31" s="26"/>
      <c r="I31" s="26"/>
    </row>
    <row r="32" spans="1:9" s="13" customFormat="1" ht="13">
      <c r="A32" s="27">
        <f t="shared" si="2"/>
        <v>-8</v>
      </c>
      <c r="B32" s="25">
        <f t="shared" si="2"/>
        <v>5331</v>
      </c>
      <c r="C32" s="25">
        <f t="shared" si="4"/>
        <v>0.2</v>
      </c>
      <c r="D32" s="25">
        <f t="shared" si="3"/>
        <v>1066.2</v>
      </c>
      <c r="E32" s="84">
        <f t="shared" si="1"/>
        <v>533.1</v>
      </c>
      <c r="F32" s="26"/>
      <c r="G32" s="26"/>
      <c r="H32" s="26"/>
      <c r="I32" s="26"/>
    </row>
    <row r="33" spans="1:9" s="13" customFormat="1" ht="13">
      <c r="A33" s="27">
        <f t="shared" si="2"/>
        <v>-9</v>
      </c>
      <c r="B33" s="25">
        <f t="shared" si="2"/>
        <v>4934</v>
      </c>
      <c r="C33" s="25">
        <f t="shared" si="4"/>
        <v>0.1</v>
      </c>
      <c r="D33" s="25">
        <f t="shared" si="3"/>
        <v>493.40000000000003</v>
      </c>
      <c r="E33" s="84">
        <f t="shared" si="1"/>
        <v>493.4</v>
      </c>
      <c r="F33" s="26"/>
      <c r="G33" s="26"/>
      <c r="H33" s="26"/>
      <c r="I33" s="26"/>
    </row>
    <row r="34" spans="1:9" s="13" customFormat="1" ht="16" customHeight="1" thickBot="1">
      <c r="A34" s="27">
        <f t="shared" si="2"/>
        <v>-10</v>
      </c>
      <c r="B34" s="25">
        <f t="shared" si="2"/>
        <v>5588</v>
      </c>
      <c r="C34" s="25">
        <f t="shared" si="4"/>
        <v>0</v>
      </c>
      <c r="D34" s="31">
        <f t="shared" si="3"/>
        <v>0</v>
      </c>
      <c r="E34" s="85">
        <f t="shared" si="1"/>
        <v>558.79999999999995</v>
      </c>
      <c r="F34" s="26"/>
      <c r="G34" s="26"/>
      <c r="H34" s="26"/>
      <c r="I34" s="26"/>
    </row>
    <row r="35" spans="1:9" s="1" customFormat="1" thickBot="1">
      <c r="A35" s="1" t="s">
        <v>116</v>
      </c>
      <c r="D35" s="24">
        <f>SUM(D24:D34)</f>
        <v>44108.799999999996</v>
      </c>
      <c r="E35" s="82">
        <f>SUM(E25:E34)</f>
        <v>6301.8</v>
      </c>
    </row>
    <row r="36" spans="1:9" ht="15" thickBot="1"/>
    <row r="37" spans="1:9" s="1" customFormat="1" thickBot="1">
      <c r="A37" s="1" t="s">
        <v>31</v>
      </c>
      <c r="D37" s="24">
        <f>E35</f>
        <v>6301.8</v>
      </c>
    </row>
    <row r="38" spans="1:9" s="1" customFormat="1" thickBot="1"/>
    <row r="39" spans="1:9" s="1" customFormat="1" ht="13">
      <c r="A39" s="1" t="s">
        <v>330</v>
      </c>
      <c r="D39" s="42">
        <f>F7-D37</f>
        <v>6811.2</v>
      </c>
      <c r="E39" s="1" t="s">
        <v>384</v>
      </c>
    </row>
    <row r="40" spans="1:9">
      <c r="A40" t="s">
        <v>354</v>
      </c>
      <c r="D40" s="43">
        <f>(F7-D37)*'Master Inputs Start here'!B17</f>
        <v>1702.8</v>
      </c>
      <c r="E40" s="1"/>
    </row>
    <row r="43" spans="1:9" s="23" customFormat="1" ht="13">
      <c r="A43" s="23" t="s">
        <v>186</v>
      </c>
    </row>
    <row r="44" spans="1:9" s="1" customFormat="1" ht="13">
      <c r="A44" s="4" t="s">
        <v>169</v>
      </c>
      <c r="B44" s="4" t="s">
        <v>312</v>
      </c>
    </row>
    <row r="45" spans="1:9" s="1" customFormat="1" ht="13">
      <c r="A45" s="1" t="s">
        <v>170</v>
      </c>
      <c r="B45" s="1">
        <v>2</v>
      </c>
    </row>
    <row r="46" spans="1:9" s="1" customFormat="1" ht="13">
      <c r="A46" s="1" t="s">
        <v>351</v>
      </c>
      <c r="B46" s="1">
        <v>10</v>
      </c>
      <c r="D46" s="1" t="s">
        <v>91</v>
      </c>
      <c r="F46" s="1" t="s">
        <v>243</v>
      </c>
    </row>
    <row r="47" spans="1:9" s="1" customFormat="1" ht="13">
      <c r="A47" s="1" t="s">
        <v>258</v>
      </c>
      <c r="B47" s="1">
        <v>10</v>
      </c>
      <c r="D47" s="1" t="s">
        <v>244</v>
      </c>
      <c r="F47" s="1" t="s">
        <v>99</v>
      </c>
    </row>
    <row r="48" spans="1:9" s="1" customFormat="1" ht="13">
      <c r="A48" s="1" t="s">
        <v>259</v>
      </c>
      <c r="B48" s="1">
        <v>5</v>
      </c>
      <c r="D48" s="1" t="s">
        <v>135</v>
      </c>
      <c r="F48" s="1" t="s">
        <v>136</v>
      </c>
    </row>
    <row r="49" spans="1:6" s="1" customFormat="1" ht="13">
      <c r="A49" s="1" t="s">
        <v>260</v>
      </c>
      <c r="B49" s="1">
        <v>3</v>
      </c>
      <c r="D49" s="1" t="s">
        <v>324</v>
      </c>
      <c r="F49" s="1" t="s">
        <v>182</v>
      </c>
    </row>
    <row r="50" spans="1:6" s="1" customFormat="1" ht="13">
      <c r="A50" s="1" t="s">
        <v>297</v>
      </c>
      <c r="B50" s="1">
        <v>10</v>
      </c>
      <c r="D50" s="1" t="s">
        <v>100</v>
      </c>
      <c r="F50" s="1" t="s">
        <v>182</v>
      </c>
    </row>
    <row r="51" spans="1:6" s="1" customFormat="1" ht="13">
      <c r="A51" s="1" t="s">
        <v>277</v>
      </c>
      <c r="B51" s="1">
        <v>5</v>
      </c>
      <c r="D51" s="1" t="s">
        <v>101</v>
      </c>
      <c r="F51" s="1" t="s">
        <v>182</v>
      </c>
    </row>
    <row r="52" spans="1:6" s="1" customFormat="1" ht="13">
      <c r="A52" s="1" t="s">
        <v>152</v>
      </c>
      <c r="B52" s="1">
        <v>5</v>
      </c>
    </row>
    <row r="53" spans="1:6" s="1" customFormat="1" ht="13">
      <c r="A53" s="1" t="s">
        <v>153</v>
      </c>
      <c r="B53" s="1">
        <v>2</v>
      </c>
    </row>
    <row r="54" spans="1:6" s="1" customFormat="1" ht="13">
      <c r="A54" s="1" t="s">
        <v>154</v>
      </c>
      <c r="B54" s="1">
        <v>2</v>
      </c>
    </row>
    <row r="55" spans="1:6" s="1" customFormat="1" ht="13">
      <c r="A55" s="1" t="s">
        <v>385</v>
      </c>
      <c r="B55" s="1">
        <v>2</v>
      </c>
    </row>
    <row r="56" spans="1:6" s="1" customFormat="1" ht="13">
      <c r="A56" s="1" t="s">
        <v>386</v>
      </c>
      <c r="B56" s="1">
        <v>2</v>
      </c>
    </row>
    <row r="57" spans="1:6" s="1" customFormat="1" ht="13">
      <c r="A57" s="1" t="s">
        <v>289</v>
      </c>
      <c r="B57" s="1">
        <v>3</v>
      </c>
    </row>
    <row r="58" spans="1:6" s="1" customFormat="1" ht="13">
      <c r="A58" s="1" t="s">
        <v>278</v>
      </c>
      <c r="B58" s="1">
        <v>3</v>
      </c>
    </row>
    <row r="59" spans="1:6" s="1" customFormat="1" ht="13">
      <c r="A59" s="1" t="s">
        <v>279</v>
      </c>
      <c r="B59" s="1">
        <v>5</v>
      </c>
    </row>
    <row r="60" spans="1:6" s="1" customFormat="1" ht="13">
      <c r="A60" s="1" t="s">
        <v>387</v>
      </c>
      <c r="B60" s="1">
        <v>10</v>
      </c>
    </row>
    <row r="61" spans="1:6" s="1" customFormat="1" ht="13">
      <c r="A61" s="1" t="s">
        <v>388</v>
      </c>
      <c r="B61" s="1">
        <v>10</v>
      </c>
    </row>
    <row r="62" spans="1:6" s="1" customFormat="1" ht="13">
      <c r="A62" s="1" t="s">
        <v>389</v>
      </c>
      <c r="B62" s="1">
        <v>10</v>
      </c>
    </row>
    <row r="63" spans="1:6" s="1" customFormat="1" ht="13">
      <c r="A63" s="1" t="s">
        <v>304</v>
      </c>
      <c r="B63" s="1">
        <v>10</v>
      </c>
    </row>
    <row r="64" spans="1:6" s="1" customFormat="1" ht="13">
      <c r="A64" s="1" t="s">
        <v>305</v>
      </c>
      <c r="B64" s="1">
        <v>10</v>
      </c>
    </row>
    <row r="65" spans="1:2" s="1" customFormat="1" ht="13">
      <c r="A65" s="1" t="s">
        <v>22</v>
      </c>
      <c r="B65" s="1">
        <v>10</v>
      </c>
    </row>
    <row r="66" spans="1:2" s="1" customFormat="1" ht="13">
      <c r="A66" s="1" t="s">
        <v>23</v>
      </c>
      <c r="B66" s="1">
        <v>5</v>
      </c>
    </row>
    <row r="67" spans="1:2" s="1" customFormat="1" ht="13">
      <c r="A67" s="1" t="s">
        <v>24</v>
      </c>
      <c r="B67" s="1">
        <v>5</v>
      </c>
    </row>
    <row r="68" spans="1:2" s="1" customFormat="1" ht="13">
      <c r="A68" s="1" t="s">
        <v>25</v>
      </c>
      <c r="B68" s="1">
        <v>3</v>
      </c>
    </row>
    <row r="69" spans="1:2" s="1" customFormat="1" ht="13">
      <c r="A69" s="1" t="s">
        <v>26</v>
      </c>
      <c r="B69" s="1">
        <v>5</v>
      </c>
    </row>
    <row r="70" spans="1:2" s="1" customFormat="1" ht="13">
      <c r="A70" s="1" t="s">
        <v>65</v>
      </c>
      <c r="B70" s="1">
        <v>5</v>
      </c>
    </row>
    <row r="71" spans="1:2" s="1" customFormat="1" ht="13">
      <c r="A71" s="1" t="s">
        <v>66</v>
      </c>
      <c r="B71" s="1">
        <v>10</v>
      </c>
    </row>
    <row r="72" spans="1:2" s="1" customFormat="1" ht="13">
      <c r="A72" s="1" t="s">
        <v>67</v>
      </c>
      <c r="B72" s="1">
        <v>3</v>
      </c>
    </row>
    <row r="73" spans="1:2" s="1" customFormat="1" ht="13">
      <c r="A73" s="1" t="s">
        <v>68</v>
      </c>
      <c r="B73" s="1">
        <v>3</v>
      </c>
    </row>
    <row r="74" spans="1:2" s="1" customFormat="1" ht="13">
      <c r="A74" s="1" t="s">
        <v>196</v>
      </c>
      <c r="B74" s="1">
        <v>10</v>
      </c>
    </row>
    <row r="75" spans="1:2" s="1" customFormat="1" ht="13">
      <c r="A75" s="1" t="s">
        <v>42</v>
      </c>
      <c r="B75" s="1">
        <v>10</v>
      </c>
    </row>
    <row r="76" spans="1:2" s="1" customFormat="1" ht="13">
      <c r="A76" s="1" t="s">
        <v>1</v>
      </c>
      <c r="B76" s="1">
        <v>10</v>
      </c>
    </row>
    <row r="77" spans="1:2" s="1" customFormat="1" ht="13">
      <c r="A77" s="1" t="s">
        <v>81</v>
      </c>
      <c r="B77" s="1">
        <v>10</v>
      </c>
    </row>
    <row r="78" spans="1:2" s="1" customFormat="1" ht="13">
      <c r="A78" s="1" t="s">
        <v>257</v>
      </c>
      <c r="B78" s="1">
        <v>5</v>
      </c>
    </row>
    <row r="79" spans="1:2" s="1" customFormat="1" ht="13">
      <c r="A79" s="1" t="s">
        <v>381</v>
      </c>
      <c r="B79" s="1">
        <v>3</v>
      </c>
    </row>
    <row r="80" spans="1:2" s="1" customFormat="1" ht="13">
      <c r="A80" s="1" t="s">
        <v>382</v>
      </c>
      <c r="B80" s="1">
        <v>5</v>
      </c>
    </row>
    <row r="81" spans="1:2" s="1" customFormat="1" ht="13">
      <c r="A81" s="1" t="s">
        <v>93</v>
      </c>
      <c r="B81" s="1">
        <v>2</v>
      </c>
    </row>
    <row r="82" spans="1:2" s="1" customFormat="1" ht="13">
      <c r="A82" s="1" t="s">
        <v>349</v>
      </c>
      <c r="B82" s="1">
        <v>3</v>
      </c>
    </row>
    <row r="83" spans="1:2" s="1" customFormat="1" ht="13">
      <c r="A83" s="1" t="s">
        <v>350</v>
      </c>
      <c r="B83" s="1">
        <v>3</v>
      </c>
    </row>
    <row r="84" spans="1:2" s="1" customFormat="1" ht="13">
      <c r="A84" s="1" t="s">
        <v>383</v>
      </c>
      <c r="B84" s="1">
        <v>5</v>
      </c>
    </row>
    <row r="85" spans="1:2" s="1" customFormat="1" ht="13">
      <c r="A85" s="1" t="s">
        <v>365</v>
      </c>
      <c r="B85" s="1">
        <v>10</v>
      </c>
    </row>
    <row r="86" spans="1:2" s="1" customFormat="1" ht="13">
      <c r="A86" s="1" t="s">
        <v>366</v>
      </c>
      <c r="B86" s="1">
        <v>3</v>
      </c>
    </row>
    <row r="87" spans="1:2" s="1" customFormat="1" ht="13">
      <c r="A87" s="1" t="s">
        <v>313</v>
      </c>
      <c r="B87" s="1">
        <v>5</v>
      </c>
    </row>
    <row r="88" spans="1:2" s="1" customFormat="1" ht="13">
      <c r="A88" s="1" t="s">
        <v>314</v>
      </c>
      <c r="B88" s="1">
        <v>2</v>
      </c>
    </row>
    <row r="89" spans="1:2" s="1" customFormat="1" ht="13">
      <c r="A89" s="1" t="s">
        <v>315</v>
      </c>
      <c r="B89" s="1">
        <v>3</v>
      </c>
    </row>
    <row r="90" spans="1:2" s="1" customFormat="1" ht="13">
      <c r="A90" s="1" t="s">
        <v>288</v>
      </c>
      <c r="B90" s="1">
        <v>5</v>
      </c>
    </row>
    <row r="91" spans="1:2" s="1" customFormat="1" ht="13">
      <c r="A91" s="1" t="s">
        <v>301</v>
      </c>
      <c r="B91" s="1">
        <v>5</v>
      </c>
    </row>
    <row r="92" spans="1:2" s="1" customFormat="1" ht="13">
      <c r="A92" s="1" t="s">
        <v>302</v>
      </c>
      <c r="B92" s="1">
        <v>3</v>
      </c>
    </row>
    <row r="93" spans="1:2" s="1" customFormat="1" ht="13">
      <c r="A93" s="1" t="s">
        <v>311</v>
      </c>
      <c r="B93" s="1">
        <v>3</v>
      </c>
    </row>
    <row r="94" spans="1:2" s="1" customFormat="1" ht="13">
      <c r="A94" s="1" t="s">
        <v>326</v>
      </c>
      <c r="B94" s="1">
        <v>3</v>
      </c>
    </row>
    <row r="95" spans="1:2" s="1" customFormat="1" ht="13">
      <c r="A95" s="1" t="s">
        <v>61</v>
      </c>
      <c r="B95" s="1">
        <v>3</v>
      </c>
    </row>
    <row r="96" spans="1:2" s="1" customFormat="1" ht="13">
      <c r="A96" s="1" t="s">
        <v>220</v>
      </c>
      <c r="B96" s="1">
        <v>3</v>
      </c>
    </row>
    <row r="97" spans="1:2" s="1" customFormat="1" ht="13">
      <c r="A97" s="1" t="s">
        <v>125</v>
      </c>
      <c r="B97" s="1">
        <v>3</v>
      </c>
    </row>
    <row r="98" spans="1:2" s="1" customFormat="1" ht="13">
      <c r="A98" s="1" t="s">
        <v>126</v>
      </c>
      <c r="B98" s="1">
        <v>3</v>
      </c>
    </row>
    <row r="99" spans="1:2" s="1" customFormat="1" ht="13">
      <c r="A99" s="1" t="s">
        <v>127</v>
      </c>
      <c r="B99" s="1">
        <v>3</v>
      </c>
    </row>
    <row r="100" spans="1:2" s="1" customFormat="1" ht="13">
      <c r="A100" s="1" t="s">
        <v>128</v>
      </c>
      <c r="B100" s="1">
        <v>3</v>
      </c>
    </row>
    <row r="101" spans="1:2" s="1" customFormat="1" ht="13">
      <c r="A101" s="1" t="s">
        <v>129</v>
      </c>
      <c r="B101" s="1">
        <v>3</v>
      </c>
    </row>
    <row r="102" spans="1:2" s="1" customFormat="1" ht="13">
      <c r="A102" s="1" t="s">
        <v>130</v>
      </c>
      <c r="B102" s="1">
        <v>10</v>
      </c>
    </row>
    <row r="103" spans="1:2" s="1" customFormat="1" ht="13">
      <c r="A103" s="1" t="s">
        <v>41</v>
      </c>
      <c r="B103" s="1">
        <v>5</v>
      </c>
    </row>
    <row r="104" spans="1:2" s="1" customFormat="1" ht="13">
      <c r="A104" s="1" t="s">
        <v>362</v>
      </c>
      <c r="B104" s="1">
        <v>10</v>
      </c>
    </row>
    <row r="105" spans="1:2" s="1" customFormat="1" ht="13">
      <c r="A105" s="1" t="s">
        <v>180</v>
      </c>
      <c r="B105" s="1">
        <v>3</v>
      </c>
    </row>
    <row r="106" spans="1:2" s="1" customFormat="1" ht="13">
      <c r="A106" s="1" t="s">
        <v>14</v>
      </c>
      <c r="B106" s="1">
        <v>5</v>
      </c>
    </row>
    <row r="107" spans="1:2" s="1" customFormat="1" ht="13">
      <c r="A107" s="1" t="s">
        <v>113</v>
      </c>
      <c r="B107" s="1">
        <v>10</v>
      </c>
    </row>
    <row r="108" spans="1:2" s="1" customFormat="1" ht="13">
      <c r="A108" s="1" t="s">
        <v>114</v>
      </c>
      <c r="B108" s="1">
        <v>5</v>
      </c>
    </row>
    <row r="109" spans="1:2" s="1" customFormat="1" ht="13">
      <c r="A109" s="1" t="s">
        <v>333</v>
      </c>
      <c r="B109" s="1">
        <v>10</v>
      </c>
    </row>
    <row r="110" spans="1:2" s="1" customFormat="1" ht="13">
      <c r="A110" s="1" t="s">
        <v>206</v>
      </c>
      <c r="B110" s="1">
        <v>10</v>
      </c>
    </row>
    <row r="111" spans="1:2" s="1" customFormat="1" ht="13">
      <c r="A111" s="1" t="s">
        <v>207</v>
      </c>
      <c r="B111" s="1">
        <v>3</v>
      </c>
    </row>
    <row r="112" spans="1:2" s="1" customFormat="1" ht="13">
      <c r="A112" s="1" t="s">
        <v>40</v>
      </c>
      <c r="B112" s="1">
        <v>5</v>
      </c>
    </row>
    <row r="113" spans="1:2" s="1" customFormat="1" ht="13">
      <c r="A113" s="1" t="s">
        <v>64</v>
      </c>
      <c r="B113" s="1">
        <v>5</v>
      </c>
    </row>
    <row r="114" spans="1:2" s="1" customFormat="1" ht="13">
      <c r="A114" s="1" t="s">
        <v>296</v>
      </c>
      <c r="B114" s="1">
        <v>5</v>
      </c>
    </row>
    <row r="115" spans="1:2" s="1" customFormat="1" ht="13">
      <c r="A115" s="1" t="s">
        <v>74</v>
      </c>
      <c r="B115" s="1">
        <v>10</v>
      </c>
    </row>
    <row r="116" spans="1:2" s="1" customFormat="1" ht="13">
      <c r="A116" s="1" t="s">
        <v>103</v>
      </c>
      <c r="B116" s="1">
        <v>5</v>
      </c>
    </row>
    <row r="117" spans="1:2" s="1" customFormat="1" ht="13">
      <c r="A117" s="1" t="s">
        <v>132</v>
      </c>
      <c r="B117" s="1">
        <v>5</v>
      </c>
    </row>
    <row r="118" spans="1:2" s="1" customFormat="1" ht="13">
      <c r="A118" s="1" t="s">
        <v>155</v>
      </c>
      <c r="B118" s="1">
        <v>5</v>
      </c>
    </row>
    <row r="119" spans="1:2" s="1" customFormat="1" ht="13">
      <c r="A119" s="1" t="s">
        <v>156</v>
      </c>
      <c r="B119" s="1">
        <v>3</v>
      </c>
    </row>
    <row r="120" spans="1:2" s="1" customFormat="1" ht="13">
      <c r="A120" s="1" t="s">
        <v>201</v>
      </c>
      <c r="B120" s="1">
        <v>3</v>
      </c>
    </row>
    <row r="121" spans="1:2" s="1" customFormat="1" ht="13">
      <c r="A121" s="1" t="s">
        <v>202</v>
      </c>
      <c r="B121" s="1">
        <v>5</v>
      </c>
    </row>
    <row r="122" spans="1:2" s="1" customFormat="1" ht="13">
      <c r="A122" s="1" t="s">
        <v>203</v>
      </c>
      <c r="B122" s="1">
        <v>5</v>
      </c>
    </row>
    <row r="123" spans="1:2" s="1" customFormat="1" ht="13">
      <c r="A123" s="1" t="s">
        <v>185</v>
      </c>
      <c r="B123" s="1">
        <v>2</v>
      </c>
    </row>
    <row r="124" spans="1:2" s="1" customFormat="1" ht="13">
      <c r="A124" s="1" t="s">
        <v>245</v>
      </c>
      <c r="B124" s="1">
        <v>2</v>
      </c>
    </row>
    <row r="125" spans="1:2" s="1" customFormat="1" ht="13">
      <c r="A125" s="1" t="s">
        <v>246</v>
      </c>
      <c r="B125" s="1">
        <v>2</v>
      </c>
    </row>
    <row r="126" spans="1:2" s="1" customFormat="1" ht="13">
      <c r="A126" s="1" t="s">
        <v>247</v>
      </c>
      <c r="B126" s="1">
        <v>2</v>
      </c>
    </row>
    <row r="127" spans="1:2" s="1" customFormat="1" ht="13">
      <c r="A127" s="1" t="s">
        <v>261</v>
      </c>
      <c r="B127" s="1">
        <v>2</v>
      </c>
    </row>
    <row r="128" spans="1:2" s="1" customFormat="1" ht="13">
      <c r="A128" s="1" t="s">
        <v>208</v>
      </c>
      <c r="B128" s="1">
        <v>5</v>
      </c>
    </row>
    <row r="129" spans="1:2" s="1" customFormat="1" ht="13">
      <c r="A129" s="1" t="s">
        <v>209</v>
      </c>
      <c r="B129" s="1">
        <v>5</v>
      </c>
    </row>
    <row r="130" spans="1:2" s="1" customFormat="1" ht="13">
      <c r="A130" s="1" t="s">
        <v>309</v>
      </c>
      <c r="B130" s="1">
        <v>3</v>
      </c>
    </row>
    <row r="131" spans="1:2" s="1" customFormat="1" ht="13">
      <c r="A131" s="1" t="s">
        <v>310</v>
      </c>
      <c r="B131" s="1">
        <v>5</v>
      </c>
    </row>
    <row r="132" spans="1:2" s="1" customFormat="1" ht="13">
      <c r="A132" s="1" t="s">
        <v>217</v>
      </c>
      <c r="B132" s="1">
        <v>5</v>
      </c>
    </row>
    <row r="133" spans="1:2" s="1" customFormat="1" ht="13">
      <c r="A133" s="1" t="s">
        <v>16</v>
      </c>
      <c r="B133" s="1">
        <v>10</v>
      </c>
    </row>
    <row r="134" spans="1:2" s="1" customFormat="1" ht="13">
      <c r="A134" s="1" t="s">
        <v>72</v>
      </c>
      <c r="B134" s="1">
        <v>5</v>
      </c>
    </row>
    <row r="135" spans="1:2" s="1" customFormat="1" ht="13">
      <c r="A135" s="1" t="s">
        <v>370</v>
      </c>
      <c r="B135" s="1">
        <v>5</v>
      </c>
    </row>
    <row r="136" spans="1:2" s="1" customFormat="1" ht="13">
      <c r="A136" s="1" t="s">
        <v>71</v>
      </c>
      <c r="B136" s="1">
        <v>2</v>
      </c>
    </row>
    <row r="137" spans="1:2" s="1" customFormat="1" ht="13">
      <c r="A137" s="1" t="s">
        <v>361</v>
      </c>
      <c r="B137" s="1">
        <v>5</v>
      </c>
    </row>
    <row r="138" spans="1:2" s="1" customFormat="1" ht="13">
      <c r="A138" s="1" t="s">
        <v>263</v>
      </c>
      <c r="B138" s="1">
        <v>5</v>
      </c>
    </row>
    <row r="139" spans="1:2" s="1" customFormat="1" ht="13">
      <c r="A139" s="1" t="s">
        <v>360</v>
      </c>
      <c r="B139" s="1">
        <v>3</v>
      </c>
    </row>
    <row r="140" spans="1:2" s="1" customFormat="1" ht="13">
      <c r="A140" s="1" t="s">
        <v>213</v>
      </c>
      <c r="B140" s="1">
        <v>5</v>
      </c>
    </row>
    <row r="141" spans="1:2" s="1" customFormat="1" ht="13">
      <c r="A141" s="1" t="s">
        <v>214</v>
      </c>
      <c r="B141" s="1">
        <v>10</v>
      </c>
    </row>
    <row r="142" spans="1:2" s="1" customFormat="1" ht="13">
      <c r="A142" s="1" t="s">
        <v>133</v>
      </c>
      <c r="B142" s="1">
        <v>10</v>
      </c>
    </row>
  </sheetData>
  <phoneticPr fontId="24" type="noConversion"/>
  <conditionalFormatting sqref="B11:B20">
    <cfRule type="cellIs" dxfId="0" priority="1" stopIfTrue="1" operator="equal">
      <formula>0</formula>
    </cfRule>
  </conditionalFormatting>
  <pageMargins left="0.75" right="0.75" top="1" bottom="1" header="0.5" footer="0.5"/>
  <pageSetup orientation="landscape" horizontalDpi="4294967292" verticalDpi="4294967292"/>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5"/>
  <sheetViews>
    <sheetView workbookViewId="0">
      <selection activeCell="F35" sqref="F35"/>
    </sheetView>
  </sheetViews>
  <sheetFormatPr baseColWidth="10" defaultRowHeight="14"/>
  <sheetData>
    <row r="1" spans="1:11" s="14" customFormat="1" ht="18">
      <c r="A1" s="12" t="s">
        <v>10</v>
      </c>
      <c r="B1" s="12"/>
      <c r="C1" s="12"/>
      <c r="D1" s="12"/>
      <c r="E1" s="12"/>
      <c r="F1" s="12"/>
      <c r="G1" s="12"/>
      <c r="H1" s="12"/>
      <c r="I1" s="12"/>
      <c r="J1" s="12"/>
      <c r="K1" s="12"/>
    </row>
    <row r="2" spans="1:11" s="3" customFormat="1" ht="13">
      <c r="A2" s="3" t="s">
        <v>11</v>
      </c>
    </row>
    <row r="3" spans="1:11" s="1" customFormat="1" ht="13">
      <c r="A3" s="1" t="s">
        <v>188</v>
      </c>
      <c r="E3" s="64">
        <v>504</v>
      </c>
    </row>
    <row r="4" spans="1:11" s="4" customFormat="1" ht="13">
      <c r="A4" s="4" t="s">
        <v>306</v>
      </c>
    </row>
    <row r="5" spans="1:11" s="1" customFormat="1" ht="13">
      <c r="A5" s="8" t="s">
        <v>262</v>
      </c>
      <c r="B5" s="8" t="s">
        <v>265</v>
      </c>
      <c r="C5" s="1" t="s">
        <v>266</v>
      </c>
    </row>
    <row r="6" spans="1:11" s="1" customFormat="1" ht="13">
      <c r="A6" s="8">
        <v>1</v>
      </c>
      <c r="B6" s="66">
        <v>453</v>
      </c>
    </row>
    <row r="7" spans="1:11" s="1" customFormat="1" ht="13">
      <c r="A7" s="8">
        <v>2</v>
      </c>
      <c r="B7" s="66">
        <v>371</v>
      </c>
    </row>
    <row r="8" spans="1:11" s="1" customFormat="1" ht="13">
      <c r="A8" s="8">
        <v>3</v>
      </c>
      <c r="B8" s="66">
        <v>265</v>
      </c>
    </row>
    <row r="9" spans="1:11" s="1" customFormat="1" ht="13">
      <c r="A9" s="8">
        <v>4</v>
      </c>
      <c r="B9" s="66">
        <v>180</v>
      </c>
    </row>
    <row r="10" spans="1:11" s="1" customFormat="1" ht="13">
      <c r="A10" s="8">
        <v>5</v>
      </c>
      <c r="B10" s="66">
        <v>122</v>
      </c>
    </row>
    <row r="11" spans="1:11" s="1" customFormat="1" ht="13">
      <c r="A11" s="8" t="s">
        <v>134</v>
      </c>
      <c r="B11" s="66">
        <v>259</v>
      </c>
    </row>
    <row r="12" spans="1:11" s="1" customFormat="1" ht="13"/>
    <row r="13" spans="1:11" s="32" customFormat="1" ht="17" thickBot="1">
      <c r="A13" s="32" t="s">
        <v>219</v>
      </c>
    </row>
    <row r="14" spans="1:11" s="1" customFormat="1" thickBot="1">
      <c r="A14" s="1" t="s">
        <v>268</v>
      </c>
      <c r="C14" s="46">
        <f>IF('Master Inputs Start here'!B43="Yes",'Ratings estimator'!D13,'Master Inputs Start here'!B46)</f>
        <v>5.0900000000000001E-2</v>
      </c>
      <c r="D14" s="1" t="s">
        <v>171</v>
      </c>
    </row>
    <row r="15" spans="1:11" s="1" customFormat="1" ht="13"/>
    <row r="16" spans="1:11" s="4" customFormat="1" ht="13">
      <c r="A16" s="4" t="s">
        <v>172</v>
      </c>
    </row>
    <row r="17" spans="1:5" s="1" customFormat="1" ht="13">
      <c r="A17" s="1" t="s">
        <v>173</v>
      </c>
      <c r="D17" s="47">
        <f>'Master Inputs Start here'!B12</f>
        <v>7040</v>
      </c>
      <c r="E17" s="1" t="s">
        <v>356</v>
      </c>
    </row>
    <row r="18" spans="1:5" s="1" customFormat="1" ht="13">
      <c r="A18" s="1" t="s">
        <v>15</v>
      </c>
      <c r="D18" s="47">
        <f>'Master Inputs Start here'!B33</f>
        <v>25226</v>
      </c>
      <c r="E18" s="1" t="s">
        <v>177</v>
      </c>
    </row>
    <row r="19" spans="1:5" s="1" customFormat="1" ht="13">
      <c r="D19" s="21"/>
    </row>
    <row r="20" spans="1:5" s="1" customFormat="1" ht="13">
      <c r="A20" s="1" t="s">
        <v>112</v>
      </c>
      <c r="D20" s="48">
        <f>IF(B11&gt;0,ROUND(B11/AVERAGE(B6:B10),0),0)</f>
        <v>1</v>
      </c>
      <c r="E20" s="1" t="s">
        <v>179</v>
      </c>
    </row>
    <row r="21" spans="1:5" s="3" customFormat="1" ht="13">
      <c r="E21" s="1" t="s">
        <v>12</v>
      </c>
    </row>
    <row r="22" spans="1:5" s="4" customFormat="1" ht="13">
      <c r="A22" s="4" t="s">
        <v>210</v>
      </c>
    </row>
    <row r="23" spans="1:5" s="1" customFormat="1" ht="13">
      <c r="A23" s="8" t="s">
        <v>262</v>
      </c>
      <c r="B23" s="8" t="s">
        <v>265</v>
      </c>
      <c r="C23" s="8" t="s">
        <v>317</v>
      </c>
    </row>
    <row r="24" spans="1:5" s="1" customFormat="1" ht="13">
      <c r="A24" s="7">
        <f>A6</f>
        <v>1</v>
      </c>
      <c r="B24" s="49">
        <f>B6</f>
        <v>453</v>
      </c>
      <c r="C24" s="47">
        <f>B24/(1+$C$14)^A24</f>
        <v>431.05909220668002</v>
      </c>
    </row>
    <row r="25" spans="1:5" s="1" customFormat="1" ht="13">
      <c r="A25" s="7">
        <f t="shared" ref="A25:B28" si="0">A7</f>
        <v>2</v>
      </c>
      <c r="B25" s="49">
        <f t="shared" si="0"/>
        <v>371</v>
      </c>
      <c r="C25" s="47">
        <f>B25/(1+$C$14)^A25</f>
        <v>335.93180660385974</v>
      </c>
    </row>
    <row r="26" spans="1:5" s="1" customFormat="1" ht="13">
      <c r="A26" s="7">
        <f t="shared" si="0"/>
        <v>3</v>
      </c>
      <c r="B26" s="49">
        <f t="shared" si="0"/>
        <v>265</v>
      </c>
      <c r="C26" s="47">
        <f>B26/(1+$C$14)^A26</f>
        <v>228.32932765375242</v>
      </c>
    </row>
    <row r="27" spans="1:5" s="1" customFormat="1" ht="13">
      <c r="A27" s="7">
        <f t="shared" si="0"/>
        <v>4</v>
      </c>
      <c r="B27" s="49">
        <f t="shared" si="0"/>
        <v>180</v>
      </c>
      <c r="C27" s="47">
        <f>B27/(1+$C$14)^A27</f>
        <v>147.57980662639727</v>
      </c>
    </row>
    <row r="28" spans="1:5" s="1" customFormat="1" ht="13">
      <c r="A28" s="7">
        <f t="shared" si="0"/>
        <v>5</v>
      </c>
      <c r="B28" s="49">
        <f t="shared" si="0"/>
        <v>122</v>
      </c>
      <c r="C28" s="47">
        <f>B28/(1+$C$14)^A28</f>
        <v>95.181571396054522</v>
      </c>
    </row>
    <row r="29" spans="1:5" s="1" customFormat="1" thickBot="1">
      <c r="A29" s="22" t="str">
        <f>A11</f>
        <v>6 and beyond</v>
      </c>
      <c r="B29" s="50">
        <f>IF(B11&gt;0,IF(D20&gt;0,B11/D20,B11),0)</f>
        <v>259</v>
      </c>
      <c r="C29" s="51">
        <f>IF(D20&gt;0,(B29*(1-(1+C14)^(-D20))/C14)/(1+$C$14)^5,B29/(1+C14)^6)</f>
        <v>192.27880389469541</v>
      </c>
      <c r="D29" s="1" t="s">
        <v>82</v>
      </c>
    </row>
    <row r="30" spans="1:5" s="1" customFormat="1" thickBot="1">
      <c r="A30" s="15" t="s">
        <v>4</v>
      </c>
      <c r="B30" s="52"/>
      <c r="C30" s="53">
        <f>SUM(C24:C29)</f>
        <v>1430.3604083814394</v>
      </c>
    </row>
    <row r="31" spans="1:5" s="1" customFormat="1" ht="13"/>
    <row r="32" spans="1:5" s="1" customFormat="1" ht="13">
      <c r="A32" s="4" t="s">
        <v>56</v>
      </c>
    </row>
    <row r="33" spans="1:7" s="1" customFormat="1" ht="13">
      <c r="A33" s="1" t="s">
        <v>89</v>
      </c>
      <c r="F33" s="47">
        <f>C30/(5+D20)</f>
        <v>238.39340139690657</v>
      </c>
      <c r="G33" s="1" t="s">
        <v>90</v>
      </c>
    </row>
    <row r="34" spans="1:7" s="1" customFormat="1" thickBot="1">
      <c r="A34" s="1" t="s">
        <v>237</v>
      </c>
      <c r="F34" s="54">
        <f>E3-F33</f>
        <v>265.6065986030934</v>
      </c>
      <c r="G34" s="1" t="s">
        <v>0</v>
      </c>
    </row>
    <row r="35" spans="1:7" s="1" customFormat="1" thickBot="1">
      <c r="A35" s="1" t="s">
        <v>238</v>
      </c>
      <c r="F35" s="55">
        <f>C30</f>
        <v>1430.3604083814394</v>
      </c>
    </row>
  </sheetData>
  <phoneticPr fontId="24" type="noConversion"/>
  <pageMargins left="0.75" right="0.75" top="1" bottom="1" header="0.5" footer="0.5"/>
  <pageSetup paperSize="0" orientation="portrait"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1"/>
  <sheetViews>
    <sheetView workbookViewId="0">
      <selection activeCell="B1" sqref="B1:C1"/>
    </sheetView>
  </sheetViews>
  <sheetFormatPr baseColWidth="10" defaultRowHeight="14"/>
  <cols>
    <col min="1" max="1" width="19.42578125" customWidth="1"/>
    <col min="2" max="2" width="12.28515625" style="34" customWidth="1"/>
    <col min="3" max="3" width="14.42578125" style="34" customWidth="1"/>
    <col min="4" max="4" width="44.140625" customWidth="1"/>
  </cols>
  <sheetData>
    <row r="1" spans="1:4">
      <c r="A1" t="s">
        <v>664</v>
      </c>
      <c r="B1" s="250" t="str">
        <f>'Master Inputs Start here'!B4</f>
        <v xml:space="preserve">Eli Lilly </v>
      </c>
      <c r="C1" s="250"/>
    </row>
    <row r="2" spans="1:4" ht="15" thickBot="1">
      <c r="A2" s="251" t="s">
        <v>665</v>
      </c>
      <c r="B2" s="251"/>
      <c r="C2" s="251"/>
      <c r="D2" s="251"/>
    </row>
    <row r="3" spans="1:4">
      <c r="A3" s="252"/>
      <c r="B3" s="253"/>
      <c r="C3" s="253"/>
      <c r="D3" s="254"/>
    </row>
    <row r="4" spans="1:4">
      <c r="A4" s="255"/>
      <c r="B4" s="250"/>
      <c r="C4" s="250"/>
      <c r="D4" s="256"/>
    </row>
    <row r="5" spans="1:4">
      <c r="A5" s="255"/>
      <c r="B5" s="250"/>
      <c r="C5" s="250"/>
      <c r="D5" s="256"/>
    </row>
    <row r="6" spans="1:4">
      <c r="A6" s="255"/>
      <c r="B6" s="250"/>
      <c r="C6" s="250"/>
      <c r="D6" s="256"/>
    </row>
    <row r="7" spans="1:4">
      <c r="A7" s="255"/>
      <c r="B7" s="250"/>
      <c r="C7" s="250"/>
      <c r="D7" s="256"/>
    </row>
    <row r="8" spans="1:4" ht="15" thickBot="1">
      <c r="A8" s="257"/>
      <c r="B8" s="258"/>
      <c r="C8" s="258"/>
      <c r="D8" s="259"/>
    </row>
    <row r="9" spans="1:4">
      <c r="A9" s="240"/>
      <c r="B9" s="241" t="s">
        <v>661</v>
      </c>
      <c r="C9" s="241" t="s">
        <v>662</v>
      </c>
      <c r="D9" s="240" t="s">
        <v>657</v>
      </c>
    </row>
    <row r="10" spans="1:4">
      <c r="A10" s="117" t="s">
        <v>658</v>
      </c>
      <c r="B10" s="123">
        <f>'Valuation Model'!D14</f>
        <v>10</v>
      </c>
      <c r="C10" s="123" t="s">
        <v>34</v>
      </c>
      <c r="D10" s="145"/>
    </row>
    <row r="11" spans="1:4">
      <c r="A11" s="117" t="s">
        <v>659</v>
      </c>
      <c r="B11" s="121">
        <f>'Valuation Model'!D15</f>
        <v>0.17997183921226603</v>
      </c>
      <c r="C11" s="121">
        <f>'Valuation Model'!E15</f>
        <v>0.04</v>
      </c>
      <c r="D11" s="145"/>
    </row>
    <row r="12" spans="1:4">
      <c r="A12" s="117" t="s">
        <v>663</v>
      </c>
      <c r="B12" s="121">
        <f>'Valuation Model'!D23</f>
        <v>0.20425152371042071</v>
      </c>
      <c r="C12" s="121">
        <f>'Valuation Model'!E23</f>
        <v>0.15</v>
      </c>
      <c r="D12" s="145"/>
    </row>
    <row r="13" spans="1:4">
      <c r="A13" s="117" t="s">
        <v>451</v>
      </c>
      <c r="B13" s="121">
        <f>'Valuation Model'!D31</f>
        <v>9.2653997385002393E-2</v>
      </c>
      <c r="C13" s="121">
        <f>'Valuation Model'!D58</f>
        <v>8.2939997709294694E-2</v>
      </c>
      <c r="D13" s="145"/>
    </row>
    <row r="14" spans="1:4">
      <c r="A14" s="117" t="s">
        <v>660</v>
      </c>
      <c r="B14" s="121">
        <f>B12-B13</f>
        <v>0.11159752632541832</v>
      </c>
      <c r="C14" s="121">
        <f>C12-C13</f>
        <v>6.7060002290705301E-2</v>
      </c>
      <c r="D14" s="145"/>
    </row>
    <row r="15" spans="1:4">
      <c r="A15" s="117" t="s">
        <v>27</v>
      </c>
      <c r="B15" s="121">
        <f>'Valuation Model'!D24</f>
        <v>0.88112850246063579</v>
      </c>
      <c r="C15" s="121">
        <f>'Valuation Model'!E24</f>
        <v>0.26666666666666666</v>
      </c>
      <c r="D15" s="145"/>
    </row>
    <row r="16" spans="1:4">
      <c r="A16" s="117" t="s">
        <v>682</v>
      </c>
      <c r="B16" s="139">
        <f>B12*B15</f>
        <v>0.17997183921226603</v>
      </c>
      <c r="C16" s="147">
        <f>C15*C12</f>
        <v>0.04</v>
      </c>
      <c r="D16" s="145"/>
    </row>
    <row r="17" spans="1:6">
      <c r="A17" s="117" t="s">
        <v>683</v>
      </c>
      <c r="B17" s="121">
        <f>B11-B16</f>
        <v>0</v>
      </c>
      <c r="C17" s="148">
        <f>C11-C16</f>
        <v>0</v>
      </c>
      <c r="D17" s="145"/>
    </row>
    <row r="19" spans="1:6">
      <c r="A19" s="260" t="s">
        <v>666</v>
      </c>
      <c r="B19" s="260"/>
      <c r="C19" s="260"/>
      <c r="D19" s="260"/>
      <c r="E19" s="34" t="s">
        <v>680</v>
      </c>
      <c r="F19" s="123" t="s">
        <v>681</v>
      </c>
    </row>
    <row r="20" spans="1:6">
      <c r="A20" s="140" t="s">
        <v>667</v>
      </c>
      <c r="B20" s="141"/>
      <c r="C20" s="143">
        <f>'Valuation Model'!F61</f>
        <v>54380.809003198548</v>
      </c>
      <c r="D20" s="117" t="s">
        <v>678</v>
      </c>
      <c r="E20" s="146">
        <f>'Valuation Model'!C41/'Valuation Model'!D58</f>
        <v>187533.16167811921</v>
      </c>
      <c r="F20" s="144">
        <f>E20/(E20+E21)</f>
        <v>0.50587409655923832</v>
      </c>
    </row>
    <row r="21" spans="1:6">
      <c r="A21" s="140" t="s">
        <v>668</v>
      </c>
      <c r="B21" s="141"/>
      <c r="C21" s="143">
        <f>'Valuation Model'!D59</f>
        <v>747044.51418398088</v>
      </c>
      <c r="D21" s="117" t="s">
        <v>679</v>
      </c>
      <c r="E21" s="146">
        <f>C23-E20</f>
        <v>183177.97564566927</v>
      </c>
      <c r="F21" s="144">
        <f>E21/(E20+E21)</f>
        <v>0.49412590344076174</v>
      </c>
    </row>
    <row r="22" spans="1:6">
      <c r="A22" s="140" t="s">
        <v>669</v>
      </c>
      <c r="B22" s="141"/>
      <c r="C22" s="143">
        <f>'Valuation Model'!F62</f>
        <v>316330.32832058991</v>
      </c>
    </row>
    <row r="23" spans="1:6">
      <c r="A23" s="140" t="s">
        <v>670</v>
      </c>
      <c r="B23" s="141"/>
      <c r="C23" s="143">
        <f>C20+C22</f>
        <v>370711.13732378848</v>
      </c>
    </row>
    <row r="24" spans="1:6">
      <c r="A24" s="140" t="s">
        <v>671</v>
      </c>
      <c r="B24" s="141"/>
      <c r="C24" s="143">
        <f>'Valuation Model'!F64</f>
        <v>5980</v>
      </c>
    </row>
    <row r="25" spans="1:6">
      <c r="A25" s="140" t="s">
        <v>677</v>
      </c>
      <c r="B25" s="142"/>
      <c r="C25" s="143">
        <f>'Valuation Model'!F66+'Valuation Model'!F67</f>
        <v>25318</v>
      </c>
    </row>
    <row r="26" spans="1:6">
      <c r="A26" s="140" t="s">
        <v>672</v>
      </c>
      <c r="B26" s="142"/>
      <c r="C26" s="143">
        <f>C23+C24-C25</f>
        <v>351373.13732378848</v>
      </c>
    </row>
    <row r="27" spans="1:6">
      <c r="A27" s="140" t="s">
        <v>673</v>
      </c>
      <c r="B27" s="142"/>
      <c r="C27" s="143">
        <f>'Valuation Model'!F69</f>
        <v>0</v>
      </c>
    </row>
    <row r="28" spans="1:6">
      <c r="A28" s="140" t="s">
        <v>674</v>
      </c>
      <c r="B28" s="142"/>
      <c r="C28" s="143">
        <f>C26-C27</f>
        <v>351373.13732378848</v>
      </c>
    </row>
    <row r="29" spans="1:6">
      <c r="A29" s="140" t="s">
        <v>654</v>
      </c>
      <c r="B29" s="142"/>
      <c r="C29" s="143">
        <f>'Valuation Model'!F71</f>
        <v>369.70690262496026</v>
      </c>
    </row>
    <row r="30" spans="1:6">
      <c r="A30" s="140" t="s">
        <v>675</v>
      </c>
      <c r="B30" s="142"/>
      <c r="C30" s="143">
        <f>'Valuation Model'!F72</f>
        <v>804.14</v>
      </c>
    </row>
    <row r="31" spans="1:6">
      <c r="A31" s="140" t="s">
        <v>676</v>
      </c>
      <c r="B31" s="142"/>
      <c r="C31" s="144">
        <f>C30/C29-1</f>
        <v>1.1750743475183079</v>
      </c>
    </row>
  </sheetData>
  <mergeCells count="4">
    <mergeCell ref="B1:C1"/>
    <mergeCell ref="A2:D2"/>
    <mergeCell ref="A3:D8"/>
    <mergeCell ref="A19:D19"/>
  </mergeCells>
  <pageMargins left="0.75" right="0.75" top="1" bottom="1" header="0.3" footer="0.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workbookViewId="0">
      <selection activeCell="D5" sqref="D5"/>
    </sheetView>
  </sheetViews>
  <sheetFormatPr baseColWidth="10" defaultRowHeight="14"/>
  <cols>
    <col min="4" max="4" width="15.42578125" bestFit="1" customWidth="1"/>
  </cols>
  <sheetData>
    <row r="1" spans="1:7" s="35" customFormat="1" ht="19">
      <c r="A1" s="14" t="s">
        <v>197</v>
      </c>
      <c r="B1" s="14"/>
    </row>
    <row r="2" spans="1:7">
      <c r="A2" s="1" t="s">
        <v>283</v>
      </c>
      <c r="B2" s="1"/>
      <c r="D2" s="70">
        <f>IF('Master Inputs Start here'!B54="Current Price",'Master Inputs Start here'!B31,'Valuation Model'!F71)</f>
        <v>804.14</v>
      </c>
    </row>
    <row r="3" spans="1:7">
      <c r="A3" s="1" t="s">
        <v>284</v>
      </c>
      <c r="B3" s="1"/>
      <c r="D3" s="47">
        <f>'Master Inputs Start here'!B51</f>
        <v>40.35</v>
      </c>
    </row>
    <row r="4" spans="1:7">
      <c r="A4" s="1" t="s">
        <v>59</v>
      </c>
      <c r="B4" s="1"/>
      <c r="D4" s="75">
        <f>'Master Inputs Start here'!B52</f>
        <v>8.3000000000000007</v>
      </c>
    </row>
    <row r="5" spans="1:7">
      <c r="A5" s="1" t="s">
        <v>73</v>
      </c>
      <c r="B5" s="1"/>
      <c r="D5" s="76">
        <f>'Master Inputs Start here'!B53</f>
        <v>0.25</v>
      </c>
      <c r="E5" s="1" t="s">
        <v>390</v>
      </c>
    </row>
    <row r="6" spans="1:7">
      <c r="A6" s="1" t="s">
        <v>293</v>
      </c>
      <c r="B6" s="1"/>
      <c r="D6" s="77">
        <v>0</v>
      </c>
    </row>
    <row r="7" spans="1:7">
      <c r="A7" s="1" t="s">
        <v>294</v>
      </c>
      <c r="B7" s="1"/>
      <c r="D7" s="77">
        <f>'Master Inputs Start here'!B39</f>
        <v>4.4999999999999998E-2</v>
      </c>
    </row>
    <row r="8" spans="1:7">
      <c r="A8" s="1" t="s">
        <v>270</v>
      </c>
      <c r="B8" s="1"/>
      <c r="D8" s="78">
        <f>'Master Inputs Start here'!B50</f>
        <v>50.997999999999998</v>
      </c>
    </row>
    <row r="9" spans="1:7">
      <c r="A9" s="1" t="s">
        <v>233</v>
      </c>
      <c r="B9" s="1"/>
      <c r="D9" s="79">
        <f>'Master Inputs Start here'!B32</f>
        <v>950.41</v>
      </c>
    </row>
    <row r="10" spans="1:7">
      <c r="A10" s="1"/>
      <c r="B10" s="1"/>
    </row>
    <row r="11" spans="1:7" s="36" customFormat="1">
      <c r="A11" s="2" t="s">
        <v>394</v>
      </c>
      <c r="B11" s="4"/>
    </row>
    <row r="12" spans="1:7" s="1" customFormat="1" ht="13">
      <c r="A12" s="3" t="s">
        <v>221</v>
      </c>
    </row>
    <row r="13" spans="1:7" s="1" customFormat="1" ht="13">
      <c r="A13" s="1" t="s">
        <v>109</v>
      </c>
      <c r="C13" s="37">
        <f>D2</f>
        <v>804.14</v>
      </c>
      <c r="D13" s="1" t="s">
        <v>84</v>
      </c>
      <c r="F13" s="7">
        <f>D8</f>
        <v>50.997999999999998</v>
      </c>
      <c r="G13" s="38"/>
    </row>
    <row r="14" spans="1:7" s="1" customFormat="1" ht="13">
      <c r="A14" s="1" t="s">
        <v>146</v>
      </c>
      <c r="C14" s="37">
        <f>D3</f>
        <v>40.35</v>
      </c>
      <c r="D14" s="1" t="s">
        <v>150</v>
      </c>
      <c r="F14" s="39">
        <f>D9</f>
        <v>950.41</v>
      </c>
      <c r="G14" s="38"/>
    </row>
    <row r="15" spans="1:7" s="1" customFormat="1" ht="13">
      <c r="A15" s="1" t="s">
        <v>106</v>
      </c>
      <c r="C15" s="37">
        <f ca="1">(C13*F14+C26*F13)/(F14+F13)</f>
        <v>802.64969133507611</v>
      </c>
      <c r="D15" s="1" t="s">
        <v>151</v>
      </c>
      <c r="F15" s="40">
        <f>D7</f>
        <v>4.4999999999999998E-2</v>
      </c>
    </row>
    <row r="16" spans="1:7" s="1" customFormat="1" ht="13">
      <c r="A16" s="1" t="s">
        <v>107</v>
      </c>
      <c r="C16" s="37">
        <f>C14</f>
        <v>40.35</v>
      </c>
      <c r="D16" s="1" t="s">
        <v>249</v>
      </c>
      <c r="F16" s="41">
        <f>D5^2</f>
        <v>6.25E-2</v>
      </c>
    </row>
    <row r="17" spans="1:7" s="1" customFormat="1" ht="13">
      <c r="A17" s="1" t="s">
        <v>250</v>
      </c>
      <c r="C17" s="37">
        <f>D4</f>
        <v>8.3000000000000007</v>
      </c>
      <c r="D17" s="1" t="s">
        <v>157</v>
      </c>
      <c r="F17" s="40">
        <f>D6</f>
        <v>0</v>
      </c>
    </row>
    <row r="18" spans="1:7" s="1" customFormat="1" ht="13">
      <c r="C18" s="3"/>
      <c r="D18" s="1" t="s">
        <v>158</v>
      </c>
      <c r="F18" s="20">
        <f>F15-F17</f>
        <v>4.4999999999999998E-2</v>
      </c>
    </row>
    <row r="19" spans="1:7" s="1" customFormat="1" ht="13"/>
    <row r="20" spans="1:7" s="1" customFormat="1" ht="13">
      <c r="A20" s="1" t="s">
        <v>159</v>
      </c>
      <c r="B20" s="7">
        <f ca="1">(LN(C15/C16)+(F18+(F16/2))*C17)/(((F16)^(0.5))*(C17^0.5))</f>
        <v>5.0305270595980831</v>
      </c>
    </row>
    <row r="21" spans="1:7" s="1" customFormat="1" ht="13">
      <c r="A21" s="1" t="s">
        <v>242</v>
      </c>
      <c r="B21" s="7">
        <f ca="1">NORMSDIST(B20)</f>
        <v>0.99999975543332764</v>
      </c>
    </row>
    <row r="22" spans="1:7" s="1" customFormat="1" ht="13"/>
    <row r="23" spans="1:7" s="1" customFormat="1" ht="16" customHeight="1">
      <c r="A23" s="1" t="s">
        <v>252</v>
      </c>
      <c r="B23" s="7">
        <f ca="1">B20-((F16^0.5)*(C17^(0.5)))</f>
        <v>4.3102840450536863</v>
      </c>
    </row>
    <row r="24" spans="1:7" s="1" customFormat="1" ht="13">
      <c r="A24" s="1" t="s">
        <v>253</v>
      </c>
      <c r="B24" s="7">
        <f ca="1">NORMSDIST(B23)</f>
        <v>0.99999184775079908</v>
      </c>
    </row>
    <row r="25" spans="1:7" ht="15" thickBot="1">
      <c r="A25" s="1"/>
      <c r="B25" s="1"/>
    </row>
    <row r="26" spans="1:7" s="1" customFormat="1" thickBot="1">
      <c r="A26" s="1" t="s">
        <v>198</v>
      </c>
      <c r="C26" s="82">
        <f ca="1">((EXP((0-F17)*C17))*C15*B21-C16*(EXP((0-F15)*C17))*B24)</f>
        <v>774.87596965520049</v>
      </c>
      <c r="G26" s="45"/>
    </row>
    <row r="27" spans="1:7" s="1" customFormat="1" thickBot="1">
      <c r="A27" s="1" t="s">
        <v>199</v>
      </c>
      <c r="D27" s="18">
        <f ca="1">C26*D8</f>
        <v>39517.124700475913</v>
      </c>
    </row>
  </sheetData>
  <phoneticPr fontId="24" type="noConversion"/>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Read me first</vt:lpstr>
      <vt:lpstr>Master Inputs Start here</vt:lpstr>
      <vt:lpstr>Valuation Model</vt:lpstr>
      <vt:lpstr>Input Summary</vt:lpstr>
      <vt:lpstr>Earnings Normalizer</vt:lpstr>
      <vt:lpstr>R&amp;D converter</vt:lpstr>
      <vt:lpstr>Operating lease converter</vt:lpstr>
      <vt:lpstr>Stories to Numbers</vt:lpstr>
      <vt:lpstr>Option Value</vt:lpstr>
      <vt:lpstr>Cost of capital worksheet</vt:lpstr>
      <vt:lpstr>Ratings estimator</vt:lpstr>
      <vt:lpstr>US Industry averages</vt:lpstr>
      <vt:lpstr>Global Industry averages</vt:lpstr>
      <vt:lpstr>Country ERP</vt:lpstr>
      <vt:lpstr>Trailing 12-month numbers</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Aswath Damodaran</dc:creator>
  <cp:keywords/>
  <dc:description/>
  <cp:lastModifiedBy>Microsoft Office User</cp:lastModifiedBy>
  <cp:lastPrinted>1999-04-05T16:26:46Z</cp:lastPrinted>
  <dcterms:created xsi:type="dcterms:W3CDTF">1999-04-05T16:05:46Z</dcterms:created>
  <dcterms:modified xsi:type="dcterms:W3CDTF">2025-01-22T01:55:56Z</dcterms:modified>
</cp:coreProperties>
</file>