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ate1904="1" codeName="ThisWorkbook"/>
  <mc:AlternateContent xmlns:mc="http://schemas.openxmlformats.org/markup-compatibility/2006">
    <mc:Choice Requires="x15">
      <x15ac:absPath xmlns:x15ac="http://schemas.microsoft.com/office/spreadsheetml/2010/11/ac" url="/Users/dayvoid97/Desktop/"/>
    </mc:Choice>
  </mc:AlternateContent>
  <xr:revisionPtr revIDLastSave="0" documentId="13_ncr:1_{93A32DE9-A5CD-DC4D-89CD-0B52864574EE}" xr6:coauthVersionLast="47" xr6:coauthVersionMax="47" xr10:uidLastSave="{00000000-0000-0000-0000-000000000000}"/>
  <bookViews>
    <workbookView xWindow="-7120" yWindow="-21600" windowWidth="38400" windowHeight="21600" tabRatio="772" xr2:uid="{00000000-000D-0000-FFFF-FFFF00000000}"/>
  </bookViews>
  <sheets>
    <sheet name="Master Inputs" sheetId="30" r:id="rId1"/>
    <sheet name="Input sheet" sheetId="11" r:id="rId2"/>
    <sheet name="Valuation output" sheetId="13" r:id="rId3"/>
    <sheet name="Stories to Numbers" sheetId="28" r:id="rId4"/>
    <sheet name="Diagnostics" sheetId="12" r:id="rId5"/>
    <sheet name="Summary Sheet" sheetId="29" r:id="rId6"/>
    <sheet name="Option value" sheetId="14" r:id="rId7"/>
    <sheet name="Cost of capital worksheet" sheetId="19" r:id="rId8"/>
    <sheet name="R&amp; D converter" sheetId="25" r:id="rId9"/>
    <sheet name="Operating lease converter" sheetId="18" r:id="rId10"/>
    <sheet name="Country equity risk premiums" sheetId="23" r:id="rId11"/>
    <sheet name="Synthetic rating" sheetId="20" r:id="rId12"/>
    <sheet name="Industry Average Beta (US)" sheetId="8" r:id="rId13"/>
    <sheet name="Industry Average Beta (Global)" sheetId="26" r:id="rId14"/>
    <sheet name="Trailing 12 month" sheetId="24" r:id="rId15"/>
    <sheet name="Answer keys" sheetId="21" r:id="rId16"/>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6" i="13" l="1"/>
  <c r="H13" i="13"/>
  <c r="C3" i="13"/>
  <c r="R3" i="13"/>
  <c r="B5" i="30"/>
  <c r="B24" i="25"/>
  <c r="G39" i="28"/>
  <c r="D9" i="28"/>
  <c r="F33" i="28"/>
  <c r="F32" i="28"/>
  <c r="F31" i="28"/>
  <c r="F30" i="28"/>
  <c r="F29" i="28"/>
  <c r="F27" i="28"/>
  <c r="F28" i="28"/>
  <c r="F26" i="28"/>
  <c r="F25" i="28"/>
  <c r="F24" i="28"/>
  <c r="F17" i="28"/>
  <c r="B32" i="28"/>
  <c r="B31" i="28"/>
  <c r="B30" i="28"/>
  <c r="B29" i="28"/>
  <c r="B28" i="28"/>
  <c r="B27" i="28"/>
  <c r="B26" i="28"/>
  <c r="B25" i="28"/>
  <c r="S45" i="13"/>
  <c r="S15" i="13" s="1"/>
  <c r="R20" i="13"/>
  <c r="M20" i="13"/>
  <c r="N20" i="13" s="1"/>
  <c r="O20" i="13" s="1"/>
  <c r="P20" i="13" s="1"/>
  <c r="Q20" i="13" s="1"/>
  <c r="L20" i="13"/>
  <c r="C20" i="13"/>
  <c r="S19" i="13"/>
  <c r="M19" i="13"/>
  <c r="N19" i="13" s="1"/>
  <c r="O19" i="13" s="1"/>
  <c r="P19" i="13" s="1"/>
  <c r="Q19" i="13" s="1"/>
  <c r="R19" i="13" s="1"/>
  <c r="H19" i="13"/>
  <c r="I19" i="13" s="1"/>
  <c r="J19" i="13" s="1"/>
  <c r="K19" i="13" s="1"/>
  <c r="L19" i="13" s="1"/>
  <c r="M45" i="13"/>
  <c r="N45" i="13"/>
  <c r="O45" i="13"/>
  <c r="O15" i="13" s="1"/>
  <c r="P45" i="13"/>
  <c r="P15" i="13" s="1"/>
  <c r="Q45" i="13"/>
  <c r="Q15" i="13" s="1"/>
  <c r="M15" i="13"/>
  <c r="N15" i="13"/>
  <c r="L13" i="13"/>
  <c r="S13" i="13"/>
  <c r="M8" i="13"/>
  <c r="M12" i="13" s="1"/>
  <c r="N8" i="13"/>
  <c r="N12" i="13" s="1"/>
  <c r="O8" i="13"/>
  <c r="O12" i="13" s="1"/>
  <c r="P8" i="13"/>
  <c r="P12" i="13" s="1"/>
  <c r="Q8" i="13"/>
  <c r="Q12" i="13" s="1"/>
  <c r="R8" i="13"/>
  <c r="R12" i="13" s="1"/>
  <c r="S7" i="13"/>
  <c r="C7" i="13"/>
  <c r="D7" i="13"/>
  <c r="E7" i="13"/>
  <c r="F7" i="13"/>
  <c r="G7" i="13"/>
  <c r="H7" i="13"/>
  <c r="I7" i="13"/>
  <c r="J7" i="13"/>
  <c r="K7" i="13"/>
  <c r="L7" i="13"/>
  <c r="M7" i="13"/>
  <c r="N7" i="13"/>
  <c r="O7" i="13"/>
  <c r="P7" i="13"/>
  <c r="Q7" i="13"/>
  <c r="R7" i="13"/>
  <c r="B7" i="13"/>
  <c r="B3" i="13"/>
  <c r="B31" i="30"/>
  <c r="B38" i="11" s="1"/>
  <c r="E5" i="30"/>
  <c r="G5" i="30"/>
  <c r="E4" i="30"/>
  <c r="E3" i="30"/>
  <c r="E2" i="30"/>
  <c r="S11" i="13"/>
  <c r="D27" i="28" l="1"/>
  <c r="C27" i="28" s="1"/>
  <c r="D31" i="28"/>
  <c r="C31" i="28" s="1"/>
  <c r="Q14" i="13"/>
  <c r="D32" i="28"/>
  <c r="C32" i="28" s="1"/>
  <c r="R14" i="13"/>
  <c r="D30" i="28"/>
  <c r="C30" i="28" s="1"/>
  <c r="P14" i="13"/>
  <c r="O14" i="13"/>
  <c r="D29" i="28"/>
  <c r="C29" i="28" s="1"/>
  <c r="N14" i="13"/>
  <c r="D28" i="28"/>
  <c r="C28" i="28" s="1"/>
  <c r="R45" i="13"/>
  <c r="R15" i="13" s="1"/>
  <c r="B4" i="13"/>
  <c r="C4" i="13" s="1"/>
  <c r="D4" i="13" s="1"/>
  <c r="E4" i="13" s="1"/>
  <c r="F4" i="13" s="1"/>
  <c r="G4" i="13" s="1"/>
  <c r="H4" i="13" s="1"/>
  <c r="I4" i="13" s="1"/>
  <c r="J4" i="13" s="1"/>
  <c r="K4" i="13" s="1"/>
  <c r="L4" i="13" s="1"/>
  <c r="M4" i="13" s="1"/>
  <c r="N4" i="13" s="1"/>
  <c r="S10" i="13"/>
  <c r="S9" i="13"/>
  <c r="B194" i="23"/>
  <c r="B193" i="23"/>
  <c r="B192" i="23"/>
  <c r="B191" i="23"/>
  <c r="B190" i="23"/>
  <c r="B189" i="23"/>
  <c r="B188" i="23"/>
  <c r="B187" i="23"/>
  <c r="B186" i="23"/>
  <c r="B185"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R16" i="13" l="1"/>
  <c r="R21" i="13" s="1"/>
  <c r="E32" i="28"/>
  <c r="G32" i="28" s="1"/>
  <c r="E31" i="28"/>
  <c r="G31" i="28" s="1"/>
  <c r="Q16" i="13"/>
  <c r="Q21" i="13" s="1"/>
  <c r="E28" i="28"/>
  <c r="G28" i="28" s="1"/>
  <c r="N16" i="13"/>
  <c r="N21" i="13" s="1"/>
  <c r="E29" i="28"/>
  <c r="G29" i="28" s="1"/>
  <c r="O16" i="13"/>
  <c r="O21" i="13" s="1"/>
  <c r="E30" i="28"/>
  <c r="G30" i="28" s="1"/>
  <c r="P16" i="13"/>
  <c r="P21" i="13" s="1"/>
  <c r="O4" i="13"/>
  <c r="B26" i="30"/>
  <c r="G2" i="28"/>
  <c r="P4" i="13" l="1"/>
  <c r="B18" i="30"/>
  <c r="B29" i="11" s="1"/>
  <c r="Q4" i="13" l="1"/>
  <c r="B29" i="13"/>
  <c r="K53" i="19"/>
  <c r="I53" i="19"/>
  <c r="J53" i="19" s="1"/>
  <c r="I54" i="19"/>
  <c r="J54" i="19" s="1"/>
  <c r="K54" i="19"/>
  <c r="I55" i="19"/>
  <c r="J55" i="19" s="1"/>
  <c r="K55" i="19"/>
  <c r="I56" i="19"/>
  <c r="J56" i="19" s="1"/>
  <c r="K56" i="19"/>
  <c r="I57" i="19"/>
  <c r="J57" i="19" s="1"/>
  <c r="K57" i="19"/>
  <c r="I58" i="19"/>
  <c r="J58" i="19" s="1"/>
  <c r="K58" i="19"/>
  <c r="I59" i="19"/>
  <c r="J59" i="19" s="1"/>
  <c r="K59" i="19"/>
  <c r="I60" i="19"/>
  <c r="J60" i="19" s="1"/>
  <c r="K60" i="19"/>
  <c r="I61" i="19"/>
  <c r="J61" i="19" s="1"/>
  <c r="K61" i="19"/>
  <c r="I62" i="19"/>
  <c r="J62" i="19" s="1"/>
  <c r="K62" i="19"/>
  <c r="I63" i="19"/>
  <c r="J63" i="19" s="1"/>
  <c r="K63" i="19"/>
  <c r="H64" i="19"/>
  <c r="I52" i="19"/>
  <c r="J52" i="19" s="1"/>
  <c r="K52" i="19"/>
  <c r="J25" i="11"/>
  <c r="D12" i="20"/>
  <c r="D52" i="20"/>
  <c r="D51" i="20"/>
  <c r="D50" i="20"/>
  <c r="D49" i="20"/>
  <c r="D48" i="20"/>
  <c r="D47" i="20"/>
  <c r="D46" i="20"/>
  <c r="D45" i="20"/>
  <c r="D44" i="20"/>
  <c r="D43" i="20"/>
  <c r="D42" i="20"/>
  <c r="D41" i="20"/>
  <c r="D40" i="20"/>
  <c r="D39" i="20"/>
  <c r="D38" i="20"/>
  <c r="I23" i="19"/>
  <c r="K23" i="19" s="1"/>
  <c r="I24" i="19"/>
  <c r="I26" i="19"/>
  <c r="I25" i="19"/>
  <c r="I27" i="19"/>
  <c r="I28" i="19"/>
  <c r="K28" i="19" s="1"/>
  <c r="I21" i="19"/>
  <c r="K21" i="19" s="1"/>
  <c r="I29" i="19"/>
  <c r="K29" i="19" s="1"/>
  <c r="G29" i="19"/>
  <c r="I22"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6" i="11"/>
  <c r="A15" i="29"/>
  <c r="B17" i="13"/>
  <c r="F2" i="29" s="1"/>
  <c r="B12" i="19"/>
  <c r="B25" i="19" s="1"/>
  <c r="K26" i="11"/>
  <c r="J15" i="19"/>
  <c r="K15" i="19" s="1"/>
  <c r="J14" i="19"/>
  <c r="K14" i="19" s="1"/>
  <c r="H22" i="19"/>
  <c r="H32" i="19"/>
  <c r="J23" i="19"/>
  <c r="B13" i="13"/>
  <c r="B11" i="28" s="1"/>
  <c r="C11" i="28" s="1"/>
  <c r="G45" i="28"/>
  <c r="B22" i="18"/>
  <c r="A22" i="18"/>
  <c r="B23" i="18"/>
  <c r="A23" i="18"/>
  <c r="B24" i="18"/>
  <c r="A24" i="18"/>
  <c r="B25" i="18"/>
  <c r="A25" i="18"/>
  <c r="B26" i="18"/>
  <c r="A26" i="18"/>
  <c r="D18" i="18"/>
  <c r="B27" i="18"/>
  <c r="A25" i="25"/>
  <c r="B25" i="25"/>
  <c r="A12" i="25"/>
  <c r="A26" i="25" s="1"/>
  <c r="C26" i="25" s="1"/>
  <c r="B26" i="25"/>
  <c r="B27" i="25"/>
  <c r="C24" i="25"/>
  <c r="B28" i="25"/>
  <c r="B29" i="25"/>
  <c r="B30" i="25"/>
  <c r="B31" i="25"/>
  <c r="B32" i="25"/>
  <c r="B33" i="25"/>
  <c r="B34" i="25"/>
  <c r="B6" i="19"/>
  <c r="B7" i="19"/>
  <c r="B19" i="19"/>
  <c r="B18" i="19"/>
  <c r="D48" i="19"/>
  <c r="B26" i="19"/>
  <c r="H18" i="19"/>
  <c r="J5" i="19" s="1"/>
  <c r="J9" i="19"/>
  <c r="K9" i="19" s="1"/>
  <c r="J10" i="19"/>
  <c r="K10" i="19" s="1"/>
  <c r="J11" i="19"/>
  <c r="K11" i="19" s="1"/>
  <c r="J12" i="19"/>
  <c r="K12" i="19" s="1"/>
  <c r="J13" i="19"/>
  <c r="K13" i="19" s="1"/>
  <c r="J17" i="19"/>
  <c r="K17" i="19" s="1"/>
  <c r="D50" i="19"/>
  <c r="B33" i="13"/>
  <c r="B34" i="13"/>
  <c r="B35" i="13"/>
  <c r="B39" i="13"/>
  <c r="D44" i="28" s="1"/>
  <c r="A1" i="28"/>
  <c r="F7" i="20"/>
  <c r="I36" i="19"/>
  <c r="K36" i="19" s="1"/>
  <c r="I47" i="19"/>
  <c r="K47" i="19" s="1"/>
  <c r="I46" i="19"/>
  <c r="J46" i="19" s="1"/>
  <c r="I45" i="19"/>
  <c r="K45" i="19" s="1"/>
  <c r="I44" i="19"/>
  <c r="K44" i="19" s="1"/>
  <c r="I43" i="19"/>
  <c r="K43" i="19" s="1"/>
  <c r="I42" i="19"/>
  <c r="J42" i="19" s="1"/>
  <c r="I41" i="19"/>
  <c r="K41" i="19" s="1"/>
  <c r="I40" i="19"/>
  <c r="K40" i="19" s="1"/>
  <c r="I39" i="19"/>
  <c r="J39" i="19" s="1"/>
  <c r="K39" i="19"/>
  <c r="I38" i="19"/>
  <c r="K38" i="19" s="1"/>
  <c r="I37" i="19"/>
  <c r="J37" i="19" s="1"/>
  <c r="K29" i="11"/>
  <c r="K28" i="11"/>
  <c r="J29" i="11"/>
  <c r="J28" i="11"/>
  <c r="K27" i="11"/>
  <c r="K25" i="11"/>
  <c r="K24" i="11"/>
  <c r="J24" i="11"/>
  <c r="C4" i="20"/>
  <c r="H48" i="19"/>
  <c r="J27" i="11"/>
  <c r="A27" i="18"/>
  <c r="B41" i="13"/>
  <c r="D9" i="14"/>
  <c r="F14" i="14" s="1"/>
  <c r="D8" i="14"/>
  <c r="F13" i="14" s="1"/>
  <c r="D5" i="14"/>
  <c r="F16" i="14" s="1"/>
  <c r="D4" i="14"/>
  <c r="C17" i="14" s="1"/>
  <c r="D3" i="14"/>
  <c r="C14" i="14" s="1"/>
  <c r="C16" i="14" s="1"/>
  <c r="D7" i="14"/>
  <c r="F15" i="14" s="1"/>
  <c r="F18" i="14" s="1"/>
  <c r="F17" i="14"/>
  <c r="A13" i="25"/>
  <c r="A14" i="25"/>
  <c r="A15" i="25" s="1"/>
  <c r="J7" i="19"/>
  <c r="K7" i="19" s="1"/>
  <c r="J8" i="19"/>
  <c r="K8" i="19" s="1"/>
  <c r="I24" i="11"/>
  <c r="C25" i="25"/>
  <c r="A27" i="25"/>
  <c r="C27" i="25" s="1"/>
  <c r="J21" i="19"/>
  <c r="J22" i="19"/>
  <c r="K22" i="19"/>
  <c r="J29" i="19"/>
  <c r="J26" i="19"/>
  <c r="K26" i="19"/>
  <c r="J30" i="19"/>
  <c r="K30" i="19"/>
  <c r="D24" i="25"/>
  <c r="J28" i="19"/>
  <c r="J27" i="19"/>
  <c r="K27" i="19"/>
  <c r="J31" i="19"/>
  <c r="K31" i="19"/>
  <c r="J25" i="19"/>
  <c r="K25" i="19"/>
  <c r="J24" i="19"/>
  <c r="K24" i="19"/>
  <c r="J43" i="19"/>
  <c r="J32" i="19"/>
  <c r="I5" i="19"/>
  <c r="J6" i="19" l="1"/>
  <c r="J16" i="19"/>
  <c r="K16" i="19" s="1"/>
  <c r="A16" i="25"/>
  <c r="A29" i="25"/>
  <c r="C29" i="25" s="1"/>
  <c r="D27" i="25"/>
  <c r="D26" i="25"/>
  <c r="A28" i="25"/>
  <c r="C28" i="25" s="1"/>
  <c r="D28" i="25" s="1"/>
  <c r="D35" i="25" s="1"/>
  <c r="D25" i="25"/>
  <c r="D29" i="25"/>
  <c r="E26" i="25"/>
  <c r="R4" i="13"/>
  <c r="C13" i="13"/>
  <c r="D13" i="13" s="1"/>
  <c r="E13" i="13" s="1"/>
  <c r="F13" i="13" s="1"/>
  <c r="G13" i="13" s="1"/>
  <c r="K6" i="19"/>
  <c r="F9" i="28"/>
  <c r="D41" i="28"/>
  <c r="E29" i="25"/>
  <c r="E25" i="25"/>
  <c r="J47" i="19"/>
  <c r="K37" i="19"/>
  <c r="K42" i="19"/>
  <c r="J41" i="19"/>
  <c r="K46" i="19"/>
  <c r="J45" i="19"/>
  <c r="J64" i="19"/>
  <c r="K64" i="19" s="1"/>
  <c r="B11" i="19" s="1"/>
  <c r="J40" i="19"/>
  <c r="J36" i="19"/>
  <c r="J44" i="19"/>
  <c r="K32" i="19"/>
  <c r="J18" i="19"/>
  <c r="K5" i="19"/>
  <c r="J38" i="19"/>
  <c r="B48" i="19"/>
  <c r="C41" i="19"/>
  <c r="E27" i="25"/>
  <c r="C42" i="19"/>
  <c r="C44" i="19" s="1"/>
  <c r="C50" i="19"/>
  <c r="B2" i="29"/>
  <c r="H8" i="13"/>
  <c r="H12" i="13" s="1"/>
  <c r="L8" i="13"/>
  <c r="L12" i="13" s="1"/>
  <c r="D26" i="28" s="1"/>
  <c r="C26" i="28" s="1"/>
  <c r="K8" i="13"/>
  <c r="K12" i="13" s="1"/>
  <c r="D25" i="28" s="1"/>
  <c r="C25" i="28" s="1"/>
  <c r="J8" i="13"/>
  <c r="J12" i="13" s="1"/>
  <c r="I8" i="13"/>
  <c r="I12" i="13" s="1"/>
  <c r="K18" i="19" l="1"/>
  <c r="B15" i="19" s="1"/>
  <c r="E28" i="25"/>
  <c r="A30" i="25"/>
  <c r="A17" i="25"/>
  <c r="S4" i="13"/>
  <c r="B9" i="28"/>
  <c r="E35" i="25"/>
  <c r="D37" i="25" s="1"/>
  <c r="D39" i="25" s="1"/>
  <c r="D40" i="25" s="1"/>
  <c r="S8" i="13"/>
  <c r="S12" i="13" s="1"/>
  <c r="S14" i="13" s="1"/>
  <c r="J48" i="19"/>
  <c r="K48" i="19" s="1"/>
  <c r="C26" i="18"/>
  <c r="C24" i="18"/>
  <c r="C23" i="18"/>
  <c r="C22" i="18"/>
  <c r="C27" i="18"/>
  <c r="C25" i="18"/>
  <c r="D12" i="29"/>
  <c r="D8" i="29"/>
  <c r="D9" i="29"/>
  <c r="D10" i="29"/>
  <c r="D11" i="29"/>
  <c r="A31" i="25" l="1"/>
  <c r="A18" i="25"/>
  <c r="C30" i="25"/>
  <c r="D30" i="25" s="1"/>
  <c r="E30" i="25"/>
  <c r="S16" i="13"/>
  <c r="B23" i="13" s="1"/>
  <c r="B25" i="13" s="1"/>
  <c r="E33" i="28"/>
  <c r="G33" i="28" s="1"/>
  <c r="C28" i="18"/>
  <c r="A19" i="25" l="1"/>
  <c r="A32" i="25"/>
  <c r="E31" i="25"/>
  <c r="C31" i="25"/>
  <c r="D31" i="25" s="1"/>
  <c r="F33" i="18"/>
  <c r="B32" i="13"/>
  <c r="D40" i="28" s="1"/>
  <c r="F6" i="20"/>
  <c r="F31" i="18"/>
  <c r="F32" i="18" s="1"/>
  <c r="F34" i="18"/>
  <c r="C32" i="25" l="1"/>
  <c r="D32" i="25" s="1"/>
  <c r="E32" i="25"/>
  <c r="A33" i="25"/>
  <c r="A20" i="25"/>
  <c r="A34" i="25" s="1"/>
  <c r="B46" i="13"/>
  <c r="B33" i="19"/>
  <c r="C43" i="19" s="1"/>
  <c r="C48" i="19" s="1"/>
  <c r="B12" i="13"/>
  <c r="F5" i="20"/>
  <c r="D9" i="20" s="1"/>
  <c r="C34" i="25" l="1"/>
  <c r="D34" i="25" s="1"/>
  <c r="E34" i="25"/>
  <c r="E33" i="25"/>
  <c r="C33" i="25"/>
  <c r="D33" i="25" s="1"/>
  <c r="B10" i="28"/>
  <c r="B8" i="13"/>
  <c r="C8" i="13" s="1"/>
  <c r="C12" i="13" s="1"/>
  <c r="B14" i="13"/>
  <c r="C45" i="19"/>
  <c r="B50" i="19" s="1"/>
  <c r="E48" i="19"/>
  <c r="C49" i="19" s="1"/>
  <c r="D11" i="20"/>
  <c r="D13" i="20" s="1"/>
  <c r="D10" i="20"/>
  <c r="G15" i="29"/>
  <c r="I26" i="11"/>
  <c r="B2" i="12"/>
  <c r="D49" i="19" l="1"/>
  <c r="B49" i="19"/>
  <c r="D8" i="13"/>
  <c r="D12" i="13" s="1"/>
  <c r="E8" i="13"/>
  <c r="E12" i="13" s="1"/>
  <c r="G8" i="13"/>
  <c r="G12" i="13" s="1"/>
  <c r="F8" i="13"/>
  <c r="F12" i="13" s="1"/>
  <c r="C10" i="28"/>
  <c r="D2" i="29"/>
  <c r="E2" i="29" s="1"/>
  <c r="I25" i="11"/>
  <c r="I27" i="11"/>
  <c r="B47" i="13"/>
  <c r="B13" i="28" s="1"/>
  <c r="H2" i="29"/>
  <c r="B15" i="29" s="1"/>
  <c r="H15" i="29" s="1"/>
  <c r="D6" i="29" l="1"/>
  <c r="D7" i="29"/>
  <c r="D5" i="29"/>
  <c r="D4" i="29"/>
  <c r="D3" i="29"/>
  <c r="E50" i="19"/>
  <c r="E49" i="19"/>
  <c r="G2" i="29"/>
  <c r="C19" i="13" l="1"/>
  <c r="B38" i="30"/>
  <c r="C14" i="28" l="1"/>
  <c r="D19" i="13"/>
  <c r="H28" i="29"/>
  <c r="B40" i="29" s="1"/>
  <c r="C40" i="29" s="1"/>
  <c r="E19" i="13" l="1"/>
  <c r="H29" i="29"/>
  <c r="B41" i="29" s="1"/>
  <c r="C41" i="29" s="1"/>
  <c r="D20" i="13"/>
  <c r="B35" i="11"/>
  <c r="B37" i="30" s="1"/>
  <c r="E20" i="13" l="1"/>
  <c r="F19" i="13"/>
  <c r="H30" i="29"/>
  <c r="B42" i="29" s="1"/>
  <c r="C42" i="29" s="1"/>
  <c r="C45" i="13"/>
  <c r="C35" i="11"/>
  <c r="H45" i="13" s="1"/>
  <c r="D12" i="28"/>
  <c r="D45" i="13"/>
  <c r="G19" i="13" l="1"/>
  <c r="H31" i="29"/>
  <c r="B43" i="29" s="1"/>
  <c r="C43" i="29" s="1"/>
  <c r="F20" i="13"/>
  <c r="D16" i="29"/>
  <c r="I45" i="13"/>
  <c r="D21" i="29"/>
  <c r="E45" i="13"/>
  <c r="D17" i="29"/>
  <c r="G20" i="13" l="1"/>
  <c r="H32" i="29"/>
  <c r="B44" i="29" s="1"/>
  <c r="C44" i="29" s="1"/>
  <c r="J45" i="13"/>
  <c r="D23" i="29" s="1"/>
  <c r="D22" i="29"/>
  <c r="K45" i="13"/>
  <c r="D18" i="29"/>
  <c r="F45" i="13"/>
  <c r="D24" i="29" l="1"/>
  <c r="L45" i="13"/>
  <c r="G45" i="13"/>
  <c r="D19" i="29"/>
  <c r="D20" i="29" l="1"/>
  <c r="D25" i="29"/>
  <c r="B25" i="11" l="1"/>
  <c r="S3" i="13" s="1"/>
  <c r="D3" i="13" s="1"/>
  <c r="E3" i="13" s="1"/>
  <c r="F3" i="13" s="1"/>
  <c r="G3" i="13" s="1"/>
  <c r="H3" i="13" s="1"/>
  <c r="I3" i="13" l="1"/>
  <c r="J3" i="13" s="1"/>
  <c r="K3" i="13" s="1"/>
  <c r="L3" i="13" s="1"/>
  <c r="M3" i="13" s="1"/>
  <c r="N3" i="13" s="1"/>
  <c r="O3" i="13" s="1"/>
  <c r="P3" i="13" s="1"/>
  <c r="Q3" i="13" s="1"/>
  <c r="B8" i="29"/>
  <c r="C3" i="29"/>
  <c r="B37" i="13" l="1"/>
  <c r="D43" i="28" s="1"/>
  <c r="J32" i="11"/>
  <c r="B33" i="28"/>
  <c r="J33" i="11" l="1"/>
  <c r="T12" i="13"/>
  <c r="D33" i="28"/>
  <c r="C33" i="28" s="1"/>
  <c r="B3" i="29" l="1"/>
  <c r="E3" i="29" s="1"/>
  <c r="B12" i="29"/>
  <c r="E12" i="29" s="1"/>
  <c r="C16" i="29"/>
  <c r="E16" i="29" s="1"/>
  <c r="G16" i="29" s="1"/>
  <c r="B17" i="28"/>
  <c r="B18" i="28"/>
  <c r="B22" i="30"/>
  <c r="B5" i="12" l="1"/>
  <c r="C15" i="13"/>
  <c r="B5" i="29"/>
  <c r="D15" i="13"/>
  <c r="F18" i="28" s="1"/>
  <c r="B4" i="29"/>
  <c r="B19" i="28" l="1"/>
  <c r="E15" i="13"/>
  <c r="F19" i="28" s="1"/>
  <c r="C17" i="29"/>
  <c r="E17" i="29" s="1"/>
  <c r="G17" i="29" s="1"/>
  <c r="E4" i="29"/>
  <c r="C4" i="29"/>
  <c r="D18" i="28"/>
  <c r="C18" i="28" s="1"/>
  <c r="D46" i="13"/>
  <c r="B6" i="29"/>
  <c r="C5" i="29"/>
  <c r="E5" i="29"/>
  <c r="C18" i="29"/>
  <c r="E18" i="29" s="1"/>
  <c r="C17" i="13"/>
  <c r="F3" i="29" s="1"/>
  <c r="C14" i="13"/>
  <c r="E17" i="28" s="1"/>
  <c r="D17" i="28"/>
  <c r="C17" i="28" s="1"/>
  <c r="D19" i="28"/>
  <c r="C19" i="28" s="1"/>
  <c r="D17" i="13" l="1"/>
  <c r="F4" i="29" s="1"/>
  <c r="D14" i="13"/>
  <c r="E18" i="28" s="1"/>
  <c r="G18" i="28" s="1"/>
  <c r="E14" i="13"/>
  <c r="E16" i="13" s="1"/>
  <c r="E21" i="13" s="1"/>
  <c r="D16" i="13"/>
  <c r="D21" i="13" s="1"/>
  <c r="D47" i="13"/>
  <c r="D20" i="28"/>
  <c r="B7" i="29"/>
  <c r="G17" i="28"/>
  <c r="C16" i="13"/>
  <c r="C21" i="13" s="1"/>
  <c r="C47" i="13"/>
  <c r="H3" i="29"/>
  <c r="F15" i="13"/>
  <c r="F20" i="28" s="1"/>
  <c r="B20" i="28"/>
  <c r="G18" i="29"/>
  <c r="C6" i="29"/>
  <c r="E6" i="29"/>
  <c r="C19" i="29"/>
  <c r="E19" i="29" s="1"/>
  <c r="E46" i="13"/>
  <c r="H4" i="29" l="1"/>
  <c r="B17" i="29" s="1"/>
  <c r="E19" i="28"/>
  <c r="G19" i="28" s="1"/>
  <c r="H5" i="29"/>
  <c r="B18" i="29" s="1"/>
  <c r="E17" i="13"/>
  <c r="F5" i="29" s="1"/>
  <c r="G5" i="29"/>
  <c r="G19" i="29"/>
  <c r="F46" i="13"/>
  <c r="G4" i="29"/>
  <c r="D10" i="28"/>
  <c r="B36" i="30"/>
  <c r="D21" i="28"/>
  <c r="F17" i="29"/>
  <c r="D41" i="29" s="1"/>
  <c r="F41" i="29" s="1"/>
  <c r="H17" i="29"/>
  <c r="G15" i="13"/>
  <c r="B35" i="30"/>
  <c r="B21" i="28"/>
  <c r="B16" i="29"/>
  <c r="G3" i="29"/>
  <c r="C20" i="29"/>
  <c r="E20" i="29" s="1"/>
  <c r="C7" i="29"/>
  <c r="E7" i="29"/>
  <c r="E47" i="13"/>
  <c r="F18" i="29"/>
  <c r="D42" i="29" s="1"/>
  <c r="F42" i="29" s="1"/>
  <c r="H18" i="29"/>
  <c r="C20" i="28"/>
  <c r="F17" i="13" l="1"/>
  <c r="F6" i="29" s="1"/>
  <c r="F14" i="13"/>
  <c r="G20" i="29"/>
  <c r="G46" i="13"/>
  <c r="G17" i="13"/>
  <c r="F7" i="29" s="1"/>
  <c r="G14" i="13"/>
  <c r="H7" i="29" s="1"/>
  <c r="F47" i="13"/>
  <c r="B9" i="29"/>
  <c r="C21" i="28"/>
  <c r="F21" i="28"/>
  <c r="H15" i="13"/>
  <c r="F22" i="28" s="1"/>
  <c r="B22" i="28"/>
  <c r="D22" i="28"/>
  <c r="H16" i="29"/>
  <c r="F16" i="29"/>
  <c r="D40" i="29" s="1"/>
  <c r="F40" i="29" s="1"/>
  <c r="C21" i="29"/>
  <c r="E21" i="29" s="1"/>
  <c r="G21" i="29" s="1"/>
  <c r="E8" i="29"/>
  <c r="C8" i="29"/>
  <c r="H6" i="29" l="1"/>
  <c r="E20" i="28"/>
  <c r="G20" i="28" s="1"/>
  <c r="F16" i="13"/>
  <c r="F21" i="13" s="1"/>
  <c r="H17" i="13"/>
  <c r="F8" i="29" s="1"/>
  <c r="G16" i="13"/>
  <c r="G21" i="13" s="1"/>
  <c r="G47" i="13"/>
  <c r="B20" i="29"/>
  <c r="F20" i="29" s="1"/>
  <c r="D44" i="29" s="1"/>
  <c r="F44" i="29" s="1"/>
  <c r="G7" i="29"/>
  <c r="E21" i="28"/>
  <c r="G21" i="28" s="1"/>
  <c r="C22" i="28"/>
  <c r="H46" i="13"/>
  <c r="B23" i="28"/>
  <c r="I15" i="13"/>
  <c r="F23" i="28" s="1"/>
  <c r="B10" i="29"/>
  <c r="C9" i="29"/>
  <c r="E9" i="29"/>
  <c r="C22" i="29"/>
  <c r="E22" i="29" s="1"/>
  <c r="G22" i="29" s="1"/>
  <c r="D23" i="28"/>
  <c r="I17" i="13" l="1"/>
  <c r="F9" i="29" s="1"/>
  <c r="B19" i="29"/>
  <c r="G6" i="29"/>
  <c r="H20" i="29"/>
  <c r="I46" i="13"/>
  <c r="C10" i="29"/>
  <c r="E10" i="29"/>
  <c r="C23" i="29"/>
  <c r="E23" i="29" s="1"/>
  <c r="G23" i="29" s="1"/>
  <c r="B11" i="29"/>
  <c r="D24" i="28"/>
  <c r="J17" i="13"/>
  <c r="F10" i="29" s="1"/>
  <c r="C23" i="28"/>
  <c r="B24" i="28"/>
  <c r="J15" i="13"/>
  <c r="H19" i="29" l="1"/>
  <c r="F19" i="29"/>
  <c r="D43" i="29" s="1"/>
  <c r="F43" i="29" s="1"/>
  <c r="K15" i="13"/>
  <c r="C24" i="28"/>
  <c r="J46" i="13"/>
  <c r="K17" i="13"/>
  <c r="C24" i="29"/>
  <c r="E24" i="29" s="1"/>
  <c r="G24" i="29" s="1"/>
  <c r="C12" i="29"/>
  <c r="C11" i="29"/>
  <c r="E11" i="29"/>
  <c r="C25" i="29"/>
  <c r="E25" i="29" s="1"/>
  <c r="G25" i="29" l="1"/>
  <c r="K46" i="13"/>
  <c r="L46" i="13" s="1"/>
  <c r="M46" i="13" s="1"/>
  <c r="N46" i="13" s="1"/>
  <c r="L15" i="13"/>
  <c r="F10" i="28"/>
  <c r="F11" i="29"/>
  <c r="L17" i="13"/>
  <c r="M14" i="13" s="1"/>
  <c r="M47" i="13" l="1"/>
  <c r="M16" i="13"/>
  <c r="M21" i="13" s="1"/>
  <c r="E27" i="28"/>
  <c r="G27" i="28" s="1"/>
  <c r="O46" i="13"/>
  <c r="N47" i="13"/>
  <c r="F12" i="29"/>
  <c r="S17" i="13"/>
  <c r="B3" i="12"/>
  <c r="B4" i="12" s="1"/>
  <c r="B6" i="12" s="1"/>
  <c r="D13" i="28" s="1"/>
  <c r="F11" i="28"/>
  <c r="D11" i="28" s="1"/>
  <c r="I13" i="13"/>
  <c r="H14" i="13"/>
  <c r="E22" i="28" s="1"/>
  <c r="G22" i="28" s="1"/>
  <c r="P46" i="13" l="1"/>
  <c r="O47" i="13"/>
  <c r="J13" i="13"/>
  <c r="I14" i="13"/>
  <c r="T15" i="13"/>
  <c r="H8" i="29"/>
  <c r="H16" i="13"/>
  <c r="H47" i="13"/>
  <c r="Q46" i="13" l="1"/>
  <c r="P47" i="13"/>
  <c r="G8" i="29"/>
  <c r="B21" i="29"/>
  <c r="E23" i="28"/>
  <c r="G23" i="28" s="1"/>
  <c r="I16" i="13"/>
  <c r="I47" i="13"/>
  <c r="H9" i="29"/>
  <c r="J14" i="13"/>
  <c r="K13" i="13"/>
  <c r="R46" i="13" l="1"/>
  <c r="Q47" i="13"/>
  <c r="H21" i="29"/>
  <c r="F21" i="29"/>
  <c r="D45" i="29" s="1"/>
  <c r="J16" i="13"/>
  <c r="H10" i="29"/>
  <c r="E24" i="28"/>
  <c r="G24" i="28" s="1"/>
  <c r="J47" i="13"/>
  <c r="K14" i="13"/>
  <c r="E25" i="28" s="1"/>
  <c r="G25" i="28" s="1"/>
  <c r="L14" i="13"/>
  <c r="E26" i="28" s="1"/>
  <c r="G26" i="28" s="1"/>
  <c r="B22" i="29"/>
  <c r="G9" i="29"/>
  <c r="S46" i="13" l="1"/>
  <c r="R47" i="13"/>
  <c r="H11" i="29"/>
  <c r="K16" i="13"/>
  <c r="K47" i="13"/>
  <c r="G10" i="29"/>
  <c r="B23" i="29"/>
  <c r="H22" i="29"/>
  <c r="F22" i="29"/>
  <c r="D46" i="29" s="1"/>
  <c r="L47" i="13"/>
  <c r="L16" i="13"/>
  <c r="H12" i="29"/>
  <c r="B25" i="29" l="1"/>
  <c r="G12" i="29"/>
  <c r="B27" i="30"/>
  <c r="B7" i="12"/>
  <c r="J34" i="11"/>
  <c r="G11" i="29"/>
  <c r="B24" i="29"/>
  <c r="F23" i="29"/>
  <c r="D47" i="29" s="1"/>
  <c r="H23" i="29"/>
  <c r="F25" i="29" l="1"/>
  <c r="D49" i="29" s="1"/>
  <c r="H25" i="29"/>
  <c r="F24" i="29"/>
  <c r="D48" i="29" s="1"/>
  <c r="H24" i="29"/>
  <c r="F14" i="28"/>
  <c r="D14" i="28" s="1"/>
  <c r="H33" i="29"/>
  <c r="B45" i="29" s="1"/>
  <c r="C45" i="29" s="1"/>
  <c r="H34" i="29"/>
  <c r="B46" i="29" s="1"/>
  <c r="H20" i="13"/>
  <c r="I20" i="13" s="1"/>
  <c r="B24" i="13"/>
  <c r="H21" i="13" l="1"/>
  <c r="J20" i="13"/>
  <c r="I21" i="13"/>
  <c r="C46" i="29"/>
  <c r="F45" i="29"/>
  <c r="D35" i="28"/>
  <c r="E49" i="29"/>
  <c r="H36" i="29"/>
  <c r="B48" i="29" s="1"/>
  <c r="H35" i="29"/>
  <c r="B47" i="29" s="1"/>
  <c r="K20" i="13" l="1"/>
  <c r="J21" i="13"/>
  <c r="F46" i="29"/>
  <c r="C47" i="29"/>
  <c r="S47" i="13"/>
  <c r="H37" i="29"/>
  <c r="B49" i="29" s="1"/>
  <c r="F47" i="29" l="1"/>
  <c r="C48" i="29"/>
  <c r="K21" i="13"/>
  <c r="F12" i="28"/>
  <c r="F13" i="28"/>
  <c r="C49" i="29" l="1"/>
  <c r="F49" i="29" s="1"/>
  <c r="F48" i="29"/>
  <c r="L21" i="13"/>
  <c r="B27" i="13" s="1"/>
  <c r="D37" i="28" s="1"/>
  <c r="B8" i="12"/>
  <c r="B26" i="13"/>
  <c r="F50" i="29" l="1"/>
  <c r="D36" i="28"/>
  <c r="B28" i="13"/>
  <c r="D38" i="28" l="1"/>
  <c r="B30" i="13"/>
  <c r="B31" i="13" s="1"/>
  <c r="B36" i="13" l="1"/>
  <c r="B38" i="13" s="1"/>
  <c r="H37" i="11"/>
  <c r="D39" i="28"/>
  <c r="D42" i="28" s="1"/>
  <c r="D45" i="28" s="1"/>
  <c r="B41" i="30" l="1"/>
  <c r="B40" i="13" l="1"/>
  <c r="H38" i="11"/>
  <c r="H39" i="11" l="1"/>
  <c r="B42" i="13"/>
  <c r="B42" i="30"/>
  <c r="D2" i="14"/>
  <c r="C13" i="14" s="1"/>
  <c r="B9" i="12"/>
  <c r="B10" i="12" s="1"/>
  <c r="C15" i="14"/>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Kanchan Sharma</author>
  </authors>
  <commentList>
    <comment ref="E1" authorId="0" shapeId="0" xr:uid="{6400EEF5-E5F0-D74B-821F-033C1CA5E56F}">
      <text>
        <r>
          <rPr>
            <b/>
            <sz val="10"/>
            <color rgb="FF000000"/>
            <rFont val="Tahoma"/>
            <family val="2"/>
          </rPr>
          <t>Kanchan Sharma:</t>
        </r>
        <r>
          <rPr>
            <sz val="10"/>
            <color rgb="FF000000"/>
            <rFont val="Tahoma"/>
            <family val="2"/>
          </rPr>
          <t xml:space="preserve">
</t>
        </r>
        <r>
          <rPr>
            <sz val="10"/>
            <color rgb="FF000000"/>
            <rFont val="Tahoma"/>
            <family val="2"/>
          </rPr>
          <t xml:space="preserve">Revenues are based on estimates of IEA on the level of rare-earth demand in 2040
</t>
        </r>
      </text>
    </comment>
    <comment ref="F1" authorId="0" shapeId="0" xr:uid="{EA42EA27-B32E-BD4C-921F-2B368C07B9BA}">
      <text>
        <r>
          <rPr>
            <b/>
            <sz val="10"/>
            <color rgb="FF000000"/>
            <rFont val="Tahoma"/>
            <family val="2"/>
          </rPr>
          <t>Kanchan Sharma:</t>
        </r>
        <r>
          <rPr>
            <sz val="10"/>
            <color rgb="FF000000"/>
            <rFont val="Tahoma"/>
            <family val="2"/>
          </rPr>
          <t xml:space="preserve">
</t>
        </r>
        <r>
          <rPr>
            <sz val="10"/>
            <color rgb="FF000000"/>
            <rFont val="Tahoma"/>
            <family val="2"/>
          </rPr>
          <t xml:space="preserve">Factor Size stated scenarios are from the the IEA's. Link: https://www.iea.org/reports/the-role-of-critical-minerals-in-clean-energy-transitions/executive-summary
</t>
        </r>
      </text>
    </comment>
    <comment ref="G1" authorId="0" shapeId="0" xr:uid="{0585DAFB-89BD-F04B-A165-AAD9196F3340}">
      <text>
        <r>
          <rPr>
            <b/>
            <sz val="10"/>
            <color rgb="FF000000"/>
            <rFont val="Tahoma"/>
            <family val="2"/>
          </rPr>
          <t>Kanchan Sharma:</t>
        </r>
        <r>
          <rPr>
            <sz val="10"/>
            <color rgb="FF000000"/>
            <rFont val="Tahoma"/>
            <family val="2"/>
          </rPr>
          <t xml:space="preserve">
</t>
        </r>
        <r>
          <rPr>
            <sz val="10"/>
            <color rgb="FF000000"/>
            <rFont val="Tahoma"/>
            <family val="2"/>
          </rPr>
          <t xml:space="preserve">Under assumptions there's highest probability of achieving Sustainable Development Scenario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26607F5D-020D-6340-AB1D-E0AE2A3513C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AF04F2D0-B052-9F4B-8F62-E422ACD6C65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11" authorId="0" shapeId="0" xr:uid="{3124731F-0179-F242-B916-9DC24BD75F0B}">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11" authorId="0" shapeId="0" xr:uid="{1C70A603-0838-5944-8149-F9A4E92DE99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B13" authorId="0" shapeId="0" xr:uid="{C36A5A6E-3A8B-174E-8D31-61E25498C45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3" authorId="0" shapeId="0" xr:uid="{59205439-221A-3746-8CCE-C4C6A11C518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4" authorId="0" shapeId="0" xr:uid="{EAC947FC-8EEA-BA43-AE6E-FEA319C78E3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4" authorId="0" shapeId="0" xr:uid="{2670DA9D-7469-854C-A012-4097398AED7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7"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7" authorId="0" shapeId="0" xr:uid="{31C4214A-D7F5-2142-9BE6-159F92DD66B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8"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9"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0" authorId="0" shapeId="0" xr:uid="{03C189C6-B0F2-9C4C-862C-D018FF93609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21" authorId="0" shapeId="0" xr:uid="{36C8FE7A-5271-DE44-B3EE-B230CD68B56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2" authorId="0" shapeId="0" xr:uid="{C1FE7319-827E-1744-88C7-DAC43F6A133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3" authorId="0" shapeId="0" xr:uid="{D45CE851-CC84-2943-BD8B-A6D12D7C878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9"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J32"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3"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J33"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4" authorId="0" shapeId="0" xr:uid="{00000000-0006-0000-0000-00001D00000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5"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C35" authorId="0" shapeId="0" xr:uid="{ED7A949F-1950-7044-92D8-81068D92D70E}">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7"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B38"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B41" authorId="0" shapeId="0" xr:uid="{B02A6A2A-35B3-2948-937C-177247A49F2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42" authorId="0" shapeId="0" xr:uid="{CFD3F3B7-AD96-F64B-8BF9-9F847395F6C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43" authorId="0" shapeId="0" xr:uid="{626B4DD6-F91A-AF4D-B9C3-E1C8F16F052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4" authorId="0" shapeId="0" xr:uid="{2E3646DF-8C18-7748-8D5A-FAD4170A346F}">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48"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51"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52"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54"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5"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56"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7" authorId="0" shapeId="0" xr:uid="{00000000-0006-0000-00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9"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61"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62"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5"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8"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9" authorId="0" shapeId="0" xr:uid="{00000000-0006-0000-0000-00002D000000}">
      <text>
        <r>
          <rPr>
            <b/>
            <sz val="10"/>
            <color indexed="81"/>
            <rFont val="Calibri"/>
            <family val="2"/>
          </rPr>
          <t>Aswath Damodaran:</t>
        </r>
        <r>
          <rPr>
            <sz val="10"/>
            <color indexed="81"/>
            <rFont val="Calibri"/>
            <family val="2"/>
          </rPr>
          <t xml:space="preserve">
This is the additional tax due, if the cash is trapped cash. If your concern is that all cash is being discounted by the market because of management mistrust, enter the percentage discount to apply to cash.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Kanchan Sharma</author>
  </authors>
  <commentList>
    <comment ref="A2" authorId="0" shapeId="0" xr:uid="{E933824F-9E1D-C84E-9870-89A9D6BC6A83}">
      <text>
        <r>
          <rPr>
            <b/>
            <sz val="10"/>
            <color rgb="FF000000"/>
            <rFont val="Tahoma"/>
            <family val="2"/>
          </rPr>
          <t>Kanchan Sharma:</t>
        </r>
        <r>
          <rPr>
            <sz val="10"/>
            <color rgb="FF000000"/>
            <rFont val="Tahoma"/>
            <family val="2"/>
          </rPr>
          <t xml:space="preserve">
</t>
        </r>
        <r>
          <rPr>
            <sz val="10"/>
            <color rgb="FF000000"/>
            <rFont val="Tahoma"/>
            <family val="2"/>
          </rPr>
          <t xml:space="preserve">Revenue Growth Rate is assumptions based on final demand in 2040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indexed="81"/>
            <rFont val="Geneva"/>
            <family val="2"/>
          </rPr>
          <t>Aswath Damodaran:</t>
        </r>
        <r>
          <rPr>
            <sz val="9"/>
            <color indexed="81"/>
            <rFont val="Geneva"/>
            <family val="2"/>
          </rPr>
          <t xml:space="preserve">
Generally found in footnotes to financial statements.</t>
        </r>
      </text>
    </comment>
    <comment ref="B24"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8B3F9546-ACC7-1E41-9992-5371976C88E9}">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indexed="81"/>
            <rFont val="Geneva"/>
            <family val="2"/>
          </rPr>
          <t>Aswath Damodaran:</t>
        </r>
        <r>
          <rPr>
            <sz val="9"/>
            <color indexed="81"/>
            <rFont val="Geneva"/>
            <family val="2"/>
          </rPr>
          <t xml:space="preserve">
If your most recent year's operating income is unusually low or high, you can use the average operating income from the last few years. </t>
        </r>
      </text>
    </comment>
    <comment ref="F6" authorId="0" shapeId="0" xr:uid="{00000000-0006-0000-0B00-000002000000}">
      <text>
        <r>
          <rPr>
            <b/>
            <sz val="9"/>
            <color indexed="81"/>
            <rFont val="Geneva"/>
            <family val="2"/>
          </rPr>
          <t>Aswath Damodaran:</t>
        </r>
        <r>
          <rPr>
            <sz val="9"/>
            <color indexed="81"/>
            <rFont val="Geneva"/>
            <family val="2"/>
          </rPr>
          <t xml:space="preserve">
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<sst xmlns="http://schemas.openxmlformats.org/spreadsheetml/2006/main" count="1305" uniqueCount="830">
  <si>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</si>
  <si>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</si>
  <si>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</si>
  <si>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</si>
  <si>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Marginal ROIC over 10 years</t>
    <phoneticPr fontId="6" type="noConversion"/>
  </si>
  <si>
    <t>ROIC at end of valuation</t>
    <phoneticPr fontId="6" type="noConversion"/>
  </si>
  <si>
    <t>Inputs</t>
  </si>
  <si>
    <t>Invested capital at start of valuation</t>
    <phoneticPr fontId="6" type="noConversion"/>
  </si>
  <si>
    <t>Invested capital at end of valuation</t>
    <phoneticPr fontId="6" type="noConversion"/>
  </si>
  <si>
    <t>Change in invested capital over 10 years</t>
    <phoneticPr fontId="6" type="noConversion"/>
  </si>
  <si>
    <t>Change in EBIT*(1–t) (after-tax operating income) over 10 years</t>
    <phoneticPr fontId="6" type="noConversion"/>
  </si>
  <si>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</si>
  <si>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</si>
  <si>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</si>
  <si>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</si>
  <si>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</si>
  <si>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</si>
  <si>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</si>
  <si>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</si>
  <si>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</si>
  <si>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</si>
  <si>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</si>
  <si>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</si>
  <si>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</si>
  <si>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</si>
  <si>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</si>
  <si>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</si>
  <si>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</si>
  <si>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</si>
  <si>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</si>
  <si>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</si>
  <si>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</si>
  <si>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</si>
  <si>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</si>
  <si>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</si>
  <si>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</si>
  <si>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</si>
  <si>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</si>
  <si>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</si>
  <si>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</si>
  <si>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</si>
  <si>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</si>
  <si>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</si>
  <si>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</si>
  <si>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</si>
  <si>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</si>
  <si>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</si>
  <si>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</si>
  <si>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</si>
  <si>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</si>
  <si>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</si>
  <si>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</si>
  <si>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</si>
  <si>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</si>
  <si>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</si>
  <si>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</si>
  <si>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</si>
  <si>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</si>
  <si>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</si>
  <si>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</si>
  <si>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</si>
  <si>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</si>
  <si>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</si>
  <si>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</si>
  <si>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</si>
  <si>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</si>
  <si>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</si>
  <si>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</si>
  <si>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</si>
  <si>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</si>
  <si>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</si>
  <si>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</si>
  <si>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</si>
  <si>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</si>
  <si>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</si>
  <si>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</si>
  <si>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</si>
  <si>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</si>
  <si>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</si>
  <si>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</si>
  <si>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</si>
  <si>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</si>
  <si>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</si>
  <si>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</si>
  <si>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</si>
  <si>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</si>
  <si>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</si>
  <si>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</si>
  <si>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</si>
  <si>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</si>
  <si>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</si>
  <si>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</si>
  <si>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</si>
  <si>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</si>
  <si>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</si>
  <si>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</si>
  <si>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</si>
  <si>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</si>
  <si>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</si>
  <si>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</si>
  <si>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</si>
  <si>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</si>
  <si>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</si>
  <si>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</si>
  <si>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</si>
  <si>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</si>
  <si>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</si>
  <si>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</si>
  <si>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</si>
  <si>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</si>
  <si>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</si>
  <si>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</si>
  <si>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</si>
  <si>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</si>
  <si>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</si>
  <si>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</si>
  <si>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</si>
  <si>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</si>
  <si>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</si>
  <si>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</si>
  <si>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</si>
  <si>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</si>
  <si>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</si>
  <si>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</si>
  <si>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</si>
  <si>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</si>
  <si>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</si>
  <si>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</si>
  <si>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</si>
  <si>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</si>
  <si>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</si>
  <si>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</si>
  <si>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</si>
  <si>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</si>
  <si>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</si>
  <si>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</si>
  <si>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</si>
  <si>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</si>
  <si>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</si>
  <si>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</si>
  <si>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</si>
  <si>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Though some sectors, even in stable growth, may have higher risk.</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</si>
  <si>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</si>
  <si>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</si>
  <si>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</si>
  <si>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</si>
  <si>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</si>
  <si>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</si>
  <si>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</si>
  <si>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</si>
  <si>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</si>
  <si>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</si>
  <si>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</si>
  <si>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</si>
  <si>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</si>
  <si>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</si>
  <si>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</si>
  <si>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</si>
  <si>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</si>
  <si>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</si>
  <si>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</si>
  <si>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</si>
  <si>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</si>
  <si>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</si>
  <si>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</si>
  <si>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</si>
  <si>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</si>
  <si>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</si>
  <si>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</si>
  <si>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</si>
  <si>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</si>
  <si>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</si>
  <si>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</si>
  <si>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</si>
  <si>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</si>
  <si>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</si>
  <si>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</si>
  <si>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</si>
  <si>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</si>
  <si>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</si>
  <si>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</si>
  <si>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</si>
  <si>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</si>
  <si>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</si>
  <si>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</si>
  <si>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</si>
  <si>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</si>
  <si>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</si>
  <si>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</si>
  <si>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</si>
  <si>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</si>
  <si>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</si>
  <si>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</si>
  <si>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</si>
  <si>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</si>
  <si>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</si>
  <si>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</si>
  <si>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</si>
  <si>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</si>
  <si>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</si>
  <si>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</si>
  <si>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</si>
  <si>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</si>
  <si>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</si>
  <si>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</si>
  <si>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</si>
  <si>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</si>
  <si>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</si>
  <si>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</si>
  <si>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</si>
  <si>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</si>
  <si>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</si>
  <si>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</si>
  <si>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</si>
  <si>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</si>
  <si>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</si>
  <si>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</si>
  <si>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</si>
  <si>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</si>
  <si>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</si>
  <si>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</si>
  <si>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</si>
  <si>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</si>
  <si>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</si>
  <si>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</si>
  <si>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</si>
  <si>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</si>
  <si>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</si>
  <si>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</si>
  <si>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</si>
  <si>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</si>
  <si>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</si>
  <si>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</si>
  <si>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</si>
  <si>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</si>
  <si>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</si>
  <si>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</si>
  <si>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</si>
  <si>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</si>
  <si>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</si>
  <si>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</si>
  <si>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</si>
  <si>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</si>
  <si>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</si>
  <si>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</si>
  <si>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</si>
  <si>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</si>
  <si>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</si>
  <si>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</si>
  <si>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</si>
  <si>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</si>
  <si>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</si>
  <si>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</si>
  <si>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</si>
  <si>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</si>
  <si>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</si>
  <si>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</si>
  <si>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</si>
  <si>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</si>
  <si>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</si>
  <si>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</si>
  <si>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</si>
  <si>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</si>
  <si>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</si>
  <si>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</si>
  <si>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</si>
  <si>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</si>
  <si>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</si>
  <si>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</si>
  <si>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</si>
  <si>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</si>
  <si>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</si>
  <si>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</si>
  <si>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</si>
  <si>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</si>
  <si>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</si>
  <si>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</si>
  <si>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</si>
  <si>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</si>
  <si>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</si>
  <si>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</si>
  <si>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</si>
  <si>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</si>
  <si>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</si>
  <si>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</si>
  <si>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</si>
  <si>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</si>
  <si>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</si>
  <si>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</si>
  <si>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</si>
  <si>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</si>
  <si>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</si>
  <si>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</si>
  <si>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</si>
  <si>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</si>
  <si>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</si>
  <si>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</si>
  <si>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</si>
  <si>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</si>
  <si>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</si>
  <si>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</si>
  <si>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</si>
  <si>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</si>
  <si>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</si>
  <si>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</si>
  <si>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</si>
  <si>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</si>
  <si>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</si>
  <si>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</si>
  <si>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</si>
  <si>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</si>
  <si>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</si>
  <si>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</si>
  <si>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</si>
  <si>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</si>
  <si>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</si>
  <si>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</si>
  <si>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</si>
  <si>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</si>
  <si>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</si>
  <si>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</si>
  <si>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</si>
  <si>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</si>
  <si>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</si>
  <si>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</si>
  <si>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</si>
  <si>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</si>
  <si>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</si>
  <si>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</si>
  <si>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</si>
  <si>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</si>
  <si>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</si>
  <si>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</si>
  <si>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</si>
  <si>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</si>
  <si>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</si>
  <si>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</si>
  <si>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</si>
  <si>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</si>
  <si>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</si>
  <si>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</si>
  <si>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</si>
  <si>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</si>
  <si>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</si>
  <si>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</si>
  <si>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</si>
  <si>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</si>
  <si>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</si>
  <si>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</si>
  <si>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</si>
  <si>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</si>
  <si>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</si>
  <si>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</si>
  <si>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</si>
  <si>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</si>
  <si>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</si>
  <si>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</si>
  <si>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</si>
  <si>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</si>
  <si>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</si>
  <si>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</si>
  <si>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</si>
  <si>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</si>
  <si>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</si>
  <si>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</si>
  <si>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</si>
  <si>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</si>
  <si>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</si>
  <si>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</si>
  <si>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</si>
  <si>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</si>
  <si>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</si>
  <si>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</si>
  <si>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</si>
  <si>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</si>
  <si>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</si>
  <si>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</si>
  <si>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</si>
  <si>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</si>
  <si>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</si>
  <si>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</si>
  <si>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</si>
  <si>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</si>
  <si>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</si>
  <si>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</si>
  <si>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</si>
  <si>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</si>
  <si>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</si>
  <si>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</si>
  <si>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</si>
  <si>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</si>
  <si>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</si>
  <si>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</si>
  <si>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</si>
  <si>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</si>
  <si>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</si>
  <si>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</si>
  <si>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</si>
  <si>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</si>
  <si>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</si>
  <si>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</si>
  <si>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</si>
  <si>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</si>
  <si>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</si>
  <si>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</si>
  <si>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</si>
  <si>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</si>
  <si>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</si>
  <si>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</si>
  <si>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</si>
  <si>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</si>
  <si>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</si>
  <si>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</si>
  <si>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</si>
  <si>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</si>
  <si>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</si>
  <si>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</si>
  <si>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</si>
  <si>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</si>
  <si>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</si>
  <si>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</si>
  <si>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</si>
  <si>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</si>
  <si>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</si>
  <si>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</si>
  <si>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</si>
  <si>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</si>
  <si>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</si>
  <si>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</si>
  <si>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</si>
  <si>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</si>
  <si>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</si>
  <si>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</si>
  <si>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</si>
  <si>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</si>
  <si>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</si>
  <si>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</si>
  <si>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</si>
  <si>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</si>
  <si>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</si>
  <si>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</si>
  <si>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</si>
  <si>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</si>
  <si>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</si>
  <si>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</si>
  <si>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</si>
  <si>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</si>
  <si>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</si>
  <si>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</si>
  <si>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</si>
  <si>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</si>
  <si>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</si>
  <si>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</si>
  <si>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</si>
  <si>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</si>
  <si>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</si>
  <si>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</si>
  <si>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</si>
  <si>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</si>
  <si>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</si>
  <si>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</si>
  <si>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</si>
  <si>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</si>
  <si>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</si>
  <si>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</si>
  <si>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</si>
  <si>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</si>
  <si>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</si>
  <si>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</si>
  <si>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</si>
  <si>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</si>
  <si>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</si>
  <si>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</si>
  <si>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</si>
  <si>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</si>
  <si>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</si>
  <si>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</si>
  <si>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</si>
  <si>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</si>
  <si>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</si>
  <si>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</si>
  <si>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</si>
  <si>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</si>
  <si>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</si>
  <si>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</si>
  <si>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</si>
  <si>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</si>
  <si>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</si>
  <si>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</si>
  <si>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</si>
  <si>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</si>
  <si>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</si>
  <si>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</si>
  <si>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</si>
  <si>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</si>
  <si>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</si>
  <si>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</si>
  <si>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</si>
  <si>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</si>
  <si>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</si>
  <si>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</si>
  <si>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</si>
  <si>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</si>
  <si>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</si>
  <si>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</si>
  <si>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</si>
  <si>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Auto &amp; Truck</t>
  </si>
  <si>
    <t>Green &amp; Renewable Energy</t>
  </si>
  <si>
    <t>Operating Countries ERP calculator</t>
  </si>
  <si>
    <t>Cash and Marketable Securities</t>
  </si>
  <si>
    <t>Cross holdings and other non-operating assets</t>
  </si>
  <si>
    <t>Profitability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</si>
  <si>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</si>
  <si>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</si>
  <si>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</si>
  <si>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</si>
  <si>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</si>
  <si>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</si>
  <si>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</si>
  <si>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</si>
  <si>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</si>
  <si>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</si>
  <si>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</si>
  <si>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</si>
  <si>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</si>
  <si>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</si>
  <si>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</si>
  <si>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</si>
  <si>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</si>
  <si>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</si>
  <si>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</si>
  <si>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</si>
  <si>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</si>
  <si>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</si>
  <si>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</si>
  <si>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</si>
  <si>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</si>
  <si>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</si>
  <si>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</si>
  <si>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</si>
  <si>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</si>
  <si>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</si>
  <si>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</si>
  <si>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</si>
  <si>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</si>
  <si>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</si>
  <si>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</si>
  <si>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Sales to capital ratio =</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</si>
  <si>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</si>
  <si>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</si>
  <si>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</si>
  <si>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</si>
  <si>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</si>
  <si>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</si>
  <si>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</si>
  <si>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</si>
  <si>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</si>
  <si>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</si>
  <si>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RIR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</si>
  <si>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</si>
  <si>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</si>
  <si>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</si>
  <si>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</si>
  <si>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</si>
  <si>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</si>
  <si>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</si>
  <si>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</si>
  <si>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</si>
  <si>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</si>
  <si>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</si>
  <si>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</si>
  <si>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</si>
  <si>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</si>
  <si>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</si>
  <si>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</si>
  <si>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</si>
  <si>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</si>
  <si>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</si>
  <si>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</si>
  <si>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</si>
  <si>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</si>
  <si>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</si>
  <si>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</si>
  <si>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</si>
  <si>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</si>
  <si>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</si>
  <si>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</si>
  <si>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</si>
  <si>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</si>
  <si>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</si>
  <si>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</si>
  <si>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</si>
  <si>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</si>
  <si>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</si>
  <si>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</si>
  <si>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</si>
  <si>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</si>
  <si>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</si>
  <si>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</si>
  <si>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</si>
  <si>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</si>
  <si>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</si>
  <si>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</si>
  <si>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</si>
  <si>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</si>
  <si>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</si>
  <si>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</si>
  <si>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</si>
  <si>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</si>
  <si>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</si>
  <si>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</si>
  <si>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</si>
  <si>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</si>
  <si>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</si>
  <si>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</si>
  <si>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</si>
  <si>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</si>
  <si>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</si>
  <si>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</si>
  <si>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</si>
  <si>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</si>
  <si>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</si>
  <si>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</si>
  <si>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</si>
  <si>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</si>
  <si>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</si>
  <si>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</si>
  <si>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</si>
  <si>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</si>
  <si>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</si>
  <si>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</si>
  <si>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</si>
  <si>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</si>
  <si>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</si>
  <si>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</si>
  <si>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</si>
  <si>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</si>
  <si>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</si>
  <si>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</si>
  <si>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Rest of the World</t>
  </si>
  <si>
    <t>G&amp;A</t>
  </si>
  <si>
    <t>Marketing Costs</t>
  </si>
  <si>
    <t>Content Costs</t>
  </si>
  <si>
    <t>Content Costs (Cash Flows)</t>
  </si>
  <si>
    <t>Laos</t>
  </si>
  <si>
    <t>Pre-tax Operating Margin (Lease &amp; R&amp;D adjusted)</t>
  </si>
  <si>
    <t>R&amp;D</t>
  </si>
  <si>
    <t>Investment Efficiency</t>
  </si>
  <si>
    <t>Global tax rate</t>
  </si>
  <si>
    <t>Capacity build up allows for less reinvestment in the near years.</t>
  </si>
  <si>
    <t>Moves to median company cost of capital</t>
  </si>
  <si>
    <t>Sales to Invested Capital</t>
  </si>
  <si>
    <t>Sales to Capital (1st 5 years)</t>
  </si>
  <si>
    <t>Target Operating Margin</t>
  </si>
  <si>
    <t>Initial cost of capital</t>
  </si>
  <si>
    <t>B7: Direct Input</t>
  </si>
  <si>
    <t>C7: Direct Input</t>
  </si>
  <si>
    <t>D6: Direct Input</t>
  </si>
  <si>
    <t>Your inputs</t>
  </si>
  <si>
    <t>Investment Efficiency Lever</t>
  </si>
  <si>
    <t>Risk Levers</t>
  </si>
  <si>
    <t>If direct input, enter the cost of capital</t>
  </si>
  <si>
    <t>What is the probability of failure</t>
  </si>
  <si>
    <t>Probability of failure</t>
  </si>
  <si>
    <t>Failure Likelihood</t>
  </si>
  <si>
    <t>E1: No chance</t>
  </si>
  <si>
    <t>E2: 10% (Marginal profitability, High Debt)</t>
  </si>
  <si>
    <t>E3: 20% (Money loser, High Debt)</t>
  </si>
  <si>
    <t>E4: 50% (Low Growth, Money loser, High Debt)</t>
  </si>
  <si>
    <t>Your key inputs wrere</t>
  </si>
  <si>
    <t>Expected Revenue Growth rate for next 5 years =</t>
  </si>
  <si>
    <t>Cost of capital to start =</t>
  </si>
  <si>
    <t>Sales to Invested Capital for first 5 years =</t>
  </si>
  <si>
    <t>And with these inptus, your value is</t>
  </si>
  <si>
    <t>THE YELLOW CELLS ARE YOUR ONLY REQUIRED INPUTS. ALL THE OTHER NUMBERS WILL BE CALCULATED.</t>
  </si>
  <si>
    <t>Sales to Invested Capital used in valuation</t>
  </si>
  <si>
    <t xml:space="preserve"> - Debt &amp; Minority Interests</t>
  </si>
  <si>
    <t>Value of equity =</t>
  </si>
  <si>
    <t>Updated January 1, 2023</t>
  </si>
  <si>
    <t>Changing this number will update all your country equity risk premiums.</t>
  </si>
  <si>
    <t>NR</t>
  </si>
  <si>
    <t>Ca</t>
  </si>
  <si>
    <t>Côte d'Ivoire</t>
  </si>
  <si>
    <t>Curacao</t>
  </si>
  <si>
    <t>Caa3</t>
  </si>
  <si>
    <t>Guernsey (States of)</t>
  </si>
  <si>
    <t>Jersey (States of)</t>
  </si>
  <si>
    <t>Korea</t>
  </si>
  <si>
    <t>Maldives</t>
  </si>
  <si>
    <t>Uzbekistan</t>
  </si>
  <si>
    <t>Yemen, Republic</t>
  </si>
  <si>
    <t>Weighted Average: ERP</t>
  </si>
  <si>
    <t>Weighted Average: Default Spreads</t>
  </si>
  <si>
    <t>Tax Rate</t>
  </si>
  <si>
    <t>Weighted Average: CRP</t>
  </si>
  <si>
    <t>Aerospace/Defense</t>
  </si>
  <si>
    <t>Air Transport</t>
  </si>
  <si>
    <t>Apparel</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</si>
  <si>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</si>
  <si>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</si>
  <si>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</si>
  <si>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</si>
  <si>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</si>
  <si>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</si>
  <si>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</si>
  <si>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</si>
  <si>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</si>
  <si>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</si>
  <si>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</si>
  <si>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</si>
  <si>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</si>
  <si>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</si>
  <si>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</si>
  <si>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</si>
  <si>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</si>
  <si>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</si>
  <si>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</si>
  <si>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</si>
  <si>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</si>
  <si>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</si>
  <si>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</si>
  <si>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</si>
  <si>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</si>
  <si>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</si>
  <si>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</si>
  <si>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</si>
  <si>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</si>
  <si>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</si>
  <si>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</si>
  <si>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</si>
  <si>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</si>
  <si>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</si>
  <si>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</si>
  <si>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</si>
  <si>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</si>
  <si>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</si>
  <si>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</si>
  <si>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</si>
  <si>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</si>
  <si>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</si>
  <si>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</si>
  <si>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</si>
  <si>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</si>
  <si>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</si>
  <si>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</si>
  <si>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</si>
  <si>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</si>
  <si>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</si>
  <si>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</si>
  <si>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</si>
  <si>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</si>
  <si>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</si>
  <si>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</si>
  <si>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</si>
  <si>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</si>
  <si>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</si>
  <si>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</si>
  <si>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</si>
  <si>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</si>
  <si>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</si>
  <si>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</si>
  <si>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</si>
  <si>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</si>
  <si>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</si>
  <si>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</si>
  <si>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</si>
  <si>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</si>
  <si>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</si>
  <si>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</si>
  <si>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</si>
  <si>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</si>
  <si>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</si>
  <si>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</si>
  <si>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</si>
  <si>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</si>
  <si>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</si>
  <si>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</si>
  <si>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</si>
  <si>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</si>
  <si>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</si>
  <si>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</si>
  <si>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</si>
  <si>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</si>
  <si>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</si>
  <si>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</si>
  <si>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</si>
  <si>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Growth (Autos) Lever</t>
  </si>
  <si>
    <t>Growth (Software, Robotaxi and Energy) Lever</t>
  </si>
  <si>
    <t>Revenues (Auto)</t>
  </si>
  <si>
    <t>Revenues (Rest)</t>
  </si>
  <si>
    <t>Revenues (Energy)</t>
  </si>
  <si>
    <t>Total Revenues</t>
  </si>
  <si>
    <t>Operating margin (Energy)</t>
  </si>
  <si>
    <t>Operating margin (Software)</t>
  </si>
  <si>
    <t>Operating margin (Robotaxi)</t>
  </si>
  <si>
    <t>Year 10</t>
  </si>
  <si>
    <t>Expected Pre-tax Operating Margin in year 5 =</t>
  </si>
  <si>
    <t>An Auto Tale, with Add-on Stories</t>
  </si>
  <si>
    <t>MP Materials</t>
  </si>
  <si>
    <t>$ Revenues in 2040</t>
  </si>
  <si>
    <t>A1: Stated Policy Scenario</t>
  </si>
  <si>
    <t>A2: Sustainable Development Scenario</t>
  </si>
  <si>
    <t>A3: Net Zero Scenario</t>
  </si>
  <si>
    <t>Factor Size</t>
  </si>
  <si>
    <t>Probability</t>
  </si>
  <si>
    <t>MP Will have 30% Market Share</t>
  </si>
  <si>
    <t>&lt;-- Expected</t>
  </si>
  <si>
    <t xml:space="preserve">Operating Margin in 2040 </t>
  </si>
  <si>
    <t>Operating margin in 2040</t>
  </si>
  <si>
    <t>With your operating margin, MP's operating profits in 2040 ($ million)</t>
  </si>
  <si>
    <t>How many dollars of revenues will MP generate per $ of investment?</t>
  </si>
  <si>
    <t>MP's value of equity today =</t>
  </si>
  <si>
    <t>MP's value per share today =</t>
  </si>
  <si>
    <t>Revenues in 2040 =</t>
  </si>
  <si>
    <t>MP Operating Margin</t>
  </si>
  <si>
    <t xml:space="preserve"> Revenue growth rate</t>
  </si>
  <si>
    <t>Growing global demand for rare-earth minerals,lessening reliance on China for will provide a phenomenal opportunity for MP Materials to achieve high growth rates for a substantial time period</t>
  </si>
  <si>
    <t>Based on averages.</t>
  </si>
  <si>
    <t>They are the only operators of rar-earth mine in North America</t>
  </si>
  <si>
    <t xml:space="preserve"> Expected Other Revenues in 2040 (in $ bil)</t>
  </si>
  <si>
    <t>How much will MP have in revenues from other businesss in ?040</t>
  </si>
  <si>
    <t>AA6: Direct Input (Enter revenues in 2040)</t>
  </si>
  <si>
    <t>$ Billion Revenues in 2040</t>
  </si>
  <si>
    <t>How much will MP have in revenues in 2040?</t>
  </si>
  <si>
    <t>Expected MP revenues in 2040 ($ million)</t>
  </si>
  <si>
    <t>Expected Revenue Scenarios For MP Materials</t>
  </si>
  <si>
    <t>What operating margin will MP Auto have in 2040 (and beyond)?</t>
  </si>
  <si>
    <t>With your investment input, MP's return on capital in 2040</t>
  </si>
  <si>
    <t>What cost of capital do you want to give MP initially?</t>
  </si>
  <si>
    <t xml:space="preserve">The news in 2023 for MP, ranging from begging production of Permanent Magnets to China's Export Ban on rare-earth related-technologies, suggests that MP Materialswill continue to grow in core business. We assume MP Material is able to capture 30% market share in the long run with aggressive investments in the electic vehicle business and green energy.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</si>
</sst>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quot;$&quot;#,##0"/>
  </numFmts>
  <fonts count="78">
    <font>
      <sz val="9"/>
      <name val="Geneva"/>
      <family val="2"/>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sz val="12"/>
      <color rgb="FFFF0000"/>
      <name val="Calibri"/>
      <family val="2"/>
      <scheme val="minor"/>
    </font>
    <font>
      <i/>
      <sz val="10"/>
      <color rgb="FFFF0000"/>
      <name val="Helv"/>
    </font>
    <font>
      <b/>
      <sz val="10"/>
      <color theme="1"/>
      <name val="Helv"/>
    </font>
    <font>
      <sz val="10"/>
      <name val="Calibri"/>
      <family val="2"/>
      <scheme val="minor"/>
    </font>
    <font>
      <i/>
      <sz val="9"/>
      <color rgb="FFFF0000"/>
      <name val="Helv"/>
    </font>
    <font>
      <sz val="12"/>
      <name val="Calibri"/>
      <family val="2"/>
      <scheme val="minor"/>
    </font>
    <font>
      <sz val="10"/>
      <color theme="1"/>
      <name val="Calibri"/>
      <family val="2"/>
      <scheme val="minor"/>
    </font>
    <font>
      <sz val="9"/>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8"/>
      <color indexed="8"/>
      <name val="Arial"/>
      <family val="2"/>
    </font>
    <font>
      <sz val="10"/>
      <color theme="1"/>
      <name val="Helv"/>
    </font>
    <font>
      <sz val="9"/>
      <color theme="1"/>
      <name val="Geneva"/>
      <family val="2"/>
    </font>
    <font>
      <b/>
      <sz val="9"/>
      <color rgb="FF000000"/>
      <name val="Geneva"/>
      <family val="2"/>
      <charset val="1"/>
    </font>
    <font>
      <sz val="9"/>
      <color rgb="FF000000"/>
      <name val="Geneva"/>
      <family val="2"/>
      <charset val="1"/>
    </font>
    <font>
      <i/>
      <sz val="10"/>
      <name val="Geneva"/>
      <family val="2"/>
      <charset val="1"/>
    </font>
    <font>
      <i/>
      <sz val="9"/>
      <name val="Geneva"/>
      <family val="2"/>
      <charset val="1"/>
    </font>
    <font>
      <sz val="12"/>
      <color theme="0"/>
      <name val="Times"/>
      <family val="1"/>
    </font>
    <font>
      <sz val="9"/>
      <color theme="0"/>
      <name val="Geneva"/>
      <family val="2"/>
    </font>
    <font>
      <b/>
      <sz val="14"/>
      <color theme="0"/>
      <name val="Helvetica"/>
      <family val="2"/>
    </font>
    <font>
      <b/>
      <i/>
      <sz val="14"/>
      <color theme="0"/>
      <name val="Helvetica"/>
      <family val="2"/>
    </font>
    <font>
      <sz val="14"/>
      <color theme="0"/>
      <name val="Helvetica"/>
      <family val="2"/>
    </font>
    <font>
      <i/>
      <sz val="14"/>
      <color theme="0"/>
      <name val="Helvetica"/>
      <family val="2"/>
    </font>
    <font>
      <sz val="12"/>
      <color theme="0"/>
      <name val="Calibri"/>
      <family val="2"/>
      <scheme val="minor"/>
    </font>
    <font>
      <b/>
      <sz val="12"/>
      <name val="Times"/>
    </font>
    <font>
      <b/>
      <sz val="12"/>
      <color rgb="FFFF0000"/>
      <name val="Times"/>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411">
    <xf numFmtId="0" fontId="0" fillId="0" borderId="0" xfId="0"/>
    <xf numFmtId="0" fontId="0" fillId="0" borderId="1" xfId="0" applyBorder="1"/>
    <xf numFmtId="0" fontId="2" fillId="0" borderId="0" xfId="0" applyFont="1"/>
    <xf numFmtId="10" fontId="0" fillId="0" borderId="1" xfId="0" applyNumberFormat="1" applyBorder="1" applyAlignment="1">
      <alignment horizontal="center"/>
    </xf>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44" fontId="12" fillId="2" borderId="1" xfId="2" applyFont="1" applyFill="1" applyBorder="1"/>
    <xf numFmtId="10" fontId="12" fillId="2" borderId="1" xfId="3" applyNumberFormat="1" applyFont="1" applyFill="1" applyBorder="1"/>
    <xf numFmtId="10" fontId="12" fillId="2" borderId="1" xfId="0" applyNumberFormat="1" applyFont="1" applyFill="1" applyBorder="1"/>
    <xf numFmtId="2" fontId="12" fillId="2" borderId="1" xfId="0" applyNumberFormat="1" applyFont="1" applyFill="1" applyBorder="1"/>
    <xf numFmtId="4" fontId="12" fillId="2" borderId="1" xfId="0" applyNumberFormat="1"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6" fillId="0" borderId="1" xfId="0" applyFont="1" applyBorder="1"/>
    <xf numFmtId="0" fontId="12" fillId="0" borderId="1" xfId="0" applyFont="1" applyBorder="1"/>
    <xf numFmtId="10" fontId="16" fillId="0" borderId="0" xfId="0" applyNumberFormat="1" applyFont="1"/>
    <xf numFmtId="3" fontId="12" fillId="0" borderId="1" xfId="0" applyNumberFormat="1" applyFont="1" applyBorder="1"/>
    <xf numFmtId="10" fontId="16" fillId="0" borderId="1" xfId="0" applyNumberFormat="1" applyFont="1" applyBorder="1"/>
    <xf numFmtId="165" fontId="16" fillId="0" borderId="1" xfId="1" applyNumberFormat="1" applyFont="1" applyBorder="1"/>
    <xf numFmtId="10" fontId="12" fillId="0" borderId="1" xfId="0" applyNumberFormat="1" applyFont="1" applyBorder="1"/>
    <xf numFmtId="44" fontId="12" fillId="0" borderId="2" xfId="2" applyFont="1" applyBorder="1"/>
    <xf numFmtId="44" fontId="12" fillId="0" borderId="0" xfId="2" applyFont="1"/>
    <xf numFmtId="8" fontId="12" fillId="0" borderId="2" xfId="0" applyNumberFormat="1" applyFont="1" applyBorder="1"/>
    <xf numFmtId="44" fontId="12" fillId="2" borderId="1" xfId="0" applyNumberFormat="1" applyFont="1" applyFill="1" applyBorder="1"/>
    <xf numFmtId="0" fontId="10" fillId="0" borderId="0" xfId="0" applyFont="1" applyAlignment="1">
      <alignment horizontal="centerContinuous"/>
    </xf>
    <xf numFmtId="0" fontId="12" fillId="0" borderId="1" xfId="0" applyFont="1" applyBorder="1" applyAlignment="1">
      <alignment horizontal="center"/>
    </xf>
    <xf numFmtId="0" fontId="19"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21" fillId="0" borderId="5" xfId="0" applyFont="1" applyBorder="1" applyAlignment="1">
      <alignment horizontal="center"/>
    </xf>
    <xf numFmtId="0" fontId="21" fillId="0" borderId="1" xfId="0" applyFont="1" applyBorder="1" applyAlignment="1">
      <alignment horizontal="center"/>
    </xf>
    <xf numFmtId="0" fontId="22" fillId="0" borderId="1" xfId="0" applyFont="1" applyBorder="1"/>
    <xf numFmtId="0" fontId="22" fillId="0" borderId="0" xfId="0" applyFont="1"/>
    <xf numFmtId="0" fontId="23" fillId="0" borderId="1" xfId="0" applyFont="1" applyBorder="1"/>
    <xf numFmtId="0" fontId="22" fillId="0" borderId="1" xfId="0" applyFont="1" applyBorder="1" applyAlignment="1">
      <alignment horizontal="center"/>
    </xf>
    <xf numFmtId="0" fontId="22" fillId="0" borderId="0" xfId="0" applyFont="1" applyAlignment="1">
      <alignment horizontal="center"/>
    </xf>
    <xf numFmtId="0" fontId="24" fillId="0" borderId="0" xfId="0" applyFont="1"/>
    <xf numFmtId="0" fontId="25" fillId="0" borderId="6" xfId="0" applyFont="1" applyBorder="1"/>
    <xf numFmtId="0" fontId="25" fillId="0" borderId="7" xfId="0" applyFont="1" applyBorder="1"/>
    <xf numFmtId="0" fontId="25" fillId="0" borderId="0" xfId="0" applyFont="1"/>
    <xf numFmtId="0" fontId="25" fillId="0" borderId="8" xfId="0" applyFont="1" applyBorder="1"/>
    <xf numFmtId="0" fontId="25" fillId="0" borderId="9" xfId="0" applyFont="1" applyBorder="1"/>
    <xf numFmtId="0" fontId="25" fillId="0" borderId="1" xfId="0" applyFont="1" applyBorder="1"/>
    <xf numFmtId="0" fontId="44" fillId="0" borderId="0" xfId="0" applyFont="1"/>
    <xf numFmtId="10" fontId="25" fillId="4" borderId="1" xfId="2" applyNumberFormat="1" applyFont="1" applyFill="1" applyBorder="1" applyAlignment="1">
      <alignment horizontal="center"/>
    </xf>
    <xf numFmtId="44" fontId="25" fillId="0" borderId="0" xfId="2" applyFont="1" applyFill="1" applyBorder="1" applyAlignment="1">
      <alignment horizontal="center"/>
    </xf>
    <xf numFmtId="10" fontId="25" fillId="4" borderId="1" xfId="0" applyNumberFormat="1" applyFont="1" applyFill="1" applyBorder="1" applyAlignment="1">
      <alignment horizontal="center"/>
    </xf>
    <xf numFmtId="2" fontId="25" fillId="4" borderId="1" xfId="0" applyNumberFormat="1" applyFont="1" applyFill="1" applyBorder="1" applyAlignment="1">
      <alignment horizontal="center"/>
    </xf>
    <xf numFmtId="10" fontId="25" fillId="0" borderId="0" xfId="0" applyNumberFormat="1" applyFont="1"/>
    <xf numFmtId="10" fontId="25" fillId="5" borderId="0" xfId="0" applyNumberFormat="1" applyFont="1" applyFill="1" applyAlignment="1">
      <alignment horizontal="center"/>
    </xf>
    <xf numFmtId="164" fontId="25" fillId="4" borderId="1" xfId="0" applyNumberFormat="1" applyFont="1" applyFill="1" applyBorder="1" applyAlignment="1">
      <alignment horizontal="center"/>
    </xf>
    <xf numFmtId="10" fontId="25" fillId="0" borderId="0" xfId="0" applyNumberFormat="1" applyFont="1" applyAlignment="1">
      <alignment horizontal="center"/>
    </xf>
    <xf numFmtId="0" fontId="27" fillId="0" borderId="0" xfId="0" applyFont="1"/>
    <xf numFmtId="0" fontId="25" fillId="4" borderId="1" xfId="0" applyFont="1" applyFill="1" applyBorder="1" applyAlignment="1">
      <alignment horizontal="center"/>
    </xf>
    <xf numFmtId="9" fontId="25" fillId="4" borderId="1" xfId="0" applyNumberFormat="1" applyFont="1" applyFill="1" applyBorder="1" applyAlignment="1">
      <alignment horizontal="center"/>
    </xf>
    <xf numFmtId="9" fontId="25" fillId="5" borderId="0" xfId="0" applyNumberFormat="1" applyFont="1" applyFill="1" applyAlignment="1">
      <alignment horizontal="center"/>
    </xf>
    <xf numFmtId="0" fontId="8" fillId="0" borderId="0" xfId="0" applyFont="1" applyAlignment="1">
      <alignment horizontal="left"/>
    </xf>
    <xf numFmtId="10" fontId="12" fillId="4" borderId="2" xfId="0" applyNumberFormat="1" applyFont="1" applyFill="1" applyBorder="1" applyAlignment="1">
      <alignment horizontal="center"/>
    </xf>
    <xf numFmtId="8" fontId="12" fillId="2" borderId="2" xfId="0" applyNumberFormat="1" applyFont="1" applyFill="1" applyBorder="1"/>
    <xf numFmtId="0" fontId="26" fillId="5" borderId="0" xfId="0" applyFont="1" applyFill="1"/>
    <xf numFmtId="0" fontId="27" fillId="5" borderId="0" xfId="0" applyFont="1" applyFill="1"/>
    <xf numFmtId="44" fontId="25" fillId="4" borderId="1" xfId="2" applyFont="1" applyFill="1" applyBorder="1" applyAlignment="1">
      <alignment horizontal="center"/>
    </xf>
    <xf numFmtId="0" fontId="24" fillId="0" borderId="10" xfId="0" applyFont="1" applyBorder="1"/>
    <xf numFmtId="0" fontId="25" fillId="0" borderId="11" xfId="0" applyFont="1" applyBorder="1"/>
    <xf numFmtId="0" fontId="25" fillId="0" borderId="12" xfId="0" applyFont="1" applyBorder="1"/>
    <xf numFmtId="0" fontId="22" fillId="6" borderId="1" xfId="0" applyFont="1" applyFill="1" applyBorder="1"/>
    <xf numFmtId="10" fontId="22" fillId="6" borderId="1" xfId="3" applyNumberFormat="1" applyFont="1" applyFill="1" applyBorder="1" applyAlignment="1">
      <alignment horizontal="center"/>
    </xf>
    <xf numFmtId="44" fontId="22" fillId="6" borderId="1" xfId="2" applyFont="1" applyFill="1" applyBorder="1"/>
    <xf numFmtId="44" fontId="22" fillId="6" borderId="1" xfId="2" applyFont="1" applyFill="1" applyBorder="1" applyAlignment="1">
      <alignment horizontal="center"/>
    </xf>
    <xf numFmtId="10" fontId="22" fillId="6" borderId="1" xfId="3" applyNumberFormat="1" applyFont="1" applyFill="1" applyBorder="1"/>
    <xf numFmtId="10" fontId="22" fillId="6" borderId="1" xfId="2" applyNumberFormat="1" applyFont="1" applyFill="1" applyBorder="1"/>
    <xf numFmtId="10" fontId="22" fillId="6" borderId="1" xfId="2" applyNumberFormat="1" applyFont="1" applyFill="1" applyBorder="1" applyAlignment="1">
      <alignment horizontal="center"/>
    </xf>
    <xf numFmtId="0" fontId="22" fillId="6" borderId="1" xfId="0" applyFont="1" applyFill="1" applyBorder="1" applyAlignment="1">
      <alignment horizontal="center"/>
    </xf>
    <xf numFmtId="44" fontId="22" fillId="6" borderId="1" xfId="0" applyNumberFormat="1" applyFont="1" applyFill="1" applyBorder="1"/>
    <xf numFmtId="10" fontId="22" fillId="6" borderId="1" xfId="0" applyNumberFormat="1" applyFont="1" applyFill="1" applyBorder="1"/>
    <xf numFmtId="164" fontId="22" fillId="6" borderId="1" xfId="0" applyNumberFormat="1" applyFont="1" applyFill="1" applyBorder="1"/>
    <xf numFmtId="8" fontId="22" fillId="6" borderId="1" xfId="0" applyNumberFormat="1" applyFont="1" applyFill="1" applyBorder="1"/>
    <xf numFmtId="43" fontId="22" fillId="6" borderId="1" xfId="1" applyFont="1" applyFill="1" applyBorder="1"/>
    <xf numFmtId="2" fontId="22" fillId="6" borderId="1" xfId="0" applyNumberFormat="1" applyFont="1" applyFill="1" applyBorder="1" applyAlignment="1">
      <alignment horizontal="center"/>
    </xf>
    <xf numFmtId="168" fontId="22" fillId="6" borderId="1" xfId="0" applyNumberFormat="1" applyFont="1" applyFill="1" applyBorder="1"/>
    <xf numFmtId="168" fontId="22" fillId="6" borderId="1" xfId="0" applyNumberFormat="1" applyFont="1" applyFill="1" applyBorder="1" applyAlignment="1">
      <alignment horizontal="center"/>
    </xf>
    <xf numFmtId="44" fontId="0" fillId="7" borderId="1" xfId="0" applyNumberFormat="1" applyFill="1" applyBorder="1"/>
    <xf numFmtId="0" fontId="28"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6" borderId="1" xfId="0" applyNumberFormat="1" applyFont="1" applyFill="1" applyBorder="1"/>
    <xf numFmtId="44" fontId="12" fillId="6" borderId="1" xfId="0" applyNumberFormat="1" applyFont="1" applyFill="1" applyBorder="1"/>
    <xf numFmtId="44" fontId="12" fillId="6" borderId="1" xfId="2" applyFont="1" applyFill="1" applyBorder="1"/>
    <xf numFmtId="10" fontId="12" fillId="6" borderId="1" xfId="3" applyNumberFormat="1" applyFont="1" applyFill="1" applyBorder="1"/>
    <xf numFmtId="10" fontId="12" fillId="6" borderId="3" xfId="0" applyNumberFormat="1" applyFont="1" applyFill="1" applyBorder="1"/>
    <xf numFmtId="10" fontId="12" fillId="6" borderId="1" xfId="0" applyNumberFormat="1" applyFont="1" applyFill="1" applyBorder="1"/>
    <xf numFmtId="10" fontId="12" fillId="6" borderId="13" xfId="3" applyNumberFormat="1" applyFont="1" applyFill="1" applyBorder="1"/>
    <xf numFmtId="10" fontId="12" fillId="6" borderId="2" xfId="3" applyNumberFormat="1" applyFont="1" applyFill="1" applyBorder="1"/>
    <xf numFmtId="2" fontId="12" fillId="6" borderId="1" xfId="2" applyNumberFormat="1" applyFont="1" applyFill="1" applyBorder="1"/>
    <xf numFmtId="0" fontId="29" fillId="0" borderId="0" xfId="0" applyFont="1"/>
    <xf numFmtId="0" fontId="30" fillId="0" borderId="0" xfId="0" applyFont="1"/>
    <xf numFmtId="0" fontId="20" fillId="0" borderId="0" xfId="0" applyFont="1"/>
    <xf numFmtId="0" fontId="12" fillId="3" borderId="1" xfId="0" applyFont="1" applyFill="1" applyBorder="1" applyAlignment="1">
      <alignment horizontal="center"/>
    </xf>
    <xf numFmtId="10" fontId="16" fillId="0" borderId="0" xfId="0" applyNumberFormat="1" applyFont="1" applyAlignment="1">
      <alignment horizontal="center"/>
    </xf>
    <xf numFmtId="10" fontId="13" fillId="0" borderId="0" xfId="0" applyNumberFormat="1" applyFont="1" applyAlignment="1">
      <alignment horizontal="center"/>
    </xf>
    <xf numFmtId="0" fontId="14" fillId="0" borderId="1" xfId="0" applyFont="1" applyBorder="1" applyAlignment="1">
      <alignment horizontal="centerContinuous"/>
    </xf>
    <xf numFmtId="0" fontId="14" fillId="0" borderId="1" xfId="0" applyFont="1" applyBorder="1"/>
    <xf numFmtId="2" fontId="12" fillId="0" borderId="1" xfId="0" applyNumberFormat="1" applyFont="1" applyBorder="1" applyAlignment="1">
      <alignment horizontal="center"/>
    </xf>
    <xf numFmtId="0" fontId="12" fillId="0" borderId="1" xfId="0" applyFont="1" applyBorder="1" applyAlignment="1">
      <alignment horizontal="centerContinuous"/>
    </xf>
    <xf numFmtId="10" fontId="12" fillId="6" borderId="2" xfId="0" applyNumberFormat="1" applyFont="1" applyFill="1" applyBorder="1"/>
    <xf numFmtId="2" fontId="16" fillId="6" borderId="2" xfId="0" applyNumberFormat="1" applyFont="1" applyFill="1" applyBorder="1" applyAlignment="1">
      <alignment horizontal="center"/>
    </xf>
    <xf numFmtId="0" fontId="31" fillId="6" borderId="4" xfId="0" applyFont="1" applyFill="1" applyBorder="1" applyAlignment="1">
      <alignment horizontal="center"/>
    </xf>
    <xf numFmtId="10" fontId="16" fillId="6" borderId="2" xfId="3" applyNumberFormat="1" applyFont="1" applyFill="1" applyBorder="1" applyAlignment="1">
      <alignment horizontal="center"/>
    </xf>
    <xf numFmtId="10" fontId="16" fillId="6" borderId="2" xfId="0" applyNumberFormat="1" applyFont="1" applyFill="1" applyBorder="1" applyAlignment="1">
      <alignment horizontal="center"/>
    </xf>
    <xf numFmtId="0" fontId="33" fillId="0" borderId="0" xfId="0" applyFont="1"/>
    <xf numFmtId="0" fontId="7" fillId="5" borderId="0" xfId="0" applyFont="1" applyFill="1"/>
    <xf numFmtId="0" fontId="32" fillId="6" borderId="1" xfId="0" applyFont="1" applyFill="1" applyBorder="1"/>
    <xf numFmtId="0" fontId="33" fillId="6" borderId="1" xfId="0" applyFont="1" applyFill="1" applyBorder="1"/>
    <xf numFmtId="44" fontId="33" fillId="6" borderId="1" xfId="2" applyFont="1" applyFill="1" applyBorder="1"/>
    <xf numFmtId="10" fontId="33" fillId="6" borderId="1" xfId="0" applyNumberFormat="1" applyFont="1" applyFill="1" applyBorder="1"/>
    <xf numFmtId="0" fontId="33" fillId="6" borderId="3" xfId="0" applyFont="1" applyFill="1" applyBorder="1"/>
    <xf numFmtId="10" fontId="33" fillId="6" borderId="3" xfId="0" applyNumberFormat="1" applyFont="1" applyFill="1" applyBorder="1" applyAlignment="1">
      <alignment horizontal="right"/>
    </xf>
    <xf numFmtId="0" fontId="33" fillId="0" borderId="10" xfId="0" applyFont="1" applyBorder="1"/>
    <xf numFmtId="169" fontId="22" fillId="6" borderId="1" xfId="0" applyNumberFormat="1" applyFont="1" applyFill="1" applyBorder="1" applyAlignment="1">
      <alignment horizontal="center"/>
    </xf>
    <xf numFmtId="0" fontId="22" fillId="0" borderId="0" xfId="0" applyFont="1" applyAlignment="1">
      <alignment horizontal="left"/>
    </xf>
    <xf numFmtId="0" fontId="24" fillId="0" borderId="11" xfId="0" applyFont="1" applyBorder="1"/>
    <xf numFmtId="0" fontId="25" fillId="4" borderId="1" xfId="0" applyFont="1" applyFill="1" applyBorder="1"/>
    <xf numFmtId="2" fontId="25" fillId="4" borderId="14" xfId="2"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6" borderId="1" xfId="0" applyFont="1" applyFill="1" applyBorder="1"/>
    <xf numFmtId="0" fontId="13" fillId="0" borderId="1" xfId="0" applyFont="1" applyBorder="1"/>
    <xf numFmtId="167" fontId="12" fillId="6" borderId="1" xfId="3" applyNumberFormat="1" applyFont="1" applyFill="1" applyBorder="1"/>
    <xf numFmtId="167" fontId="12" fillId="6" borderId="1" xfId="0" applyNumberFormat="1" applyFont="1" applyFill="1" applyBorder="1"/>
    <xf numFmtId="2" fontId="12" fillId="3" borderId="1" xfId="0" applyNumberFormat="1" applyFont="1" applyFill="1" applyBorder="1"/>
    <xf numFmtId="10" fontId="25" fillId="5" borderId="0" xfId="3" applyNumberFormat="1" applyFont="1" applyFill="1" applyBorder="1"/>
    <xf numFmtId="0" fontId="25" fillId="0" borderId="15" xfId="0" applyFont="1" applyBorder="1"/>
    <xf numFmtId="0" fontId="7" fillId="0" borderId="16" xfId="0" applyFont="1" applyBorder="1"/>
    <xf numFmtId="0" fontId="7" fillId="0" borderId="17" xfId="0" applyFont="1" applyBorder="1"/>
    <xf numFmtId="44" fontId="25" fillId="4" borderId="14" xfId="2" applyFont="1" applyFill="1" applyBorder="1" applyAlignment="1">
      <alignment horizontal="center"/>
    </xf>
    <xf numFmtId="171" fontId="12" fillId="4" borderId="1" xfId="2" applyNumberFormat="1" applyFont="1" applyFill="1" applyBorder="1"/>
    <xf numFmtId="169" fontId="12" fillId="6" borderId="1" xfId="0" applyNumberFormat="1" applyFont="1" applyFill="1" applyBorder="1"/>
    <xf numFmtId="171" fontId="12" fillId="6" borderId="1" xfId="0" applyNumberFormat="1" applyFont="1" applyFill="1" applyBorder="1"/>
    <xf numFmtId="0" fontId="0" fillId="6" borderId="1" xfId="0" applyFill="1" applyBorder="1"/>
    <xf numFmtId="171" fontId="3"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4" fillId="0" borderId="1" xfId="0" applyNumberFormat="1" applyFont="1" applyBorder="1" applyAlignment="1">
      <alignment horizontal="center"/>
    </xf>
    <xf numFmtId="2" fontId="34" fillId="0" borderId="0" xfId="0" applyNumberFormat="1" applyFont="1"/>
    <xf numFmtId="2" fontId="12" fillId="0" borderId="0" xfId="0" applyNumberFormat="1" applyFont="1"/>
    <xf numFmtId="1" fontId="34" fillId="0" borderId="1" xfId="0" applyNumberFormat="1" applyFont="1" applyBorder="1" applyAlignment="1">
      <alignment horizontal="center"/>
    </xf>
    <xf numFmtId="2" fontId="34" fillId="3" borderId="1" xfId="0" applyNumberFormat="1" applyFont="1" applyFill="1" applyBorder="1" applyAlignment="1">
      <alignment horizontal="center"/>
    </xf>
    <xf numFmtId="2" fontId="35" fillId="0" borderId="0" xfId="0" applyNumberFormat="1" applyFont="1"/>
    <xf numFmtId="2" fontId="34" fillId="0" borderId="13" xfId="0" applyNumberFormat="1" applyFont="1" applyBorder="1" applyAlignment="1">
      <alignment horizontal="centerContinuous"/>
    </xf>
    <xf numFmtId="2" fontId="34" fillId="0" borderId="18" xfId="0" applyNumberFormat="1" applyFont="1" applyBorder="1" applyAlignment="1">
      <alignment horizontal="centerContinuous"/>
    </xf>
    <xf numFmtId="44" fontId="34" fillId="0" borderId="1" xfId="2" applyFont="1" applyBorder="1"/>
    <xf numFmtId="2" fontId="34" fillId="0" borderId="3" xfId="0" applyNumberFormat="1" applyFont="1" applyBorder="1" applyAlignment="1">
      <alignment horizontal="center"/>
    </xf>
    <xf numFmtId="44" fontId="34" fillId="0" borderId="3" xfId="2" applyFont="1" applyBorder="1"/>
    <xf numFmtId="164" fontId="12" fillId="0" borderId="2" xfId="0" applyNumberFormat="1" applyFont="1" applyBorder="1"/>
    <xf numFmtId="164" fontId="12" fillId="0" borderId="19" xfId="0" applyNumberFormat="1" applyFont="1" applyBorder="1"/>
    <xf numFmtId="6" fontId="12" fillId="0" borderId="1" xfId="2" applyNumberFormat="1" applyFont="1" applyBorder="1"/>
    <xf numFmtId="44" fontId="25" fillId="8" borderId="18" xfId="0" applyNumberFormat="1" applyFont="1" applyFill="1" applyBorder="1" applyAlignment="1">
      <alignment horizontal="center"/>
    </xf>
    <xf numFmtId="44" fontId="44" fillId="9" borderId="18" xfId="0" applyNumberFormat="1" applyFont="1" applyFill="1" applyBorder="1" applyAlignment="1">
      <alignment horizontal="left"/>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2" fillId="6" borderId="2" xfId="0" applyNumberFormat="1" applyFont="1" applyFill="1" applyBorder="1"/>
    <xf numFmtId="0" fontId="27" fillId="0" borderId="11" xfId="0" applyFont="1" applyBorder="1"/>
    <xf numFmtId="0" fontId="36" fillId="0" borderId="0" xfId="0" applyFont="1"/>
    <xf numFmtId="0" fontId="25" fillId="0" borderId="20" xfId="0" applyFont="1" applyBorder="1"/>
    <xf numFmtId="0" fontId="25" fillId="0" borderId="21" xfId="0" applyFont="1" applyBorder="1"/>
    <xf numFmtId="0" fontId="16" fillId="5" borderId="22" xfId="0" applyFont="1" applyFill="1" applyBorder="1" applyAlignment="1">
      <alignment vertical="center" wrapText="1"/>
    </xf>
    <xf numFmtId="0" fontId="13" fillId="5" borderId="14" xfId="0" applyFont="1" applyFill="1" applyBorder="1" applyAlignment="1">
      <alignment horizontal="center" vertical="center" wrapText="1"/>
    </xf>
    <xf numFmtId="0" fontId="13" fillId="5" borderId="23"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2" fillId="6" borderId="24" xfId="0" applyFont="1" applyFill="1" applyBorder="1" applyAlignment="1">
      <alignment horizontal="left" vertical="center" wrapText="1"/>
    </xf>
    <xf numFmtId="9" fontId="12" fillId="6" borderId="1" xfId="3" applyFont="1" applyFill="1" applyBorder="1" applyAlignment="1">
      <alignment horizontal="left" vertical="center" wrapText="1"/>
    </xf>
    <xf numFmtId="0" fontId="12" fillId="6" borderId="24" xfId="0" applyFont="1" applyFill="1" applyBorder="1" applyAlignment="1">
      <alignment horizontal="left" vertical="center"/>
    </xf>
    <xf numFmtId="0" fontId="12" fillId="6" borderId="1" xfId="0" applyFont="1" applyFill="1" applyBorder="1" applyAlignment="1">
      <alignment horizontal="left"/>
    </xf>
    <xf numFmtId="0" fontId="12" fillId="6" borderId="24" xfId="0" applyFont="1" applyFill="1" applyBorder="1" applyAlignment="1">
      <alignment horizontal="left"/>
    </xf>
    <xf numFmtId="10" fontId="12" fillId="6" borderId="25" xfId="3" applyNumberFormat="1" applyFont="1" applyFill="1" applyBorder="1" applyAlignment="1">
      <alignment horizontal="left"/>
    </xf>
    <xf numFmtId="0" fontId="12" fillId="6" borderId="26" xfId="0" applyFont="1" applyFill="1" applyBorder="1" applyAlignment="1">
      <alignment horizontal="left"/>
    </xf>
    <xf numFmtId="0" fontId="12" fillId="5" borderId="22" xfId="0" applyFont="1" applyFill="1" applyBorder="1" applyAlignment="1">
      <alignment vertical="center"/>
    </xf>
    <xf numFmtId="0" fontId="12" fillId="5" borderId="27" xfId="0" applyFont="1" applyFill="1" applyBorder="1"/>
    <xf numFmtId="0" fontId="12" fillId="5" borderId="28" xfId="0" applyFont="1" applyFill="1" applyBorder="1"/>
    <xf numFmtId="164" fontId="2" fillId="0" borderId="0" xfId="0" applyNumberFormat="1" applyFont="1" applyAlignment="1">
      <alignment horizontal="center"/>
    </xf>
    <xf numFmtId="164" fontId="2" fillId="0" borderId="0" xfId="0" applyNumberFormat="1" applyFont="1"/>
    <xf numFmtId="17" fontId="24" fillId="4" borderId="1" xfId="0" applyNumberFormat="1" applyFont="1" applyFill="1" applyBorder="1" applyAlignment="1">
      <alignment horizontal="center"/>
    </xf>
    <xf numFmtId="0" fontId="45" fillId="4" borderId="1" xfId="0" applyFont="1" applyFill="1" applyBorder="1" applyAlignment="1">
      <alignment horizontal="center"/>
    </xf>
    <xf numFmtId="10" fontId="12" fillId="4" borderId="1" xfId="0" applyNumberFormat="1" applyFont="1" applyFill="1" applyBorder="1" applyAlignment="1">
      <alignment horizontal="center"/>
    </xf>
    <xf numFmtId="10" fontId="12" fillId="6" borderId="1" xfId="0" applyNumberFormat="1" applyFont="1" applyFill="1" applyBorder="1" applyAlignment="1">
      <alignment horizontal="center"/>
    </xf>
    <xf numFmtId="166" fontId="12" fillId="3" borderId="1" xfId="0" applyNumberFormat="1" applyFont="1" applyFill="1" applyBorder="1"/>
    <xf numFmtId="0" fontId="46" fillId="0" borderId="1" xfId="0" applyFont="1" applyBorder="1" applyAlignment="1">
      <alignment horizontal="center"/>
    </xf>
    <xf numFmtId="9" fontId="12" fillId="6" borderId="1" xfId="0" applyNumberFormat="1" applyFont="1" applyFill="1" applyBorder="1" applyAlignment="1">
      <alignment horizontal="center"/>
    </xf>
    <xf numFmtId="0" fontId="12" fillId="6" borderId="2" xfId="0" applyFont="1" applyFill="1" applyBorder="1" applyAlignment="1">
      <alignment horizontal="center"/>
    </xf>
    <xf numFmtId="0" fontId="37" fillId="0" borderId="0" xfId="0" applyFont="1"/>
    <xf numFmtId="2" fontId="12" fillId="4" borderId="1" xfId="0" applyNumberFormat="1" applyFont="1" applyFill="1" applyBorder="1"/>
    <xf numFmtId="0" fontId="28" fillId="0" borderId="0" xfId="0" applyFont="1" applyAlignment="1">
      <alignment horizontal="left"/>
    </xf>
    <xf numFmtId="164" fontId="0" fillId="6" borderId="1" xfId="0" applyNumberFormat="1" applyFill="1" applyBorder="1"/>
    <xf numFmtId="0" fontId="2" fillId="0" borderId="1" xfId="0" applyFont="1" applyBorder="1" applyAlignment="1">
      <alignment horizontal="center" wrapText="1"/>
    </xf>
    <xf numFmtId="0" fontId="13" fillId="5" borderId="0" xfId="0" applyFont="1" applyFill="1"/>
    <xf numFmtId="0" fontId="37" fillId="5" borderId="0" xfId="0" applyFont="1" applyFill="1"/>
    <xf numFmtId="0" fontId="27" fillId="0" borderId="1" xfId="0" applyFont="1" applyBorder="1"/>
    <xf numFmtId="0" fontId="27" fillId="0" borderId="8" xfId="0" applyFont="1" applyBorder="1"/>
    <xf numFmtId="0" fontId="25" fillId="0" borderId="29" xfId="0" applyFont="1" applyBorder="1"/>
    <xf numFmtId="0" fontId="41" fillId="0" borderId="0" xfId="0" applyFont="1"/>
    <xf numFmtId="0" fontId="7" fillId="4" borderId="1" xfId="0" applyFont="1" applyFill="1" applyBorder="1" applyAlignment="1">
      <alignment horizontal="center"/>
    </xf>
    <xf numFmtId="9" fontId="7" fillId="4" borderId="1" xfId="0" applyNumberFormat="1" applyFont="1" applyFill="1" applyBorder="1" applyAlignment="1">
      <alignment horizontal="center"/>
    </xf>
    <xf numFmtId="0" fontId="2" fillId="0" borderId="1" xfId="0" applyFont="1" applyBorder="1"/>
    <xf numFmtId="10" fontId="46" fillId="0" borderId="30" xfId="0" applyNumberFormat="1" applyFont="1" applyBorder="1" applyAlignment="1">
      <alignment horizontal="center"/>
    </xf>
    <xf numFmtId="10" fontId="25" fillId="4" borderId="1" xfId="3" applyNumberFormat="1" applyFont="1" applyFill="1" applyBorder="1" applyAlignment="1">
      <alignment horizontal="center"/>
    </xf>
    <xf numFmtId="164" fontId="25" fillId="0" borderId="0" xfId="0" applyNumberFormat="1" applyFont="1" applyAlignment="1">
      <alignment horizontal="center"/>
    </xf>
    <xf numFmtId="2" fontId="25" fillId="0" borderId="0" xfId="0" applyNumberFormat="1" applyFont="1" applyAlignment="1">
      <alignment horizontal="center"/>
    </xf>
    <xf numFmtId="168" fontId="25" fillId="10" borderId="1" xfId="0" applyNumberFormat="1" applyFont="1" applyFill="1" applyBorder="1"/>
    <xf numFmtId="10" fontId="25" fillId="10" borderId="1" xfId="0" applyNumberFormat="1" applyFont="1" applyFill="1" applyBorder="1"/>
    <xf numFmtId="10" fontId="25" fillId="10" borderId="1" xfId="3" applyNumberFormat="1" applyFont="1" applyFill="1" applyBorder="1"/>
    <xf numFmtId="2" fontId="25" fillId="10" borderId="1" xfId="0" applyNumberFormat="1" applyFont="1" applyFill="1" applyBorder="1"/>
    <xf numFmtId="10" fontId="25" fillId="10" borderId="3" xfId="3" applyNumberFormat="1" applyFont="1" applyFill="1" applyBorder="1"/>
    <xf numFmtId="10" fontId="25" fillId="10" borderId="25" xfId="3" applyNumberFormat="1" applyFont="1" applyFill="1" applyBorder="1"/>
    <xf numFmtId="0" fontId="7" fillId="0" borderId="1" xfId="0" applyFont="1" applyBorder="1"/>
    <xf numFmtId="0" fontId="47" fillId="0" borderId="0" xfId="0" applyFont="1"/>
    <xf numFmtId="10" fontId="48" fillId="0" borderId="1" xfId="3" applyNumberFormat="1" applyFont="1" applyBorder="1" applyAlignment="1">
      <alignment horizontal="center"/>
    </xf>
    <xf numFmtId="0" fontId="48" fillId="0" borderId="0" xfId="0" applyFont="1"/>
    <xf numFmtId="0" fontId="48" fillId="0" borderId="0" xfId="0" applyFont="1" applyAlignment="1">
      <alignment horizontal="left"/>
    </xf>
    <xf numFmtId="0" fontId="38" fillId="0" borderId="1" xfId="0" applyFont="1" applyBorder="1" applyAlignment="1">
      <alignment horizontal="center"/>
    </xf>
    <xf numFmtId="0" fontId="0" fillId="4" borderId="1" xfId="0" applyFill="1" applyBorder="1"/>
    <xf numFmtId="10" fontId="12" fillId="4" borderId="1" xfId="0" applyNumberFormat="1" applyFont="1" applyFill="1" applyBorder="1"/>
    <xf numFmtId="10" fontId="46" fillId="0" borderId="30" xfId="3" applyNumberFormat="1" applyFont="1" applyBorder="1" applyAlignment="1">
      <alignment horizontal="center"/>
    </xf>
    <xf numFmtId="10" fontId="0" fillId="0" borderId="0" xfId="0" applyNumberFormat="1"/>
    <xf numFmtId="44" fontId="3" fillId="4" borderId="1" xfId="2" applyFont="1" applyFill="1" applyBorder="1" applyAlignment="1">
      <alignment horizontal="center"/>
    </xf>
    <xf numFmtId="0" fontId="46" fillId="4" borderId="1" xfId="0" applyFont="1" applyFill="1" applyBorder="1"/>
    <xf numFmtId="170" fontId="38" fillId="0" borderId="0" xfId="0" applyNumberFormat="1" applyFont="1" applyAlignment="1">
      <alignment horizontal="right"/>
    </xf>
    <xf numFmtId="0" fontId="49" fillId="0" borderId="32" xfId="0" applyFont="1" applyBorder="1" applyAlignment="1">
      <alignment vertical="center" wrapText="1"/>
    </xf>
    <xf numFmtId="0" fontId="50" fillId="0" borderId="0" xfId="0" applyFont="1"/>
    <xf numFmtId="44" fontId="50" fillId="0" borderId="0" xfId="0" applyNumberFormat="1" applyFont="1"/>
    <xf numFmtId="10" fontId="50" fillId="0" borderId="0" xfId="0" applyNumberFormat="1" applyFont="1"/>
    <xf numFmtId="44" fontId="0" fillId="0" borderId="0" xfId="0" applyNumberFormat="1"/>
    <xf numFmtId="44" fontId="42" fillId="0" borderId="0" xfId="0" applyNumberFormat="1" applyFont="1"/>
    <xf numFmtId="2" fontId="50" fillId="0" borderId="0" xfId="0" applyNumberFormat="1" applyFont="1"/>
    <xf numFmtId="44" fontId="50" fillId="0" borderId="0" xfId="2" applyFont="1"/>
    <xf numFmtId="10" fontId="50" fillId="0" borderId="0" xfId="3" applyNumberFormat="1" applyFont="1"/>
    <xf numFmtId="10" fontId="0" fillId="0" borderId="0" xfId="3" applyNumberFormat="1" applyFont="1"/>
    <xf numFmtId="169" fontId="0" fillId="0" borderId="0" xfId="0" applyNumberFormat="1"/>
    <xf numFmtId="0" fontId="2" fillId="0" borderId="1" xfId="0" applyFont="1" applyBorder="1" applyAlignment="1">
      <alignment horizontal="center"/>
    </xf>
    <xf numFmtId="0" fontId="2" fillId="0" borderId="0" xfId="0" applyFont="1" applyAlignment="1">
      <alignment wrapText="1"/>
    </xf>
    <xf numFmtId="10" fontId="0" fillId="4" borderId="1" xfId="0" applyNumberFormat="1" applyFill="1" applyBorder="1"/>
    <xf numFmtId="0" fontId="61" fillId="0" borderId="0" xfId="0" applyFont="1"/>
    <xf numFmtId="0" fontId="21" fillId="0" borderId="1" xfId="0" applyFont="1" applyBorder="1"/>
    <xf numFmtId="10" fontId="22" fillId="0" borderId="1" xfId="3" applyNumberFormat="1" applyFont="1" applyBorder="1" applyAlignment="1">
      <alignment horizontal="center"/>
    </xf>
    <xf numFmtId="0" fontId="48" fillId="0" borderId="1" xfId="0" applyFont="1" applyBorder="1"/>
    <xf numFmtId="10" fontId="22" fillId="0" borderId="1" xfId="0" applyNumberFormat="1" applyFont="1" applyBorder="1" applyAlignment="1">
      <alignment horizontal="center"/>
    </xf>
    <xf numFmtId="10" fontId="22" fillId="0" borderId="13" xfId="0" applyNumberFormat="1" applyFont="1" applyBorder="1" applyAlignment="1">
      <alignment horizontal="center"/>
    </xf>
    <xf numFmtId="0" fontId="2" fillId="0" borderId="1" xfId="0" applyFont="1" applyBorder="1" applyAlignment="1">
      <alignment wrapText="1"/>
    </xf>
    <xf numFmtId="10" fontId="2" fillId="0" borderId="1" xfId="0" applyNumberFormat="1" applyFont="1" applyBorder="1" applyAlignment="1">
      <alignment horizontal="center" wrapText="1"/>
    </xf>
    <xf numFmtId="2" fontId="2" fillId="0" borderId="1" xfId="0" applyNumberFormat="1" applyFont="1" applyBorder="1" applyAlignment="1">
      <alignment horizontal="center" wrapText="1"/>
    </xf>
    <xf numFmtId="0" fontId="33" fillId="0" borderId="0" xfId="0" applyFont="1" applyAlignment="1">
      <alignment horizontal="left"/>
    </xf>
    <xf numFmtId="10" fontId="33" fillId="0" borderId="0" xfId="0" applyNumberFormat="1" applyFont="1"/>
    <xf numFmtId="2" fontId="33" fillId="0" borderId="0" xfId="0" applyNumberFormat="1" applyFont="1"/>
    <xf numFmtId="10" fontId="38" fillId="0" borderId="0" xfId="0" applyNumberFormat="1" applyFont="1"/>
    <xf numFmtId="170" fontId="62" fillId="4" borderId="1" xfId="0" applyNumberFormat="1" applyFont="1" applyFill="1" applyBorder="1" applyAlignment="1">
      <alignment horizontal="right" vertical="top" wrapText="1"/>
    </xf>
    <xf numFmtId="44" fontId="25" fillId="0" borderId="0" xfId="0" applyNumberFormat="1" applyFont="1"/>
    <xf numFmtId="2" fontId="25" fillId="0" borderId="1" xfId="0" applyNumberFormat="1" applyFont="1" applyBorder="1" applyAlignment="1">
      <alignment horizontal="center"/>
    </xf>
    <xf numFmtId="0" fontId="63" fillId="0" borderId="0" xfId="0" applyFont="1"/>
    <xf numFmtId="9" fontId="0" fillId="0" borderId="0" xfId="0" applyNumberFormat="1"/>
    <xf numFmtId="0" fontId="0" fillId="0" borderId="1" xfId="0" applyBorder="1" applyAlignment="1">
      <alignment horizontal="left"/>
    </xf>
    <xf numFmtId="0" fontId="2" fillId="0" borderId="0" xfId="0" applyFont="1" applyAlignment="1">
      <alignment horizontal="left"/>
    </xf>
    <xf numFmtId="0" fontId="0" fillId="0" borderId="18" xfId="0" applyBorder="1" applyAlignment="1">
      <alignment horizontal="left"/>
    </xf>
    <xf numFmtId="10" fontId="0" fillId="12" borderId="1" xfId="0" applyNumberFormat="1" applyFill="1" applyBorder="1" applyAlignment="1">
      <alignment horizontal="center"/>
    </xf>
    <xf numFmtId="0" fontId="2" fillId="0" borderId="0" xfId="0" applyFont="1" applyAlignment="1">
      <alignment horizontal="center"/>
    </xf>
    <xf numFmtId="0" fontId="2" fillId="12" borderId="1" xfId="0" applyFont="1" applyFill="1" applyBorder="1" applyAlignment="1">
      <alignment horizontal="center"/>
    </xf>
    <xf numFmtId="0" fontId="0" fillId="0" borderId="13" xfId="0" applyBorder="1" applyAlignment="1">
      <alignment horizontal="left"/>
    </xf>
    <xf numFmtId="0" fontId="2" fillId="0" borderId="1" xfId="0" applyFont="1" applyBorder="1" applyAlignment="1">
      <alignment horizontal="left"/>
    </xf>
    <xf numFmtId="2" fontId="0" fillId="12" borderId="1" xfId="0" applyNumberFormat="1" applyFill="1" applyBorder="1" applyAlignment="1">
      <alignment horizontal="center"/>
    </xf>
    <xf numFmtId="0" fontId="0" fillId="4" borderId="1" xfId="0" applyFill="1" applyBorder="1" applyAlignment="1">
      <alignment horizontal="center"/>
    </xf>
    <xf numFmtId="2" fontId="0" fillId="4" borderId="1" xfId="0" applyNumberFormat="1" applyFill="1" applyBorder="1" applyAlignment="1">
      <alignment horizontal="center"/>
    </xf>
    <xf numFmtId="9" fontId="0" fillId="0" borderId="1" xfId="0" applyNumberFormat="1" applyBorder="1"/>
    <xf numFmtId="10" fontId="64" fillId="10" borderId="1" xfId="0" applyNumberFormat="1" applyFont="1" applyFill="1" applyBorder="1" applyAlignment="1">
      <alignment horizontal="center"/>
    </xf>
    <xf numFmtId="44" fontId="0" fillId="10" borderId="1" xfId="0" applyNumberFormat="1" applyFill="1" applyBorder="1" applyAlignment="1">
      <alignment horizontal="center"/>
    </xf>
    <xf numFmtId="9" fontId="0" fillId="12" borderId="1" xfId="0" applyNumberFormat="1" applyFill="1" applyBorder="1" applyAlignment="1">
      <alignment horizontal="center"/>
    </xf>
    <xf numFmtId="44" fontId="0" fillId="10" borderId="1" xfId="3" applyNumberFormat="1" applyFont="1" applyFill="1" applyBorder="1" applyAlignment="1">
      <alignment horizontal="center"/>
    </xf>
    <xf numFmtId="10" fontId="0" fillId="10" borderId="1" xfId="0" applyNumberFormat="1" applyFill="1" applyBorder="1" applyAlignment="1">
      <alignment horizontal="center"/>
    </xf>
    <xf numFmtId="2" fontId="0" fillId="10" borderId="1" xfId="0" applyNumberFormat="1" applyFill="1" applyBorder="1" applyAlignment="1">
      <alignment horizontal="center"/>
    </xf>
    <xf numFmtId="10" fontId="0" fillId="4" borderId="1" xfId="0" applyNumberFormat="1" applyFill="1" applyBorder="1" applyAlignment="1">
      <alignment horizontal="center"/>
    </xf>
    <xf numFmtId="44" fontId="0" fillId="0" borderId="0" xfId="0" applyNumberFormat="1" applyAlignment="1">
      <alignment horizontal="center"/>
    </xf>
    <xf numFmtId="0" fontId="25" fillId="0" borderId="10" xfId="0" applyFont="1" applyBorder="1"/>
    <xf numFmtId="44" fontId="25" fillId="10" borderId="1" xfId="0" applyNumberFormat="1" applyFont="1" applyFill="1" applyBorder="1"/>
    <xf numFmtId="0" fontId="67" fillId="0" borderId="0" xfId="0" applyFont="1"/>
    <xf numFmtId="0" fontId="21" fillId="0" borderId="13" xfId="0" applyFont="1" applyBorder="1" applyAlignment="1">
      <alignment horizontal="center"/>
    </xf>
    <xf numFmtId="10" fontId="48" fillId="0" borderId="13" xfId="3" applyNumberFormat="1" applyFont="1" applyBorder="1" applyAlignment="1">
      <alignment horizontal="center"/>
    </xf>
    <xf numFmtId="10" fontId="1" fillId="0" borderId="13" xfId="3" applyNumberFormat="1" applyFont="1" applyBorder="1" applyAlignment="1">
      <alignment horizontal="center"/>
    </xf>
    <xf numFmtId="0" fontId="68" fillId="0" borderId="1" xfId="0" applyFont="1" applyBorder="1"/>
    <xf numFmtId="0" fontId="68" fillId="0" borderId="1" xfId="0" applyFont="1" applyBorder="1" applyAlignment="1">
      <alignment horizontal="center"/>
    </xf>
    <xf numFmtId="10" fontId="0" fillId="0" borderId="0" xfId="0" applyNumberFormat="1" applyAlignment="1">
      <alignment horizontal="center"/>
    </xf>
    <xf numFmtId="0" fontId="68" fillId="0" borderId="1" xfId="0" applyFont="1" applyBorder="1" applyAlignment="1">
      <alignment horizontal="center" wrapText="1"/>
    </xf>
    <xf numFmtId="44" fontId="0" fillId="0" borderId="1" xfId="0" applyNumberFormat="1" applyBorder="1" applyAlignment="1">
      <alignment horizontal="center"/>
    </xf>
    <xf numFmtId="172" fontId="0" fillId="12" borderId="1" xfId="0" applyNumberFormat="1" applyFill="1" applyBorder="1" applyAlignment="1">
      <alignment horizontal="center"/>
    </xf>
    <xf numFmtId="172" fontId="0" fillId="4" borderId="1" xfId="0" applyNumberFormat="1" applyFill="1" applyBorder="1" applyAlignment="1">
      <alignment horizontal="center"/>
    </xf>
    <xf numFmtId="44" fontId="22" fillId="6" borderId="3" xfId="2" applyFont="1" applyFill="1" applyBorder="1"/>
    <xf numFmtId="44" fontId="22" fillId="6" borderId="3" xfId="2" applyFont="1" applyFill="1" applyBorder="1" applyAlignment="1">
      <alignment horizontal="center"/>
    </xf>
    <xf numFmtId="10" fontId="22" fillId="6" borderId="14" xfId="3" applyNumberFormat="1" applyFont="1" applyFill="1" applyBorder="1"/>
    <xf numFmtId="10" fontId="22" fillId="6" borderId="14" xfId="3" applyNumberFormat="1" applyFont="1" applyFill="1" applyBorder="1" applyAlignment="1">
      <alignment horizontal="center"/>
    </xf>
    <xf numFmtId="0" fontId="70" fillId="0" borderId="0" xfId="0" applyFont="1"/>
    <xf numFmtId="0" fontId="0" fillId="0" borderId="33" xfId="0" applyBorder="1"/>
    <xf numFmtId="0" fontId="0" fillId="10" borderId="1" xfId="0" applyFill="1" applyBorder="1" applyAlignment="1">
      <alignment horizontal="center"/>
    </xf>
    <xf numFmtId="44" fontId="64" fillId="4" borderId="1" xfId="0" applyNumberFormat="1" applyFont="1" applyFill="1" applyBorder="1" applyAlignment="1">
      <alignment horizontal="center"/>
    </xf>
    <xf numFmtId="9" fontId="0" fillId="4" borderId="1" xfId="0" applyNumberFormat="1" applyFill="1" applyBorder="1" applyAlignment="1">
      <alignment horizontal="center"/>
    </xf>
    <xf numFmtId="0" fontId="69" fillId="13" borderId="1" xfId="0" applyFont="1" applyFill="1" applyBorder="1" applyAlignment="1">
      <alignment horizontal="center"/>
    </xf>
    <xf numFmtId="44" fontId="69" fillId="13" borderId="1" xfId="2" applyFont="1" applyFill="1" applyBorder="1" applyAlignment="1">
      <alignment horizontal="center"/>
    </xf>
    <xf numFmtId="44" fontId="69" fillId="13" borderId="36" xfId="2" applyFont="1" applyFill="1" applyBorder="1"/>
    <xf numFmtId="10" fontId="69" fillId="13" borderId="14" xfId="0" applyNumberFormat="1" applyFont="1" applyFill="1" applyBorder="1" applyAlignment="1">
      <alignment horizontal="center"/>
    </xf>
    <xf numFmtId="10" fontId="69" fillId="13" borderId="1" xfId="2" applyNumberFormat="1" applyFont="1" applyFill="1" applyBorder="1" applyAlignment="1">
      <alignment horizontal="center"/>
    </xf>
    <xf numFmtId="44" fontId="22" fillId="0" borderId="0" xfId="0" applyNumberFormat="1" applyFont="1" applyAlignment="1">
      <alignment horizontal="center"/>
    </xf>
    <xf numFmtId="0" fontId="69" fillId="13" borderId="0" xfId="0" applyFont="1" applyFill="1"/>
    <xf numFmtId="44" fontId="69" fillId="13" borderId="1" xfId="2" applyFont="1" applyFill="1" applyBorder="1"/>
    <xf numFmtId="0" fontId="69" fillId="13" borderId="34" xfId="0" applyFont="1" applyFill="1" applyBorder="1"/>
    <xf numFmtId="0" fontId="69" fillId="0" borderId="0" xfId="0" applyFont="1" applyAlignment="1">
      <alignment horizontal="center"/>
    </xf>
    <xf numFmtId="0" fontId="69" fillId="0" borderId="0" xfId="0" applyFont="1"/>
    <xf numFmtId="0" fontId="69" fillId="6" borderId="1" xfId="0" applyFont="1" applyFill="1" applyBorder="1"/>
    <xf numFmtId="0" fontId="69" fillId="6" borderId="1" xfId="0" applyFont="1" applyFill="1" applyBorder="1" applyAlignment="1">
      <alignment horizontal="center"/>
    </xf>
    <xf numFmtId="10" fontId="69" fillId="13" borderId="1" xfId="3" applyNumberFormat="1" applyFont="1" applyFill="1" applyBorder="1"/>
    <xf numFmtId="10" fontId="69" fillId="13" borderId="1" xfId="3" applyNumberFormat="1" applyFont="1" applyFill="1" applyBorder="1" applyAlignment="1">
      <alignment horizontal="center"/>
    </xf>
    <xf numFmtId="17" fontId="72" fillId="13" borderId="37" xfId="0" applyNumberFormat="1" applyFont="1" applyFill="1" applyBorder="1"/>
    <xf numFmtId="0" fontId="73" fillId="13" borderId="37" xfId="0" applyFont="1" applyFill="1" applyBorder="1"/>
    <xf numFmtId="0" fontId="74" fillId="13" borderId="37" xfId="0" applyFont="1" applyFill="1" applyBorder="1" applyAlignment="1">
      <alignment horizontal="center"/>
    </xf>
    <xf numFmtId="16" fontId="74" fillId="13" borderId="37" xfId="0" applyNumberFormat="1" applyFont="1" applyFill="1" applyBorder="1" applyAlignment="1">
      <alignment horizontal="center"/>
    </xf>
    <xf numFmtId="168" fontId="73" fillId="13" borderId="37" xfId="2" applyNumberFormat="1" applyFont="1" applyFill="1" applyBorder="1" applyAlignment="1">
      <alignment horizontal="center"/>
    </xf>
    <xf numFmtId="10" fontId="73" fillId="13" borderId="37" xfId="0" applyNumberFormat="1" applyFont="1" applyFill="1" applyBorder="1" applyAlignment="1">
      <alignment horizontal="center"/>
    </xf>
    <xf numFmtId="0" fontId="73" fillId="13" borderId="37" xfId="0" applyFont="1" applyFill="1" applyBorder="1" applyAlignment="1">
      <alignment horizontal="center"/>
    </xf>
    <xf numFmtId="0" fontId="73" fillId="13" borderId="37" xfId="0" applyFont="1" applyFill="1" applyBorder="1" applyAlignment="1">
      <alignment horizontal="left" wrapText="1"/>
    </xf>
    <xf numFmtId="0" fontId="73" fillId="13" borderId="37" xfId="0" applyFont="1" applyFill="1" applyBorder="1" applyAlignment="1">
      <alignment wrapText="1"/>
    </xf>
    <xf numFmtId="2" fontId="73" fillId="13" borderId="37" xfId="0" applyNumberFormat="1" applyFont="1" applyFill="1" applyBorder="1"/>
    <xf numFmtId="2" fontId="73" fillId="13" borderId="37" xfId="0" applyNumberFormat="1" applyFont="1" applyFill="1" applyBorder="1" applyAlignment="1">
      <alignment horizontal="left"/>
    </xf>
    <xf numFmtId="10" fontId="73" fillId="13" borderId="37" xfId="3" applyNumberFormat="1" applyFont="1" applyFill="1" applyBorder="1" applyAlignment="1">
      <alignment horizontal="right"/>
    </xf>
    <xf numFmtId="10" fontId="73" fillId="13" borderId="37" xfId="3" applyNumberFormat="1" applyFont="1" applyFill="1" applyBorder="1" applyAlignment="1">
      <alignment horizontal="center"/>
    </xf>
    <xf numFmtId="10" fontId="73" fillId="13" borderId="37" xfId="3" applyNumberFormat="1" applyFont="1" applyFill="1" applyBorder="1" applyAlignment="1">
      <alignment horizontal="left"/>
    </xf>
    <xf numFmtId="0" fontId="74" fillId="13" borderId="37" xfId="0" applyFont="1" applyFill="1" applyBorder="1"/>
    <xf numFmtId="164" fontId="74" fillId="13" borderId="37" xfId="0" applyNumberFormat="1" applyFont="1" applyFill="1" applyBorder="1" applyAlignment="1">
      <alignment horizontal="center"/>
    </xf>
    <xf numFmtId="0" fontId="73" fillId="13" borderId="37" xfId="0" applyFont="1" applyFill="1" applyBorder="1" applyAlignment="1">
      <alignment horizontal="left"/>
    </xf>
    <xf numFmtId="168" fontId="73" fillId="13" borderId="37" xfId="2" applyNumberFormat="1" applyFont="1" applyFill="1" applyBorder="1"/>
    <xf numFmtId="10" fontId="73" fillId="13" borderId="37" xfId="0" applyNumberFormat="1" applyFont="1" applyFill="1" applyBorder="1" applyAlignment="1">
      <alignment horizontal="left"/>
    </xf>
    <xf numFmtId="43" fontId="73" fillId="13" borderId="37" xfId="0" applyNumberFormat="1" applyFont="1" applyFill="1" applyBorder="1"/>
    <xf numFmtId="164" fontId="73" fillId="13" borderId="37" xfId="0" applyNumberFormat="1" applyFont="1" applyFill="1" applyBorder="1" applyAlignment="1">
      <alignment horizontal="left"/>
    </xf>
    <xf numFmtId="172" fontId="73" fillId="13" borderId="37" xfId="2" applyNumberFormat="1" applyFont="1" applyFill="1" applyBorder="1"/>
    <xf numFmtId="172" fontId="73" fillId="13" borderId="37" xfId="2" applyNumberFormat="1" applyFont="1" applyFill="1" applyBorder="1" applyAlignment="1">
      <alignment horizontal="center"/>
    </xf>
    <xf numFmtId="0" fontId="26" fillId="0" borderId="0" xfId="0" applyFont="1"/>
    <xf numFmtId="0" fontId="24" fillId="0" borderId="34" xfId="0" applyFont="1" applyBorder="1" applyAlignment="1">
      <alignment horizontal="center"/>
    </xf>
    <xf numFmtId="0" fontId="24" fillId="0" borderId="9"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24" fillId="0" borderId="10" xfId="0" applyFont="1" applyBorder="1" applyAlignment="1">
      <alignment horizontal="center"/>
    </xf>
    <xf numFmtId="0" fontId="24" fillId="0" borderId="6" xfId="0" applyFont="1" applyBorder="1" applyAlignment="1">
      <alignment horizontal="center"/>
    </xf>
    <xf numFmtId="0" fontId="24" fillId="0" borderId="7" xfId="0" applyFont="1" applyBorder="1" applyAlignment="1">
      <alignment horizontal="center"/>
    </xf>
    <xf numFmtId="0" fontId="73" fillId="13" borderId="37" xfId="0" applyFont="1" applyFill="1" applyBorder="1" applyAlignment="1">
      <alignment horizontal="left"/>
    </xf>
    <xf numFmtId="0" fontId="73" fillId="13" borderId="37" xfId="0" applyFont="1" applyFill="1" applyBorder="1" applyAlignment="1">
      <alignment horizontal="left" vertical="top" wrapText="1"/>
    </xf>
    <xf numFmtId="0" fontId="72" fillId="13" borderId="37" xfId="0" applyFont="1" applyFill="1" applyBorder="1" applyAlignment="1">
      <alignment horizontal="left" vertical="top" wrapText="1"/>
    </xf>
    <xf numFmtId="0" fontId="51" fillId="0" borderId="16" xfId="0" applyFont="1" applyBorder="1" applyAlignment="1">
      <alignment horizontal="left" wrapText="1"/>
    </xf>
    <xf numFmtId="0" fontId="52" fillId="0" borderId="16" xfId="0" applyFont="1" applyBorder="1" applyAlignment="1">
      <alignment horizontal="left" wrapText="1"/>
    </xf>
    <xf numFmtId="0" fontId="52" fillId="0" borderId="17" xfId="0" applyFont="1" applyBorder="1" applyAlignment="1">
      <alignment horizontal="left" wrapText="1"/>
    </xf>
    <xf numFmtId="0" fontId="52" fillId="0" borderId="0" xfId="0" applyFont="1" applyAlignment="1">
      <alignment horizontal="left" wrapText="1"/>
    </xf>
    <xf numFmtId="0" fontId="52" fillId="0" borderId="21" xfId="0" applyFont="1" applyBorder="1" applyAlignment="1">
      <alignment horizontal="left" wrapText="1"/>
    </xf>
    <xf numFmtId="0" fontId="52" fillId="0" borderId="35" xfId="0" applyFont="1" applyBorder="1" applyAlignment="1">
      <alignment horizontal="left" wrapText="1"/>
    </xf>
    <xf numFmtId="0" fontId="52" fillId="0" borderId="30" xfId="0" applyFont="1" applyBorder="1" applyAlignment="1">
      <alignment horizontal="left" wrapText="1"/>
    </xf>
    <xf numFmtId="0" fontId="43" fillId="0" borderId="16" xfId="0" applyFont="1" applyBorder="1" applyAlignment="1">
      <alignment horizontal="left" vertical="center" wrapText="1"/>
    </xf>
    <xf numFmtId="0" fontId="43" fillId="0" borderId="17" xfId="0" applyFont="1" applyBorder="1" applyAlignment="1">
      <alignment horizontal="left" vertical="center" wrapText="1"/>
    </xf>
    <xf numFmtId="0" fontId="43" fillId="0" borderId="0" xfId="0" applyFont="1" applyAlignment="1">
      <alignment horizontal="left" vertical="center" wrapText="1"/>
    </xf>
    <xf numFmtId="0" fontId="43" fillId="0" borderId="21" xfId="0" applyFont="1" applyBorder="1" applyAlignment="1">
      <alignment horizontal="left" vertical="center" wrapText="1"/>
    </xf>
    <xf numFmtId="0" fontId="43" fillId="0" borderId="35" xfId="0" applyFont="1" applyBorder="1" applyAlignment="1">
      <alignment horizontal="left" vertical="center" wrapText="1"/>
    </xf>
    <xf numFmtId="0" fontId="43" fillId="0" borderId="30" xfId="0" applyFont="1" applyBorder="1" applyAlignment="1">
      <alignment horizontal="left" vertical="center" wrapText="1"/>
    </xf>
    <xf numFmtId="0" fontId="53" fillId="0" borderId="16" xfId="0" applyFont="1" applyBorder="1" applyAlignment="1">
      <alignment horizontal="left" vertical="center" wrapText="1"/>
    </xf>
    <xf numFmtId="0" fontId="48" fillId="0" borderId="16" xfId="0" applyFont="1" applyBorder="1" applyAlignment="1">
      <alignment horizontal="left" vertical="center" wrapText="1"/>
    </xf>
    <xf numFmtId="0" fontId="48" fillId="0" borderId="17" xfId="0" applyFont="1" applyBorder="1" applyAlignment="1">
      <alignment horizontal="left" vertical="center" wrapText="1"/>
    </xf>
    <xf numFmtId="0" fontId="48" fillId="0" borderId="0" xfId="0" applyFont="1" applyAlignment="1">
      <alignment horizontal="left" vertical="center" wrapText="1"/>
    </xf>
    <xf numFmtId="0" fontId="48" fillId="0" borderId="21" xfId="0" applyFont="1" applyBorder="1" applyAlignment="1">
      <alignment horizontal="left" vertical="center" wrapText="1"/>
    </xf>
    <xf numFmtId="0" fontId="48" fillId="0" borderId="35" xfId="0" applyFont="1" applyBorder="1" applyAlignment="1">
      <alignment horizontal="left" vertical="center" wrapText="1"/>
    </xf>
    <xf numFmtId="0" fontId="48" fillId="0" borderId="30" xfId="0" applyFont="1" applyBorder="1" applyAlignment="1">
      <alignment horizontal="left" vertical="center" wrapText="1"/>
    </xf>
    <xf numFmtId="168" fontId="73" fillId="13" borderId="37" xfId="2" applyNumberFormat="1" applyFont="1" applyFill="1" applyBorder="1" applyAlignment="1">
      <alignment horizontal="right"/>
    </xf>
    <xf numFmtId="0" fontId="73" fillId="13" borderId="37" xfId="0" applyFont="1" applyFill="1" applyBorder="1" applyAlignment="1">
      <alignment horizontal="right"/>
    </xf>
    <xf numFmtId="0" fontId="71" fillId="13" borderId="10" xfId="0" applyFont="1" applyFill="1" applyBorder="1" applyAlignment="1">
      <alignment horizontal="center"/>
    </xf>
    <xf numFmtId="0" fontId="71" fillId="13" borderId="6" xfId="0" applyFont="1" applyFill="1" applyBorder="1" applyAlignment="1">
      <alignment horizontal="center"/>
    </xf>
    <xf numFmtId="0" fontId="71" fillId="13" borderId="7" xfId="0" applyFont="1" applyFill="1" applyBorder="1" applyAlignment="1">
      <alignment horizontal="center"/>
    </xf>
    <xf numFmtId="0" fontId="72" fillId="13" borderId="37" xfId="0" applyFont="1" applyFill="1" applyBorder="1" applyAlignment="1">
      <alignment horizontal="center"/>
    </xf>
    <xf numFmtId="10" fontId="54" fillId="0" borderId="34" xfId="0" applyNumberFormat="1" applyFont="1" applyBorder="1" applyAlignment="1">
      <alignment horizontal="center"/>
    </xf>
    <xf numFmtId="10" fontId="54" fillId="0" borderId="31" xfId="0" applyNumberFormat="1" applyFont="1" applyBorder="1" applyAlignment="1">
      <alignment horizontal="center"/>
    </xf>
    <xf numFmtId="0" fontId="12" fillId="11" borderId="0" xfId="0" applyFont="1" applyFill="1" applyAlignment="1">
      <alignment horizontal="center" vertical="center" wrapText="1"/>
    </xf>
    <xf numFmtId="0" fontId="2" fillId="12" borderId="1" xfId="0" applyFont="1" applyFill="1" applyBorder="1" applyAlignment="1">
      <alignment horizontal="left" vertical="top" wrapText="1"/>
    </xf>
    <xf numFmtId="164" fontId="0" fillId="0" borderId="20" xfId="0" applyNumberFormat="1" applyBorder="1" applyAlignment="1">
      <alignment horizontal="center" vertical="center" wrapText="1"/>
    </xf>
    <xf numFmtId="0" fontId="0" fillId="0" borderId="0" xfId="0" applyFont="1" applyFill="1" applyBorder="1" applyAlignment="1">
      <alignment horizontal="left"/>
    </xf>
    <xf numFmtId="172" fontId="0" fillId="0" borderId="0" xfId="0" applyNumberFormat="1" applyFont="1" applyFill="1" applyBorder="1" applyAlignment="1">
      <alignment horizontal="center"/>
    </xf>
    <xf numFmtId="172" fontId="61" fillId="4" borderId="1" xfId="0" applyNumberFormat="1" applyFont="1" applyFill="1" applyBorder="1" applyAlignment="1">
      <alignment horizontal="center"/>
    </xf>
    <xf numFmtId="164" fontId="61" fillId="0" borderId="0" xfId="0" applyNumberFormat="1" applyFont="1"/>
    <xf numFmtId="0" fontId="75" fillId="13" borderId="0" xfId="0" applyFont="1" applyFill="1" applyAlignment="1">
      <alignment horizontal="center"/>
    </xf>
    <xf numFmtId="10" fontId="22" fillId="0" borderId="0" xfId="0" applyNumberFormat="1" applyFont="1" applyAlignment="1">
      <alignment horizontal="center"/>
    </xf>
    <xf numFmtId="0" fontId="61" fillId="0" borderId="0" xfId="0" applyFont="1" applyFill="1" applyBorder="1" applyAlignment="1">
      <alignment horizontal="left"/>
    </xf>
    <xf numFmtId="0" fontId="76" fillId="0" borderId="0" xfId="0" applyFont="1"/>
    <xf numFmtId="44" fontId="77" fillId="6" borderId="1" xfId="2" applyFont="1" applyFill="1" applyBorder="1"/>
    <xf numFmtId="10" fontId="22" fillId="10" borderId="1" xfId="3" applyNumberFormat="1" applyFont="1" applyFill="1" applyBorder="1" applyAlignment="1">
      <alignment horizontal="center"/>
    </xf>
    <xf numFmtId="0" fontId="73" fillId="10" borderId="37" xfId="0" applyFont="1" applyFill="1" applyBorder="1" applyAlignment="1">
      <alignment horizontal="left"/>
    </xf>
    <xf numFmtId="44" fontId="71" fillId="10" borderId="37" xfId="2" applyFont="1" applyFill="1" applyBorder="1"/>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19</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48</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20</xdr:col>
      <xdr:colOff>30480</xdr:colOff>
      <xdr:row>13</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20</xdr:col>
      <xdr:colOff>10160</xdr:colOff>
      <xdr:row>7</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1023374</xdr:colOff>
      <xdr:row>9</xdr:row>
      <xdr:rowOff>580512</xdr:rowOff>
    </xdr:from>
    <xdr:to>
      <xdr:col>3</xdr:col>
      <xdr:colOff>350274</xdr:colOff>
      <xdr:row>9</xdr:row>
      <xdr:rowOff>580512</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3676035" y="3448254"/>
          <a:ext cx="668594"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10</xdr:row>
      <xdr:rowOff>101600</xdr:rowOff>
    </xdr:from>
    <xdr:to>
      <xdr:col>3</xdr:col>
      <xdr:colOff>381000</xdr:colOff>
      <xdr:row>10</xdr:row>
      <xdr:rowOff>101600</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3594100" y="20320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13</xdr:row>
      <xdr:rowOff>133927</xdr:rowOff>
    </xdr:from>
    <xdr:to>
      <xdr:col>3</xdr:col>
      <xdr:colOff>381000</xdr:colOff>
      <xdr:row>13</xdr:row>
      <xdr:rowOff>133927</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3592368" y="3438813"/>
          <a:ext cx="656359"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931476</xdr:colOff>
      <xdr:row>8</xdr:row>
      <xdr:rowOff>592747</xdr:rowOff>
    </xdr:from>
    <xdr:to>
      <xdr:col>3</xdr:col>
      <xdr:colOff>258376</xdr:colOff>
      <xdr:row>8</xdr:row>
      <xdr:rowOff>592747</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3584137" y="2733312"/>
          <a:ext cx="668594"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EA69-8F8D-2646-BE26-948CDC6CEAB9}">
  <dimension ref="A1:H51"/>
  <sheetViews>
    <sheetView tabSelected="1" zoomScale="114" zoomScaleNormal="150" workbookViewId="0">
      <selection activeCell="C8" sqref="C8"/>
    </sheetView>
  </sheetViews>
  <sheetFormatPr baseColWidth="10" defaultRowHeight="13"/>
  <cols>
    <col min="1" max="1" width="55.5" customWidth="1"/>
    <col min="2" max="2" width="33.1640625" style="155" customWidth="1"/>
    <col min="4" max="4" width="39.1640625" customWidth="1"/>
    <col min="5" max="5" width="23.6640625" style="155" customWidth="1"/>
    <col min="6" max="6" width="18.5" customWidth="1"/>
  </cols>
  <sheetData>
    <row r="1" spans="1:8" s="2" customFormat="1">
      <c r="A1" s="259" t="s">
        <v>674</v>
      </c>
      <c r="B1" s="155"/>
      <c r="C1"/>
      <c r="D1" s="256" t="s">
        <v>825</v>
      </c>
      <c r="E1" s="256" t="s">
        <v>799</v>
      </c>
      <c r="F1" s="2" t="s">
        <v>803</v>
      </c>
      <c r="G1" s="2" t="s">
        <v>804</v>
      </c>
    </row>
    <row r="2" spans="1:8">
      <c r="A2" s="2" t="s">
        <v>658</v>
      </c>
      <c r="B2" s="281"/>
      <c r="C2" s="2"/>
      <c r="D2" s="279" t="s">
        <v>800</v>
      </c>
      <c r="E2" s="308">
        <f>F2*$F$5</f>
        <v>21.87</v>
      </c>
      <c r="F2">
        <v>3</v>
      </c>
      <c r="G2">
        <v>0.1</v>
      </c>
    </row>
    <row r="3" spans="1:8">
      <c r="A3" s="259" t="s">
        <v>786</v>
      </c>
      <c r="D3" s="279" t="s">
        <v>801</v>
      </c>
      <c r="E3" s="308">
        <f>F3*$F$5</f>
        <v>51.03</v>
      </c>
      <c r="F3">
        <v>7</v>
      </c>
      <c r="G3">
        <v>0.7</v>
      </c>
    </row>
    <row r="4" spans="1:8">
      <c r="A4" s="1" t="s">
        <v>823</v>
      </c>
      <c r="B4" s="286" t="s">
        <v>805</v>
      </c>
      <c r="D4" s="279" t="s">
        <v>802</v>
      </c>
      <c r="E4" s="308">
        <f>F4*$F$5</f>
        <v>72.900000000000006</v>
      </c>
      <c r="F4">
        <v>10</v>
      </c>
      <c r="G4">
        <v>0.1</v>
      </c>
    </row>
    <row r="5" spans="1:8">
      <c r="A5" s="1" t="s">
        <v>824</v>
      </c>
      <c r="B5" s="290">
        <f>VLOOKUP(B4,D2:E5,2)*1000</f>
        <v>13559.399999999998</v>
      </c>
      <c r="D5" s="405" t="s">
        <v>805</v>
      </c>
      <c r="E5" s="401">
        <f>0.3*G5</f>
        <v>13.559399999999998</v>
      </c>
      <c r="F5">
        <v>7.29</v>
      </c>
      <c r="G5" s="402">
        <f>(G2*E2+G3*E3+G4*E4)</f>
        <v>45.197999999999993</v>
      </c>
      <c r="H5" s="259" t="s">
        <v>806</v>
      </c>
    </row>
    <row r="6" spans="1:8">
      <c r="B6" s="296"/>
      <c r="E6" s="400"/>
    </row>
    <row r="7" spans="1:8">
      <c r="A7" s="259" t="s">
        <v>787</v>
      </c>
      <c r="B7" s="307"/>
      <c r="D7" s="399"/>
      <c r="E7" s="400"/>
    </row>
    <row r="8" spans="1:8">
      <c r="A8" s="1" t="s">
        <v>820</v>
      </c>
      <c r="B8" s="317" t="s">
        <v>821</v>
      </c>
    </row>
    <row r="9" spans="1:8">
      <c r="A9" s="1"/>
      <c r="B9" s="318"/>
      <c r="D9" s="256" t="s">
        <v>819</v>
      </c>
      <c r="E9" s="256" t="s">
        <v>822</v>
      </c>
    </row>
    <row r="10" spans="1:8">
      <c r="A10" s="1"/>
      <c r="B10" s="318"/>
      <c r="D10" s="279"/>
      <c r="E10" s="308"/>
    </row>
    <row r="11" spans="1:8">
      <c r="A11" s="1"/>
      <c r="B11" s="309"/>
      <c r="D11" s="279"/>
      <c r="E11" s="308"/>
    </row>
    <row r="12" spans="1:8">
      <c r="A12" s="1"/>
      <c r="B12" s="290"/>
      <c r="D12" s="279"/>
      <c r="E12" s="308"/>
    </row>
    <row r="13" spans="1:8">
      <c r="A13" s="1"/>
      <c r="B13" s="290"/>
      <c r="D13" s="279"/>
      <c r="E13" s="308"/>
    </row>
    <row r="14" spans="1:8">
      <c r="A14" s="1"/>
      <c r="B14" s="290"/>
      <c r="D14" s="279"/>
      <c r="E14" s="308"/>
    </row>
    <row r="15" spans="1:8">
      <c r="A15" s="315"/>
      <c r="B15" s="316"/>
      <c r="D15" s="277" t="s">
        <v>821</v>
      </c>
      <c r="E15" s="309">
        <v>0</v>
      </c>
    </row>
    <row r="16" spans="1:8">
      <c r="A16" s="259" t="s">
        <v>511</v>
      </c>
    </row>
    <row r="17" spans="1:5">
      <c r="A17" s="1" t="s">
        <v>826</v>
      </c>
      <c r="B17" s="286" t="s">
        <v>655</v>
      </c>
      <c r="D17" s="284" t="s">
        <v>807</v>
      </c>
      <c r="E17" s="282" t="s">
        <v>653</v>
      </c>
    </row>
    <row r="18" spans="1:5">
      <c r="A18" s="1" t="s">
        <v>808</v>
      </c>
      <c r="B18" s="293">
        <f>VLOOKUP(B17,D18:E24,2)</f>
        <v>0.44</v>
      </c>
      <c r="D18" s="277"/>
      <c r="E18" s="280"/>
    </row>
    <row r="19" spans="1:5" s="2" customFormat="1">
      <c r="A19" s="1"/>
      <c r="B19" s="295"/>
      <c r="C19"/>
      <c r="D19" s="277"/>
      <c r="E19" s="280"/>
    </row>
    <row r="20" spans="1:5" s="2" customFormat="1">
      <c r="A20" s="1"/>
      <c r="B20" s="295"/>
      <c r="C20"/>
      <c r="D20" s="277"/>
      <c r="E20" s="280"/>
    </row>
    <row r="21" spans="1:5">
      <c r="A21" s="1"/>
      <c r="B21" s="295"/>
      <c r="D21" s="277"/>
      <c r="E21" s="280"/>
    </row>
    <row r="22" spans="1:5">
      <c r="A22" s="1" t="s">
        <v>809</v>
      </c>
      <c r="B22" s="292">
        <f>'Valuation output'!L12</f>
        <v>1600.7993383213259</v>
      </c>
      <c r="D22" s="277"/>
      <c r="E22" s="280"/>
    </row>
    <row r="23" spans="1:5">
      <c r="D23" s="277"/>
      <c r="E23" s="280"/>
    </row>
    <row r="24" spans="1:5">
      <c r="A24" s="259" t="s">
        <v>659</v>
      </c>
      <c r="D24" s="277" t="s">
        <v>655</v>
      </c>
      <c r="E24" s="295">
        <v>0.44</v>
      </c>
    </row>
    <row r="25" spans="1:5">
      <c r="A25" s="1" t="s">
        <v>810</v>
      </c>
      <c r="B25" s="286" t="s">
        <v>656</v>
      </c>
    </row>
    <row r="26" spans="1:5">
      <c r="A26" s="1" t="s">
        <v>675</v>
      </c>
      <c r="B26" s="294">
        <f>VLOOKUP(B25,D27:E33,2)</f>
        <v>1.2</v>
      </c>
      <c r="D26" s="278" t="s">
        <v>651</v>
      </c>
      <c r="E26" s="282" t="s">
        <v>652</v>
      </c>
    </row>
    <row r="27" spans="1:5">
      <c r="A27" s="1" t="s">
        <v>827</v>
      </c>
      <c r="B27" s="289">
        <f>'Valuation output'!L47</f>
        <v>0.28834431607908173</v>
      </c>
      <c r="D27" s="283"/>
      <c r="E27" s="285"/>
    </row>
    <row r="28" spans="1:5">
      <c r="D28" s="283"/>
      <c r="E28" s="285"/>
    </row>
    <row r="29" spans="1:5">
      <c r="A29" s="259" t="s">
        <v>660</v>
      </c>
      <c r="C29" s="2"/>
      <c r="D29" s="283"/>
      <c r="E29" s="285"/>
    </row>
    <row r="30" spans="1:5">
      <c r="A30" s="1" t="s">
        <v>828</v>
      </c>
      <c r="B30" s="286" t="s">
        <v>657</v>
      </c>
      <c r="C30" s="2"/>
      <c r="D30" s="277"/>
      <c r="E30" s="285"/>
    </row>
    <row r="31" spans="1:5">
      <c r="A31" s="1" t="s">
        <v>661</v>
      </c>
      <c r="B31" s="293">
        <f>VLOOKUP(B30,D36:E41,2)</f>
        <v>0.12</v>
      </c>
      <c r="D31" s="277"/>
      <c r="E31" s="285"/>
    </row>
    <row r="32" spans="1:5">
      <c r="A32" s="1" t="s">
        <v>662</v>
      </c>
      <c r="B32" s="286" t="s">
        <v>665</v>
      </c>
      <c r="D32" s="277"/>
      <c r="E32" s="285"/>
    </row>
    <row r="33" spans="1:5">
      <c r="D33" s="277" t="s">
        <v>656</v>
      </c>
      <c r="E33" s="287">
        <v>1.2</v>
      </c>
    </row>
    <row r="34" spans="1:5">
      <c r="A34" t="s">
        <v>669</v>
      </c>
    </row>
    <row r="35" spans="1:5">
      <c r="A35" s="1" t="s">
        <v>670</v>
      </c>
      <c r="B35" s="293">
        <f>('Valuation output'!G7/'Valuation output'!B7)^(1/5)-1</f>
        <v>0.27976437532132259</v>
      </c>
      <c r="D35" s="221" t="s">
        <v>578</v>
      </c>
      <c r="E35" s="282" t="s">
        <v>654</v>
      </c>
    </row>
    <row r="36" spans="1:5">
      <c r="A36" s="1" t="s">
        <v>796</v>
      </c>
      <c r="B36" s="293">
        <f>'Valuation output'!G12/'Valuation output'!G7</f>
        <v>0.44</v>
      </c>
      <c r="D36" s="1"/>
      <c r="E36" s="280"/>
    </row>
    <row r="37" spans="1:5">
      <c r="A37" s="1" t="s">
        <v>672</v>
      </c>
      <c r="B37" s="294">
        <f>'Input sheet'!B35</f>
        <v>1.2</v>
      </c>
      <c r="D37" s="1"/>
      <c r="E37" s="280"/>
    </row>
    <row r="38" spans="1:5">
      <c r="A38" s="1" t="s">
        <v>671</v>
      </c>
      <c r="B38" s="293">
        <f>'Input sheet'!B38</f>
        <v>0.12</v>
      </c>
      <c r="D38" s="1"/>
      <c r="E38" s="280"/>
    </row>
    <row r="39" spans="1:5">
      <c r="D39" s="1"/>
      <c r="E39" s="280"/>
    </row>
    <row r="40" spans="1:5">
      <c r="A40" s="259" t="s">
        <v>673</v>
      </c>
      <c r="D40" s="1"/>
      <c r="E40" s="280"/>
    </row>
    <row r="41" spans="1:5">
      <c r="A41" s="1" t="s">
        <v>811</v>
      </c>
      <c r="B41" s="290">
        <f>'Valuation output'!B36</f>
        <v>14367.83254699051</v>
      </c>
      <c r="D41" s="1" t="s">
        <v>657</v>
      </c>
      <c r="E41" s="295">
        <v>0.12</v>
      </c>
    </row>
    <row r="42" spans="1:5">
      <c r="A42" s="1" t="s">
        <v>812</v>
      </c>
      <c r="B42" s="290">
        <f>'Valuation output'!B40</f>
        <v>81.174195180737343</v>
      </c>
    </row>
    <row r="43" spans="1:5">
      <c r="D43" s="221" t="s">
        <v>664</v>
      </c>
      <c r="E43" s="282" t="s">
        <v>663</v>
      </c>
    </row>
    <row r="44" spans="1:5">
      <c r="D44" s="1" t="s">
        <v>665</v>
      </c>
      <c r="E44" s="291">
        <v>0</v>
      </c>
    </row>
    <row r="45" spans="1:5">
      <c r="D45" s="288" t="s">
        <v>666</v>
      </c>
      <c r="E45" s="291">
        <v>0.1</v>
      </c>
    </row>
    <row r="46" spans="1:5">
      <c r="B46" s="296"/>
      <c r="D46" s="288" t="s">
        <v>667</v>
      </c>
      <c r="E46" s="291">
        <v>0.2</v>
      </c>
    </row>
    <row r="47" spans="1:5">
      <c r="D47" s="288" t="s">
        <v>668</v>
      </c>
      <c r="E47" s="291">
        <v>0.5</v>
      </c>
    </row>
    <row r="48" spans="1:5">
      <c r="D48" s="276"/>
    </row>
    <row r="51" spans="4:4">
      <c r="D51" s="249"/>
    </row>
  </sheetData>
  <dataValidations count="6">
    <dataValidation type="list" allowBlank="1" showInputMessage="1" showErrorMessage="1" sqref="B17" xr:uid="{A65457A4-57F8-4E48-8984-7EC4897EEB4D}">
      <formula1>$D$18:$D$24</formula1>
    </dataValidation>
    <dataValidation type="list" allowBlank="1" showInputMessage="1" showErrorMessage="1" sqref="B25" xr:uid="{A00B0C4F-6DAE-324D-85AC-8082D6C913B0}">
      <formula1>$D$27:$D$33</formula1>
    </dataValidation>
    <dataValidation type="list" allowBlank="1" showInputMessage="1" showErrorMessage="1" sqref="B30" xr:uid="{602B1A27-B068-9F41-91A6-B803DDE8C745}">
      <formula1>$D$36:$D$41</formula1>
    </dataValidation>
    <dataValidation type="list" allowBlank="1" showInputMessage="1" showErrorMessage="1" sqref="B32" xr:uid="{8643A020-8D37-8040-A284-1E9241EBCB33}">
      <formula1>$D$44:$D$47</formula1>
    </dataValidation>
    <dataValidation type="list" allowBlank="1" showInputMessage="1" showErrorMessage="1" sqref="B8" xr:uid="{BB65A7A8-60CC-5B4E-8E5E-8E0305A0B4B1}">
      <formula1>$D$10:$D$15</formula1>
    </dataValidation>
    <dataValidation type="list" allowBlank="1" showInputMessage="1" showErrorMessage="1" sqref="B4" xr:uid="{51CF6DB7-E427-2D49-AD56-5B5506E863F6}">
      <formula1>$D$2:$D$7</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O44" sqref="O44"/>
    </sheetView>
  </sheetViews>
  <sheetFormatPr baseColWidth="10" defaultRowHeight="13"/>
  <sheetData>
    <row r="1" spans="1:11" s="6" customFormat="1" ht="18">
      <c r="A1" s="29" t="s">
        <v>113</v>
      </c>
      <c r="B1" s="29"/>
      <c r="C1" s="29"/>
      <c r="D1" s="29"/>
      <c r="E1" s="29"/>
      <c r="F1" s="29"/>
      <c r="G1" s="29"/>
      <c r="H1" s="29"/>
      <c r="I1" s="29"/>
      <c r="J1" s="29"/>
      <c r="K1" s="29"/>
    </row>
    <row r="2" spans="1:11" s="6" customFormat="1" ht="18">
      <c r="A2" s="29" t="s">
        <v>158</v>
      </c>
      <c r="B2" s="29"/>
      <c r="C2" s="29"/>
      <c r="D2" s="29"/>
      <c r="E2" s="29"/>
      <c r="F2" s="29"/>
      <c r="G2" s="29"/>
      <c r="H2" s="29"/>
      <c r="I2" s="29"/>
      <c r="J2" s="29"/>
      <c r="K2" s="29"/>
    </row>
    <row r="3" spans="1:11" s="17" customFormat="1">
      <c r="A3" s="17" t="s">
        <v>6</v>
      </c>
    </row>
    <row r="4" spans="1:11" s="8" customFormat="1">
      <c r="A4" s="8" t="s">
        <v>114</v>
      </c>
      <c r="E4" s="33"/>
    </row>
    <row r="5" spans="1:11" s="15" customFormat="1">
      <c r="A5" s="15" t="s">
        <v>115</v>
      </c>
    </row>
    <row r="6" spans="1:11" s="8" customFormat="1">
      <c r="A6" s="30" t="s">
        <v>116</v>
      </c>
      <c r="B6" s="30" t="s">
        <v>117</v>
      </c>
      <c r="C6" s="8" t="s">
        <v>118</v>
      </c>
    </row>
    <row r="7" spans="1:11" s="8" customFormat="1">
      <c r="A7" s="30">
        <v>1</v>
      </c>
      <c r="B7" s="244"/>
    </row>
    <row r="8" spans="1:11" s="8" customFormat="1">
      <c r="A8" s="30">
        <v>2</v>
      </c>
      <c r="B8" s="244"/>
    </row>
    <row r="9" spans="1:11" s="8" customFormat="1">
      <c r="A9" s="30">
        <v>3</v>
      </c>
      <c r="B9" s="244"/>
    </row>
    <row r="10" spans="1:11" s="8" customFormat="1">
      <c r="A10" s="30">
        <v>4</v>
      </c>
      <c r="B10" s="244"/>
    </row>
    <row r="11" spans="1:11" s="8" customFormat="1">
      <c r="A11" s="30">
        <v>5</v>
      </c>
      <c r="B11" s="244"/>
    </row>
    <row r="12" spans="1:11" s="8" customFormat="1" ht="14">
      <c r="A12" s="30" t="s">
        <v>119</v>
      </c>
      <c r="B12" s="243"/>
    </row>
    <row r="13" spans="1:11" s="8" customFormat="1"/>
    <row r="14" spans="1:11" s="31" customFormat="1" ht="17" thickBot="1">
      <c r="A14" s="31" t="s">
        <v>120</v>
      </c>
    </row>
    <row r="15" spans="1:11" s="8" customFormat="1" ht="14" thickBot="1">
      <c r="A15" s="8" t="s">
        <v>121</v>
      </c>
      <c r="C15" s="70"/>
      <c r="D15" s="8" t="s">
        <v>233</v>
      </c>
    </row>
    <row r="16" spans="1:11" s="8" customFormat="1"/>
    <row r="17" spans="1:7" s="8" customFormat="1">
      <c r="D17" s="34"/>
    </row>
    <row r="18" spans="1:7" s="8" customFormat="1">
      <c r="A18" s="8" t="s">
        <v>122</v>
      </c>
      <c r="D18" s="35">
        <f>IF(B12&gt;0,ROUND(B12/AVERAGE(B7:B11),0),0)</f>
        <v>0</v>
      </c>
      <c r="E18" s="8" t="s">
        <v>123</v>
      </c>
    </row>
    <row r="19" spans="1:7" s="17" customFormat="1">
      <c r="E19" s="8" t="s">
        <v>124</v>
      </c>
    </row>
    <row r="20" spans="1:7" s="15" customFormat="1">
      <c r="A20" s="15" t="s">
        <v>125</v>
      </c>
    </row>
    <row r="21" spans="1:7" s="8" customFormat="1">
      <c r="A21" s="30" t="s">
        <v>116</v>
      </c>
      <c r="B21" s="30" t="s">
        <v>117</v>
      </c>
      <c r="C21" s="30" t="s">
        <v>126</v>
      </c>
    </row>
    <row r="22" spans="1:7" s="8" customFormat="1">
      <c r="A22" s="19">
        <f>A7</f>
        <v>1</v>
      </c>
      <c r="B22" s="28">
        <f>B7</f>
        <v>0</v>
      </c>
      <c r="C22" s="9">
        <f>B22/(1+$C$15)^A22</f>
        <v>0</v>
      </c>
    </row>
    <row r="23" spans="1:7" s="8" customFormat="1">
      <c r="A23" s="19">
        <f t="shared" ref="A23:B26" si="0">A8</f>
        <v>2</v>
      </c>
      <c r="B23" s="28">
        <f t="shared" si="0"/>
        <v>0</v>
      </c>
      <c r="C23" s="9">
        <f>B23/(1+$C$15)^A23</f>
        <v>0</v>
      </c>
    </row>
    <row r="24" spans="1:7" s="8" customFormat="1">
      <c r="A24" s="19">
        <f t="shared" si="0"/>
        <v>3</v>
      </c>
      <c r="B24" s="28">
        <f t="shared" si="0"/>
        <v>0</v>
      </c>
      <c r="C24" s="9">
        <f>B24/(1+$C$15)^A24</f>
        <v>0</v>
      </c>
    </row>
    <row r="25" spans="1:7" s="8" customFormat="1">
      <c r="A25" s="19">
        <f t="shared" si="0"/>
        <v>4</v>
      </c>
      <c r="B25" s="28">
        <f t="shared" si="0"/>
        <v>0</v>
      </c>
      <c r="C25" s="9">
        <f>B25/(1+$C$15)^A25</f>
        <v>0</v>
      </c>
    </row>
    <row r="26" spans="1:7" s="8" customFormat="1">
      <c r="A26" s="19">
        <f t="shared" si="0"/>
        <v>5</v>
      </c>
      <c r="B26" s="28">
        <f t="shared" si="0"/>
        <v>0</v>
      </c>
      <c r="C26" s="9">
        <f>B26/(1+$C$15)^A26</f>
        <v>0</v>
      </c>
    </row>
    <row r="27" spans="1:7" s="8" customFormat="1" ht="14" thickBot="1">
      <c r="A27" s="36" t="str">
        <f>A12</f>
        <v>6 and beyond</v>
      </c>
      <c r="B27" s="37">
        <f>IF(B12&gt;0,IF(D18&gt;0,B12/D18,B12),0)</f>
        <v>0</v>
      </c>
      <c r="C27" s="38">
        <f>IF(D18&gt;0,(B27*(1-(1+C15)^(-D18))/C15)/(1+$C$15)^5,B27/(1+C15)^6)</f>
        <v>0</v>
      </c>
      <c r="D27" s="8" t="s">
        <v>127</v>
      </c>
    </row>
    <row r="28" spans="1:7" s="8" customFormat="1" ht="14" thickBot="1">
      <c r="A28" s="32" t="s">
        <v>128</v>
      </c>
      <c r="B28" s="39"/>
      <c r="C28" s="40">
        <f>SUM(C22:C27)</f>
        <v>0</v>
      </c>
    </row>
    <row r="29" spans="1:7" s="8" customFormat="1"/>
    <row r="30" spans="1:7" s="8" customFormat="1">
      <c r="A30" s="15" t="s">
        <v>129</v>
      </c>
    </row>
    <row r="31" spans="1:7" s="8" customFormat="1" ht="14" thickBot="1">
      <c r="A31" s="8" t="s">
        <v>130</v>
      </c>
      <c r="F31" s="38">
        <f>C28/(5+D18)</f>
        <v>0</v>
      </c>
      <c r="G31" s="8" t="s">
        <v>131</v>
      </c>
    </row>
    <row r="32" spans="1:7" s="8" customFormat="1" ht="14" thickBot="1">
      <c r="A32" s="8" t="s">
        <v>132</v>
      </c>
      <c r="F32" s="71">
        <f>E4-F31</f>
        <v>0</v>
      </c>
      <c r="G32" s="8" t="s">
        <v>134</v>
      </c>
    </row>
    <row r="33" spans="1:7" s="8" customFormat="1" ht="14" thickBot="1">
      <c r="A33" s="8" t="s">
        <v>133</v>
      </c>
      <c r="F33" s="41">
        <f>C28</f>
        <v>0</v>
      </c>
      <c r="G33" s="8" t="s">
        <v>135</v>
      </c>
    </row>
    <row r="34" spans="1:7" ht="14">
      <c r="A34" s="8" t="s">
        <v>493</v>
      </c>
      <c r="F34" s="211">
        <f>C28/(5+D18)</f>
        <v>0</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4"/>
  <sheetViews>
    <sheetView workbookViewId="0">
      <selection activeCell="B2" sqref="B2"/>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632</v>
      </c>
      <c r="B1" s="258">
        <v>4.9599999999999998E-2</v>
      </c>
      <c r="C1" t="s">
        <v>678</v>
      </c>
    </row>
    <row r="2" spans="1:6" ht="14">
      <c r="A2" s="299" t="s">
        <v>679</v>
      </c>
      <c r="B2" s="299"/>
      <c r="C2" s="299"/>
      <c r="D2" s="299"/>
      <c r="E2" s="299"/>
      <c r="F2" s="299"/>
    </row>
    <row r="4" spans="1:6" ht="16">
      <c r="A4" s="260" t="s">
        <v>350</v>
      </c>
      <c r="B4" s="47" t="s">
        <v>585</v>
      </c>
      <c r="C4" s="260" t="s">
        <v>351</v>
      </c>
      <c r="D4" s="43" t="s">
        <v>586</v>
      </c>
      <c r="E4" s="300" t="s">
        <v>352</v>
      </c>
      <c r="F4" s="300" t="s">
        <v>520</v>
      </c>
    </row>
    <row r="5" spans="1:6" ht="16">
      <c r="A5" s="44" t="s">
        <v>482</v>
      </c>
      <c r="B5" s="47" t="s">
        <v>587</v>
      </c>
      <c r="C5" s="261">
        <v>6.0399082568807346E-3</v>
      </c>
      <c r="D5" s="261">
        <f>$B$1+E5</f>
        <v>5.8120043164007207E-2</v>
      </c>
      <c r="E5" s="264">
        <v>8.5200431640072103E-3</v>
      </c>
      <c r="F5" s="264">
        <v>0.15</v>
      </c>
    </row>
    <row r="6" spans="1:6" ht="16">
      <c r="A6" s="44" t="s">
        <v>246</v>
      </c>
      <c r="B6" s="47" t="s">
        <v>588</v>
      </c>
      <c r="C6" s="261">
        <v>5.5078211009174309E-2</v>
      </c>
      <c r="D6" s="261">
        <f t="shared" ref="D6:D69" si="0">$B$1+E6</f>
        <v>0.12729467932892288</v>
      </c>
      <c r="E6" s="264">
        <v>7.7694679328922892E-2</v>
      </c>
      <c r="F6" s="264">
        <v>0.15</v>
      </c>
    </row>
    <row r="7" spans="1:6" ht="16">
      <c r="A7" s="262" t="s">
        <v>589</v>
      </c>
      <c r="B7" s="137" t="s">
        <v>680</v>
      </c>
      <c r="C7" s="234">
        <v>0.18431551537473667</v>
      </c>
      <c r="D7" s="261">
        <f t="shared" si="0"/>
        <v>0.17451551537473667</v>
      </c>
      <c r="E7" s="301">
        <v>0.12491551537473666</v>
      </c>
      <c r="F7" s="302">
        <v>0.26</v>
      </c>
    </row>
    <row r="8" spans="1:6" ht="16">
      <c r="A8" s="44" t="s">
        <v>500</v>
      </c>
      <c r="B8" s="47" t="s">
        <v>590</v>
      </c>
      <c r="C8" s="261">
        <v>2.3296788990825688E-2</v>
      </c>
      <c r="D8" s="261">
        <f t="shared" si="0"/>
        <v>8.2463023632599233E-2</v>
      </c>
      <c r="E8" s="264">
        <v>3.2863023632599235E-2</v>
      </c>
      <c r="F8" s="264">
        <v>0.1898</v>
      </c>
    </row>
    <row r="9" spans="1:6" ht="16">
      <c r="A9" s="44" t="s">
        <v>247</v>
      </c>
      <c r="B9" s="47" t="s">
        <v>600</v>
      </c>
      <c r="C9" s="261">
        <v>7.9525458715596339E-2</v>
      </c>
      <c r="D9" s="261">
        <f t="shared" si="0"/>
        <v>0.16178056832609494</v>
      </c>
      <c r="E9" s="264">
        <v>0.11218056832609494</v>
      </c>
      <c r="F9" s="264">
        <v>0.25</v>
      </c>
    </row>
    <row r="10" spans="1:6" ht="16">
      <c r="A10" s="44" t="s">
        <v>248</v>
      </c>
      <c r="B10" s="47" t="s">
        <v>681</v>
      </c>
      <c r="C10" s="261">
        <v>0.14682729357798166</v>
      </c>
      <c r="D10" s="261">
        <f t="shared" si="0"/>
        <v>0.25671819215360386</v>
      </c>
      <c r="E10" s="264">
        <v>0.20711819215360386</v>
      </c>
      <c r="F10" s="264">
        <v>0.35</v>
      </c>
    </row>
    <row r="11" spans="1:6" ht="16">
      <c r="A11" s="44" t="s">
        <v>249</v>
      </c>
      <c r="B11" s="47" t="s">
        <v>597</v>
      </c>
      <c r="C11" s="261">
        <v>4.4005045871559637E-2</v>
      </c>
      <c r="D11" s="261">
        <f t="shared" si="0"/>
        <v>0.11167460019490968</v>
      </c>
      <c r="E11" s="264">
        <v>6.2074600194909679E-2</v>
      </c>
      <c r="F11" s="264">
        <v>0.18</v>
      </c>
    </row>
    <row r="12" spans="1:6" ht="16">
      <c r="A12" s="44" t="s">
        <v>250</v>
      </c>
      <c r="B12" s="47" t="s">
        <v>590</v>
      </c>
      <c r="C12" s="261">
        <v>2.3296788990825688E-2</v>
      </c>
      <c r="D12" s="261">
        <f t="shared" si="0"/>
        <v>8.2463023632599233E-2</v>
      </c>
      <c r="E12" s="264">
        <v>3.2863023632599235E-2</v>
      </c>
      <c r="F12" s="264">
        <v>0.25</v>
      </c>
    </row>
    <row r="13" spans="1:6" ht="16">
      <c r="A13" s="44" t="s">
        <v>251</v>
      </c>
      <c r="B13" s="47" t="s">
        <v>593</v>
      </c>
      <c r="C13" s="261">
        <v>0</v>
      </c>
      <c r="D13" s="261">
        <f t="shared" si="0"/>
        <v>4.9599999999999998E-2</v>
      </c>
      <c r="E13" s="264">
        <v>0</v>
      </c>
      <c r="F13" s="264">
        <v>0.3</v>
      </c>
    </row>
    <row r="14" spans="1:6" ht="16">
      <c r="A14" s="44" t="s">
        <v>252</v>
      </c>
      <c r="B14" s="47" t="s">
        <v>594</v>
      </c>
      <c r="C14" s="261">
        <v>4.8894495412844033E-3</v>
      </c>
      <c r="D14" s="261">
        <f t="shared" si="0"/>
        <v>5.6497177799434403E-2</v>
      </c>
      <c r="E14" s="264">
        <v>6.8971777994344076E-3</v>
      </c>
      <c r="F14" s="264">
        <v>0.24</v>
      </c>
    </row>
    <row r="15" spans="1:6" ht="16">
      <c r="A15" s="44" t="s">
        <v>359</v>
      </c>
      <c r="B15" s="47" t="s">
        <v>608</v>
      </c>
      <c r="C15" s="261">
        <v>3.0630963302752296E-2</v>
      </c>
      <c r="D15" s="261">
        <f t="shared" si="0"/>
        <v>9.2808790331750851E-2</v>
      </c>
      <c r="E15" s="264">
        <v>4.3208790331750853E-2</v>
      </c>
      <c r="F15" s="264">
        <v>0.2</v>
      </c>
    </row>
    <row r="16" spans="1:6" ht="16">
      <c r="A16" s="44" t="s">
        <v>253</v>
      </c>
      <c r="B16" s="47" t="s">
        <v>588</v>
      </c>
      <c r="C16" s="261">
        <v>5.5078211009174309E-2</v>
      </c>
      <c r="D16" s="261">
        <f t="shared" si="0"/>
        <v>0.12729467932892288</v>
      </c>
      <c r="E16" s="264">
        <v>7.7694679328922892E-2</v>
      </c>
      <c r="F16" s="264">
        <v>0</v>
      </c>
    </row>
    <row r="17" spans="1:6" ht="16">
      <c r="A17" s="44" t="s">
        <v>254</v>
      </c>
      <c r="B17" s="47" t="s">
        <v>591</v>
      </c>
      <c r="C17" s="261">
        <v>6.7301834862385335E-2</v>
      </c>
      <c r="D17" s="261">
        <f t="shared" si="0"/>
        <v>0.14453762382750893</v>
      </c>
      <c r="E17" s="264">
        <v>9.4937623827508935E-2</v>
      </c>
      <c r="F17" s="264">
        <v>0</v>
      </c>
    </row>
    <row r="18" spans="1:6" ht="16">
      <c r="A18" s="44" t="s">
        <v>255</v>
      </c>
      <c r="B18" s="47" t="s">
        <v>597</v>
      </c>
      <c r="C18" s="261">
        <v>4.4005045871559637E-2</v>
      </c>
      <c r="D18" s="261">
        <f t="shared" si="0"/>
        <v>0.11167460019490968</v>
      </c>
      <c r="E18" s="264">
        <v>6.2074600194909679E-2</v>
      </c>
      <c r="F18" s="264">
        <v>0.32500000000000001</v>
      </c>
    </row>
    <row r="19" spans="1:6" ht="16">
      <c r="A19" s="44" t="s">
        <v>256</v>
      </c>
      <c r="B19" s="47" t="s">
        <v>598</v>
      </c>
      <c r="C19" s="261">
        <v>9.1749082568807344E-2</v>
      </c>
      <c r="D19" s="261">
        <f t="shared" si="0"/>
        <v>0.17902351282468096</v>
      </c>
      <c r="E19" s="264">
        <v>0.12942351282468095</v>
      </c>
      <c r="F19" s="264">
        <v>5.5E-2</v>
      </c>
    </row>
    <row r="20" spans="1:6" ht="16">
      <c r="A20" s="44" t="s">
        <v>257</v>
      </c>
      <c r="B20" s="47" t="s">
        <v>681</v>
      </c>
      <c r="C20" s="261">
        <v>0.14682729357798166</v>
      </c>
      <c r="D20" s="261">
        <f t="shared" si="0"/>
        <v>0.25671819215360386</v>
      </c>
      <c r="E20" s="264">
        <v>0.20711819215360386</v>
      </c>
      <c r="F20" s="264">
        <v>0.18</v>
      </c>
    </row>
    <row r="21" spans="1:6" ht="16">
      <c r="A21" s="44" t="s">
        <v>258</v>
      </c>
      <c r="B21" s="47" t="s">
        <v>599</v>
      </c>
      <c r="C21" s="261">
        <v>7.3341743119266058E-3</v>
      </c>
      <c r="D21" s="261">
        <f t="shared" si="0"/>
        <v>5.9945766699151609E-2</v>
      </c>
      <c r="E21" s="264">
        <v>1.0345766699151613E-2</v>
      </c>
      <c r="F21" s="264">
        <v>0.25</v>
      </c>
    </row>
    <row r="22" spans="1:6" ht="16">
      <c r="A22" s="44" t="s">
        <v>362</v>
      </c>
      <c r="B22" s="47" t="s">
        <v>605</v>
      </c>
      <c r="C22" s="261">
        <v>0.11015642201834862</v>
      </c>
      <c r="D22" s="261">
        <f t="shared" si="0"/>
        <v>0.20498935865784579</v>
      </c>
      <c r="E22" s="264">
        <v>0.15538935865784578</v>
      </c>
      <c r="F22" s="264">
        <v>0.27179999999999999</v>
      </c>
    </row>
    <row r="23" spans="1:6" ht="16">
      <c r="A23" s="44" t="s">
        <v>601</v>
      </c>
      <c r="B23" s="47" t="s">
        <v>588</v>
      </c>
      <c r="C23" s="261">
        <v>5.5078211009174309E-2</v>
      </c>
      <c r="D23" s="261">
        <f t="shared" si="0"/>
        <v>0.12729467932892288</v>
      </c>
      <c r="E23" s="264">
        <v>7.7694679328922892E-2</v>
      </c>
      <c r="F23" s="264">
        <v>0.3</v>
      </c>
    </row>
    <row r="24" spans="1:6" ht="16">
      <c r="A24" s="44" t="s">
        <v>259</v>
      </c>
      <c r="B24" s="47" t="s">
        <v>602</v>
      </c>
      <c r="C24" s="261">
        <v>1.0354128440366973E-2</v>
      </c>
      <c r="D24" s="261">
        <f t="shared" si="0"/>
        <v>6.420578828115521E-2</v>
      </c>
      <c r="E24" s="264">
        <v>1.4605788281155217E-2</v>
      </c>
      <c r="F24" s="264">
        <v>0</v>
      </c>
    </row>
    <row r="25" spans="1:6" ht="16">
      <c r="A25" s="44" t="s">
        <v>260</v>
      </c>
      <c r="B25" s="47" t="s">
        <v>591</v>
      </c>
      <c r="C25" s="261">
        <v>6.7301834862385335E-2</v>
      </c>
      <c r="D25" s="261">
        <f t="shared" si="0"/>
        <v>0.14453762382750893</v>
      </c>
      <c r="E25" s="264">
        <v>9.4937623827508935E-2</v>
      </c>
      <c r="F25" s="264">
        <v>0.25</v>
      </c>
    </row>
    <row r="26" spans="1:6" ht="16">
      <c r="A26" s="44" t="s">
        <v>261</v>
      </c>
      <c r="B26" s="47" t="s">
        <v>600</v>
      </c>
      <c r="C26" s="261">
        <v>7.9525458715596339E-2</v>
      </c>
      <c r="D26" s="261">
        <f t="shared" si="0"/>
        <v>0.16178056832609494</v>
      </c>
      <c r="E26" s="264">
        <v>0.11218056832609494</v>
      </c>
      <c r="F26" s="264">
        <v>0.1</v>
      </c>
    </row>
    <row r="27" spans="1:6" ht="16">
      <c r="A27" s="44" t="s">
        <v>262</v>
      </c>
      <c r="B27" s="47" t="s">
        <v>606</v>
      </c>
      <c r="C27" s="261">
        <v>1.4668348623853212E-2</v>
      </c>
      <c r="D27" s="261">
        <f t="shared" si="0"/>
        <v>7.0291533398303227E-2</v>
      </c>
      <c r="E27" s="264">
        <v>2.0691533398303225E-2</v>
      </c>
      <c r="F27" s="264">
        <v>0.22</v>
      </c>
    </row>
    <row r="28" spans="1:6" ht="16">
      <c r="A28" s="44" t="s">
        <v>263</v>
      </c>
      <c r="B28" s="47" t="s">
        <v>595</v>
      </c>
      <c r="C28" s="261">
        <v>3.6814678899082569E-2</v>
      </c>
      <c r="D28" s="261">
        <f t="shared" si="0"/>
        <v>0.10153169166632967</v>
      </c>
      <c r="E28" s="264">
        <v>5.193169166632966E-2</v>
      </c>
      <c r="F28" s="264">
        <v>0.34</v>
      </c>
    </row>
    <row r="29" spans="1:6" ht="16">
      <c r="A29" s="262" t="s">
        <v>603</v>
      </c>
      <c r="B29" s="137" t="s">
        <v>680</v>
      </c>
      <c r="C29" s="234">
        <v>0.13114757824740877</v>
      </c>
      <c r="D29" s="261">
        <f t="shared" si="0"/>
        <v>0.12134757824740877</v>
      </c>
      <c r="E29" s="301">
        <v>7.1747578247408766E-2</v>
      </c>
      <c r="F29" s="301">
        <v>0.185</v>
      </c>
    </row>
    <row r="30" spans="1:6" ht="16">
      <c r="A30" s="44" t="s">
        <v>264</v>
      </c>
      <c r="B30" s="47" t="s">
        <v>592</v>
      </c>
      <c r="C30" s="261">
        <v>1.9557798165137613E-2</v>
      </c>
      <c r="D30" s="261">
        <f t="shared" si="0"/>
        <v>7.7188711197737625E-2</v>
      </c>
      <c r="E30" s="264">
        <v>2.758871119773763E-2</v>
      </c>
      <c r="F30" s="264">
        <v>0.1</v>
      </c>
    </row>
    <row r="31" spans="1:6" ht="16">
      <c r="A31" s="44" t="s">
        <v>483</v>
      </c>
      <c r="B31" s="47" t="s">
        <v>598</v>
      </c>
      <c r="C31" s="261">
        <v>9.1749082568807344E-2</v>
      </c>
      <c r="D31" s="261">
        <f t="shared" si="0"/>
        <v>0.17902351282468096</v>
      </c>
      <c r="E31" s="264">
        <v>0.12942351282468095</v>
      </c>
      <c r="F31" s="264">
        <v>0.28000000000000003</v>
      </c>
    </row>
    <row r="32" spans="1:6" ht="16">
      <c r="A32" s="44" t="s">
        <v>265</v>
      </c>
      <c r="B32" s="47" t="s">
        <v>591</v>
      </c>
      <c r="C32" s="261">
        <v>6.7301834862385335E-2</v>
      </c>
      <c r="D32" s="261">
        <f t="shared" si="0"/>
        <v>0.14453762382750893</v>
      </c>
      <c r="E32" s="264">
        <v>9.4937623827508935E-2</v>
      </c>
      <c r="F32" s="264">
        <v>0.2</v>
      </c>
    </row>
    <row r="33" spans="1:6" ht="16">
      <c r="A33" s="44" t="s">
        <v>484</v>
      </c>
      <c r="B33" s="47" t="s">
        <v>591</v>
      </c>
      <c r="C33" s="261">
        <v>6.7301834862385335E-2</v>
      </c>
      <c r="D33" s="261">
        <f t="shared" si="0"/>
        <v>0.14453762382750893</v>
      </c>
      <c r="E33" s="264">
        <v>9.4937623827508935E-2</v>
      </c>
      <c r="F33" s="264">
        <v>0.33</v>
      </c>
    </row>
    <row r="34" spans="1:6" ht="16">
      <c r="A34" s="44" t="s">
        <v>266</v>
      </c>
      <c r="B34" s="47" t="s">
        <v>593</v>
      </c>
      <c r="C34" s="261">
        <v>0</v>
      </c>
      <c r="D34" s="261">
        <f t="shared" si="0"/>
        <v>4.9599999999999998E-2</v>
      </c>
      <c r="E34" s="264">
        <v>0</v>
      </c>
      <c r="F34" s="264">
        <v>0.25</v>
      </c>
    </row>
    <row r="35" spans="1:6" ht="16">
      <c r="A35" s="44" t="s">
        <v>485</v>
      </c>
      <c r="B35" s="47" t="s">
        <v>600</v>
      </c>
      <c r="C35" s="261">
        <v>7.9525458715596339E-2</v>
      </c>
      <c r="D35" s="261">
        <f t="shared" si="0"/>
        <v>0.16178056832609494</v>
      </c>
      <c r="E35" s="264">
        <v>0.11218056832609494</v>
      </c>
      <c r="F35" s="264">
        <v>0</v>
      </c>
    </row>
    <row r="36" spans="1:6" ht="16">
      <c r="A36" s="44" t="s">
        <v>267</v>
      </c>
      <c r="B36" s="47" t="s">
        <v>599</v>
      </c>
      <c r="C36" s="261">
        <v>7.3341743119266058E-3</v>
      </c>
      <c r="D36" s="261">
        <f t="shared" si="0"/>
        <v>5.9945766699151609E-2</v>
      </c>
      <c r="E36" s="264">
        <v>1.0345766699151613E-2</v>
      </c>
      <c r="F36" s="264">
        <v>0</v>
      </c>
    </row>
    <row r="37" spans="1:6" ht="16">
      <c r="A37" s="44" t="s">
        <v>268</v>
      </c>
      <c r="B37" s="47" t="s">
        <v>602</v>
      </c>
      <c r="C37" s="261">
        <v>1.0354128440366973E-2</v>
      </c>
      <c r="D37" s="261">
        <f t="shared" si="0"/>
        <v>6.420578828115521E-2</v>
      </c>
      <c r="E37" s="264">
        <v>1.4605788281155217E-2</v>
      </c>
      <c r="F37" s="264">
        <v>0.27</v>
      </c>
    </row>
    <row r="38" spans="1:6" ht="16">
      <c r="A38" s="44" t="s">
        <v>269</v>
      </c>
      <c r="B38" s="47" t="s">
        <v>604</v>
      </c>
      <c r="C38" s="261">
        <v>8.6284403669724778E-3</v>
      </c>
      <c r="D38" s="261">
        <f t="shared" si="0"/>
        <v>6.1771490234296011E-2</v>
      </c>
      <c r="E38" s="264">
        <v>1.2171490234296015E-2</v>
      </c>
      <c r="F38" s="264">
        <v>0.25</v>
      </c>
    </row>
    <row r="39" spans="1:6" ht="16">
      <c r="A39" s="44" t="s">
        <v>270</v>
      </c>
      <c r="B39" s="47" t="s">
        <v>590</v>
      </c>
      <c r="C39" s="261">
        <v>2.3296788990825688E-2</v>
      </c>
      <c r="D39" s="261">
        <f t="shared" si="0"/>
        <v>8.2463023632599233E-2</v>
      </c>
      <c r="E39" s="264">
        <v>3.2863023632599235E-2</v>
      </c>
      <c r="F39" s="264">
        <v>0.35</v>
      </c>
    </row>
    <row r="40" spans="1:6" ht="16">
      <c r="A40" s="44" t="s">
        <v>501</v>
      </c>
      <c r="B40" s="47" t="s">
        <v>600</v>
      </c>
      <c r="C40" s="261">
        <v>7.9525458715596339E-2</v>
      </c>
      <c r="D40" s="261">
        <f t="shared" si="0"/>
        <v>0.16178056832609494</v>
      </c>
      <c r="E40" s="264">
        <v>0.11218056832609494</v>
      </c>
      <c r="F40" s="264">
        <v>0.3</v>
      </c>
    </row>
    <row r="41" spans="1:6" ht="16">
      <c r="A41" s="44" t="s">
        <v>502</v>
      </c>
      <c r="B41" s="47" t="s">
        <v>605</v>
      </c>
      <c r="C41" s="261">
        <v>0.11015642201834862</v>
      </c>
      <c r="D41" s="261">
        <f t="shared" si="0"/>
        <v>0.20498935865784579</v>
      </c>
      <c r="E41" s="264">
        <v>0.15538935865784578</v>
      </c>
      <c r="F41" s="264">
        <v>0.28000000000000003</v>
      </c>
    </row>
    <row r="42" spans="1:6" ht="16">
      <c r="A42" s="44" t="s">
        <v>486</v>
      </c>
      <c r="B42" s="47" t="s">
        <v>588</v>
      </c>
      <c r="C42" s="261">
        <v>5.5078211009174309E-2</v>
      </c>
      <c r="D42" s="261">
        <f t="shared" si="0"/>
        <v>0.12729467932892288</v>
      </c>
      <c r="E42" s="264">
        <v>7.7694679328922892E-2</v>
      </c>
      <c r="F42" s="264">
        <v>0.2843</v>
      </c>
    </row>
    <row r="43" spans="1:6" ht="16">
      <c r="A43" s="44" t="s">
        <v>271</v>
      </c>
      <c r="B43" s="47" t="s">
        <v>591</v>
      </c>
      <c r="C43" s="261">
        <v>6.7301834862385335E-2</v>
      </c>
      <c r="D43" s="261">
        <f t="shared" si="0"/>
        <v>0.14453762382750893</v>
      </c>
      <c r="E43" s="264">
        <v>9.4937623827508935E-2</v>
      </c>
      <c r="F43" s="264">
        <v>0.3</v>
      </c>
    </row>
    <row r="44" spans="1:6" ht="16">
      <c r="A44" s="44" t="s">
        <v>682</v>
      </c>
      <c r="B44" s="47" t="s">
        <v>597</v>
      </c>
      <c r="C44" s="261">
        <v>4.4005045871559637E-2</v>
      </c>
      <c r="D44" s="261">
        <f t="shared" si="0"/>
        <v>0.11167460019490968</v>
      </c>
      <c r="E44" s="264">
        <v>6.2074600194909679E-2</v>
      </c>
      <c r="F44" s="264">
        <v>0.25</v>
      </c>
    </row>
    <row r="45" spans="1:6" ht="16">
      <c r="A45" s="44" t="s">
        <v>272</v>
      </c>
      <c r="B45" s="47" t="s">
        <v>590</v>
      </c>
      <c r="C45" s="261">
        <v>2.3296788990825688E-2</v>
      </c>
      <c r="D45" s="261">
        <f t="shared" si="0"/>
        <v>8.2463023632599233E-2</v>
      </c>
      <c r="E45" s="264">
        <v>3.2863023632599235E-2</v>
      </c>
      <c r="F45" s="264">
        <v>0.18</v>
      </c>
    </row>
    <row r="46" spans="1:6" ht="16">
      <c r="A46" s="44" t="s">
        <v>364</v>
      </c>
      <c r="B46" s="47" t="s">
        <v>681</v>
      </c>
      <c r="C46" s="261">
        <v>0.14682729357798166</v>
      </c>
      <c r="D46" s="261">
        <f t="shared" si="0"/>
        <v>0.25671819215360386</v>
      </c>
      <c r="E46" s="264">
        <v>0.20711819215360386</v>
      </c>
      <c r="F46" s="264">
        <v>0.27179999999999999</v>
      </c>
    </row>
    <row r="47" spans="1:6" ht="16">
      <c r="A47" s="44" t="s">
        <v>683</v>
      </c>
      <c r="B47" s="47" t="s">
        <v>590</v>
      </c>
      <c r="C47" s="261">
        <v>2.3296788990825688E-2</v>
      </c>
      <c r="D47" s="261">
        <f t="shared" si="0"/>
        <v>8.2463023632599233E-2</v>
      </c>
      <c r="E47" s="264">
        <v>3.2863023632599235E-2</v>
      </c>
      <c r="F47" s="264">
        <v>0.22</v>
      </c>
    </row>
    <row r="48" spans="1:6" ht="16">
      <c r="A48" s="44" t="s">
        <v>273</v>
      </c>
      <c r="B48" s="47" t="s">
        <v>608</v>
      </c>
      <c r="C48" s="261">
        <v>3.0630963302752296E-2</v>
      </c>
      <c r="D48" s="261">
        <f t="shared" si="0"/>
        <v>9.2808790331750851E-2</v>
      </c>
      <c r="E48" s="264">
        <v>4.3208790331750853E-2</v>
      </c>
      <c r="F48" s="264">
        <v>0.125</v>
      </c>
    </row>
    <row r="49" spans="1:6" ht="16">
      <c r="A49" s="44" t="s">
        <v>274</v>
      </c>
      <c r="B49" s="47" t="s">
        <v>599</v>
      </c>
      <c r="C49" s="261">
        <v>7.3341743119266058E-3</v>
      </c>
      <c r="D49" s="261">
        <f t="shared" si="0"/>
        <v>5.9945766699151609E-2</v>
      </c>
      <c r="E49" s="264">
        <v>1.0345766699151613E-2</v>
      </c>
      <c r="F49" s="264">
        <v>0.19</v>
      </c>
    </row>
    <row r="50" spans="1:6" ht="16">
      <c r="A50" s="44" t="s">
        <v>275</v>
      </c>
      <c r="B50" s="47" t="s">
        <v>593</v>
      </c>
      <c r="C50" s="261">
        <v>0</v>
      </c>
      <c r="D50" s="261">
        <f t="shared" si="0"/>
        <v>4.9599999999999998E-2</v>
      </c>
      <c r="E50" s="264">
        <v>0</v>
      </c>
      <c r="F50" s="264">
        <v>0.22</v>
      </c>
    </row>
    <row r="51" spans="1:6" ht="16">
      <c r="A51" s="44" t="s">
        <v>276</v>
      </c>
      <c r="B51" s="47" t="s">
        <v>597</v>
      </c>
      <c r="C51" s="261">
        <v>4.4005045871559637E-2</v>
      </c>
      <c r="D51" s="261">
        <f t="shared" si="0"/>
        <v>0.11167460019490968</v>
      </c>
      <c r="E51" s="264">
        <v>6.2074600194909679E-2</v>
      </c>
      <c r="F51" s="264">
        <v>0.27</v>
      </c>
    </row>
    <row r="52" spans="1:6" ht="16">
      <c r="A52" s="44" t="s">
        <v>277</v>
      </c>
      <c r="B52" s="47" t="s">
        <v>684</v>
      </c>
      <c r="C52" s="261">
        <v>0.12238004587155965</v>
      </c>
      <c r="D52" s="261">
        <f t="shared" si="0"/>
        <v>0.22223230315643183</v>
      </c>
      <c r="E52" s="264">
        <v>0.17263230315643183</v>
      </c>
      <c r="F52" s="264">
        <v>0.25</v>
      </c>
    </row>
    <row r="53" spans="1:6" ht="16">
      <c r="A53" s="44" t="s">
        <v>278</v>
      </c>
      <c r="B53" s="47" t="s">
        <v>591</v>
      </c>
      <c r="C53" s="261">
        <v>6.7301834862385335E-2</v>
      </c>
      <c r="D53" s="261">
        <f t="shared" si="0"/>
        <v>0.14453762382750893</v>
      </c>
      <c r="E53" s="264">
        <v>9.4937623827508935E-2</v>
      </c>
      <c r="F53" s="264">
        <v>0.22500000000000001</v>
      </c>
    </row>
    <row r="54" spans="1:6" ht="16">
      <c r="A54" s="44" t="s">
        <v>365</v>
      </c>
      <c r="B54" s="47" t="s">
        <v>684</v>
      </c>
      <c r="C54" s="261">
        <v>0.12238004587155965</v>
      </c>
      <c r="D54" s="261">
        <f t="shared" si="0"/>
        <v>0.22223230315643183</v>
      </c>
      <c r="E54" s="264">
        <v>0.17263230315643183</v>
      </c>
      <c r="F54" s="264">
        <v>0.3</v>
      </c>
    </row>
    <row r="55" spans="1:6" ht="16">
      <c r="A55" s="44" t="s">
        <v>279</v>
      </c>
      <c r="B55" s="47" t="s">
        <v>604</v>
      </c>
      <c r="C55" s="261">
        <v>8.6284403669724778E-3</v>
      </c>
      <c r="D55" s="261">
        <f t="shared" si="0"/>
        <v>6.1771490234296011E-2</v>
      </c>
      <c r="E55" s="264">
        <v>1.2171490234296015E-2</v>
      </c>
      <c r="F55" s="264">
        <v>0.2</v>
      </c>
    </row>
    <row r="56" spans="1:6" ht="16">
      <c r="A56" s="44" t="s">
        <v>503</v>
      </c>
      <c r="B56" s="47" t="s">
        <v>605</v>
      </c>
      <c r="C56" s="261">
        <v>0.11015642201834862</v>
      </c>
      <c r="D56" s="261">
        <f t="shared" si="0"/>
        <v>0.20498935865784579</v>
      </c>
      <c r="E56" s="264">
        <v>0.15538935865784578</v>
      </c>
      <c r="F56" s="264">
        <v>0.3</v>
      </c>
    </row>
    <row r="57" spans="1:6" ht="16">
      <c r="A57" s="44" t="s">
        <v>280</v>
      </c>
      <c r="B57" s="47" t="s">
        <v>588</v>
      </c>
      <c r="C57" s="261">
        <v>5.5078211009174309E-2</v>
      </c>
      <c r="D57" s="261">
        <f t="shared" si="0"/>
        <v>0.12729467932892288</v>
      </c>
      <c r="E57" s="264">
        <v>7.7694679328922892E-2</v>
      </c>
      <c r="F57" s="264">
        <v>0.2</v>
      </c>
    </row>
    <row r="58" spans="1:6" ht="16">
      <c r="A58" s="44" t="s">
        <v>281</v>
      </c>
      <c r="B58" s="47" t="s">
        <v>594</v>
      </c>
      <c r="C58" s="261">
        <v>4.8894495412844033E-3</v>
      </c>
      <c r="D58" s="261">
        <f t="shared" si="0"/>
        <v>5.6497177799434403E-2</v>
      </c>
      <c r="E58" s="264">
        <v>6.8971777994344076E-3</v>
      </c>
      <c r="F58" s="264">
        <v>0.2</v>
      </c>
    </row>
    <row r="59" spans="1:6" ht="16">
      <c r="A59" s="44" t="s">
        <v>282</v>
      </c>
      <c r="B59" s="47" t="s">
        <v>587</v>
      </c>
      <c r="C59" s="261">
        <v>6.0399082568807346E-3</v>
      </c>
      <c r="D59" s="261">
        <f t="shared" si="0"/>
        <v>5.8120043164007207E-2</v>
      </c>
      <c r="E59" s="264">
        <v>8.5200431640072103E-3</v>
      </c>
      <c r="F59" s="264">
        <v>0.25</v>
      </c>
    </row>
    <row r="60" spans="1:6" ht="16">
      <c r="A60" s="44" t="s">
        <v>487</v>
      </c>
      <c r="B60" s="47" t="s">
        <v>598</v>
      </c>
      <c r="C60" s="261">
        <v>9.1749082568807344E-2</v>
      </c>
      <c r="D60" s="261">
        <f t="shared" si="0"/>
        <v>0.17902351282468096</v>
      </c>
      <c r="E60" s="264">
        <v>0.12942351282468095</v>
      </c>
      <c r="F60" s="264">
        <v>0.3</v>
      </c>
    </row>
    <row r="61" spans="1:6" ht="16">
      <c r="A61" s="262" t="s">
        <v>607</v>
      </c>
      <c r="B61" s="137" t="s">
        <v>680</v>
      </c>
      <c r="C61" s="234">
        <v>0.21976080679295523</v>
      </c>
      <c r="D61" s="261">
        <f t="shared" si="0"/>
        <v>0.20996080679295523</v>
      </c>
      <c r="E61" s="301">
        <v>0.16036080679295522</v>
      </c>
      <c r="F61" s="301">
        <v>0.31</v>
      </c>
    </row>
    <row r="62" spans="1:6" ht="16">
      <c r="A62" s="44" t="s">
        <v>366</v>
      </c>
      <c r="B62" s="47" t="s">
        <v>595</v>
      </c>
      <c r="C62" s="261">
        <v>3.6814678899082569E-2</v>
      </c>
      <c r="D62" s="261">
        <f t="shared" si="0"/>
        <v>0.10153169166632967</v>
      </c>
      <c r="E62" s="264">
        <v>5.193169166632966E-2</v>
      </c>
      <c r="F62" s="264">
        <v>0.15</v>
      </c>
    </row>
    <row r="63" spans="1:6" ht="16">
      <c r="A63" s="44" t="s">
        <v>283</v>
      </c>
      <c r="B63" s="47" t="s">
        <v>593</v>
      </c>
      <c r="C63" s="261">
        <v>0</v>
      </c>
      <c r="D63" s="261">
        <f t="shared" si="0"/>
        <v>4.9599999999999998E-2</v>
      </c>
      <c r="E63" s="264">
        <v>0</v>
      </c>
      <c r="F63" s="264">
        <v>0.3</v>
      </c>
    </row>
    <row r="64" spans="1:6" ht="16">
      <c r="A64" s="44" t="s">
        <v>488</v>
      </c>
      <c r="B64" s="47" t="s">
        <v>681</v>
      </c>
      <c r="C64" s="261">
        <v>0.14682729357798166</v>
      </c>
      <c r="D64" s="261">
        <f t="shared" si="0"/>
        <v>0.25671819215360386</v>
      </c>
      <c r="E64" s="264">
        <v>0.20711819215360386</v>
      </c>
      <c r="F64" s="264">
        <v>0.25</v>
      </c>
    </row>
    <row r="65" spans="1:6" ht="16">
      <c r="A65" s="44" t="s">
        <v>284</v>
      </c>
      <c r="B65" s="47" t="s">
        <v>597</v>
      </c>
      <c r="C65" s="261">
        <v>4.4005045871559637E-2</v>
      </c>
      <c r="D65" s="261">
        <f t="shared" si="0"/>
        <v>0.11167460019490968</v>
      </c>
      <c r="E65" s="264">
        <v>6.2074600194909679E-2</v>
      </c>
      <c r="F65" s="264">
        <v>0.22</v>
      </c>
    </row>
    <row r="66" spans="1:6" ht="16">
      <c r="A66" s="44" t="s">
        <v>285</v>
      </c>
      <c r="B66" s="47" t="s">
        <v>608</v>
      </c>
      <c r="C66" s="261">
        <v>3.0630963302752296E-2</v>
      </c>
      <c r="D66" s="261">
        <f t="shared" si="0"/>
        <v>9.2808790331750851E-2</v>
      </c>
      <c r="E66" s="264">
        <v>4.3208790331750853E-2</v>
      </c>
      <c r="F66" s="264">
        <v>0.25</v>
      </c>
    </row>
    <row r="67" spans="1:6" ht="16">
      <c r="A67" s="44" t="s">
        <v>685</v>
      </c>
      <c r="B67" s="47" t="s">
        <v>593</v>
      </c>
      <c r="C67" s="261">
        <v>0</v>
      </c>
      <c r="D67" s="261">
        <f t="shared" si="0"/>
        <v>4.9599999999999998E-2</v>
      </c>
      <c r="E67" s="264">
        <v>0</v>
      </c>
      <c r="F67" s="264">
        <v>0</v>
      </c>
    </row>
    <row r="68" spans="1:6" ht="16">
      <c r="A68" s="262" t="s">
        <v>609</v>
      </c>
      <c r="B68" s="137" t="s">
        <v>680</v>
      </c>
      <c r="C68" s="234">
        <v>0.20664604896821434</v>
      </c>
      <c r="D68" s="261">
        <f t="shared" si="0"/>
        <v>0.19684604896821434</v>
      </c>
      <c r="E68" s="301">
        <v>0.14724604896821433</v>
      </c>
      <c r="F68" s="301">
        <v>0.29149999999999998</v>
      </c>
    </row>
    <row r="69" spans="1:6" ht="16">
      <c r="A69" s="262" t="s">
        <v>610</v>
      </c>
      <c r="B69" s="137" t="s">
        <v>680</v>
      </c>
      <c r="C69" s="234">
        <v>0.20664604896821434</v>
      </c>
      <c r="D69" s="261">
        <f t="shared" si="0"/>
        <v>0.19684604896821434</v>
      </c>
      <c r="E69" s="301">
        <v>0.14724604896821433</v>
      </c>
      <c r="F69" s="301">
        <v>0.29149999999999998</v>
      </c>
    </row>
    <row r="70" spans="1:6" ht="16">
      <c r="A70" s="262" t="s">
        <v>611</v>
      </c>
      <c r="B70" s="137" t="s">
        <v>680</v>
      </c>
      <c r="C70" s="234">
        <v>0.13214004640711891</v>
      </c>
      <c r="D70" s="261">
        <f t="shared" ref="D70:D133" si="1">$B$1+E70</f>
        <v>0.1223400464071189</v>
      </c>
      <c r="E70" s="301">
        <v>7.2740046407118897E-2</v>
      </c>
      <c r="F70" s="301">
        <v>0.18640000000000001</v>
      </c>
    </row>
    <row r="71" spans="1:6" ht="16">
      <c r="A71" s="262" t="s">
        <v>612</v>
      </c>
      <c r="B71" s="137" t="s">
        <v>680</v>
      </c>
      <c r="C71" s="234">
        <v>0.13214004640711891</v>
      </c>
      <c r="D71" s="261">
        <f t="shared" si="1"/>
        <v>0.1223400464071189</v>
      </c>
      <c r="E71" s="301">
        <v>7.2740046407118897E-2</v>
      </c>
      <c r="F71" s="301">
        <v>0.18640000000000001</v>
      </c>
    </row>
    <row r="72" spans="1:6" ht="16">
      <c r="A72" s="44" t="s">
        <v>286</v>
      </c>
      <c r="B72" s="47" t="s">
        <v>588</v>
      </c>
      <c r="C72" s="261">
        <v>5.5078211009174309E-2</v>
      </c>
      <c r="D72" s="261">
        <f t="shared" si="1"/>
        <v>0.12729467932892288</v>
      </c>
      <c r="E72" s="264">
        <v>7.7694679328922892E-2</v>
      </c>
      <c r="F72" s="264">
        <v>0.25</v>
      </c>
    </row>
    <row r="73" spans="1:6" ht="16">
      <c r="A73" s="44" t="s">
        <v>287</v>
      </c>
      <c r="B73" s="47" t="s">
        <v>599</v>
      </c>
      <c r="C73" s="261">
        <v>7.3341743119266058E-3</v>
      </c>
      <c r="D73" s="261">
        <f t="shared" si="1"/>
        <v>5.9945766699151609E-2</v>
      </c>
      <c r="E73" s="264">
        <v>1.0345766699151613E-2</v>
      </c>
      <c r="F73" s="264">
        <v>0.16500000000000001</v>
      </c>
    </row>
    <row r="74" spans="1:6" ht="16">
      <c r="A74" s="44" t="s">
        <v>288</v>
      </c>
      <c r="B74" s="47" t="s">
        <v>590</v>
      </c>
      <c r="C74" s="261">
        <v>2.3296788990825688E-2</v>
      </c>
      <c r="D74" s="261">
        <f t="shared" si="1"/>
        <v>8.2463023632599233E-2</v>
      </c>
      <c r="E74" s="264">
        <v>3.2863023632599235E-2</v>
      </c>
      <c r="F74" s="264">
        <v>0.09</v>
      </c>
    </row>
    <row r="75" spans="1:6" ht="16">
      <c r="A75" s="44" t="s">
        <v>289</v>
      </c>
      <c r="B75" s="47" t="s">
        <v>602</v>
      </c>
      <c r="C75" s="261">
        <v>1.0354128440366973E-2</v>
      </c>
      <c r="D75" s="261">
        <f t="shared" si="1"/>
        <v>6.420578828115521E-2</v>
      </c>
      <c r="E75" s="264">
        <v>1.4605788281155217E-2</v>
      </c>
      <c r="F75" s="264">
        <v>0.2</v>
      </c>
    </row>
    <row r="76" spans="1:6" ht="16">
      <c r="A76" s="44" t="s">
        <v>290</v>
      </c>
      <c r="B76" s="47" t="s">
        <v>596</v>
      </c>
      <c r="C76" s="261">
        <v>2.6891972477064225E-2</v>
      </c>
      <c r="D76" s="261">
        <f t="shared" si="1"/>
        <v>8.7534477896889257E-2</v>
      </c>
      <c r="E76" s="264">
        <v>3.7934477896889252E-2</v>
      </c>
      <c r="F76" s="264">
        <v>0.3</v>
      </c>
    </row>
    <row r="77" spans="1:6" ht="16">
      <c r="A77" s="44" t="s">
        <v>291</v>
      </c>
      <c r="B77" s="47" t="s">
        <v>590</v>
      </c>
      <c r="C77" s="261">
        <v>2.3296788990825688E-2</v>
      </c>
      <c r="D77" s="261">
        <f t="shared" si="1"/>
        <v>8.2463023632599233E-2</v>
      </c>
      <c r="E77" s="264">
        <v>3.2863023632599235E-2</v>
      </c>
      <c r="F77" s="264">
        <v>0.22</v>
      </c>
    </row>
    <row r="78" spans="1:6" ht="16">
      <c r="A78" s="262" t="s">
        <v>613</v>
      </c>
      <c r="B78" s="137" t="s">
        <v>680</v>
      </c>
      <c r="C78" s="234">
        <v>0.14341164907811241</v>
      </c>
      <c r="D78" s="261">
        <f t="shared" si="1"/>
        <v>0.1336116490781124</v>
      </c>
      <c r="E78" s="301">
        <v>8.4011649078112399E-2</v>
      </c>
      <c r="F78" s="301">
        <v>0.20230000000000001</v>
      </c>
    </row>
    <row r="79" spans="1:6" ht="16">
      <c r="A79" s="44" t="s">
        <v>560</v>
      </c>
      <c r="B79" s="47" t="s">
        <v>598</v>
      </c>
      <c r="C79" s="261">
        <v>9.1749082568807344E-2</v>
      </c>
      <c r="D79" s="261">
        <f t="shared" si="1"/>
        <v>0.17902351282468096</v>
      </c>
      <c r="E79" s="264">
        <v>0.12942351282468095</v>
      </c>
      <c r="F79" s="264">
        <v>0.15</v>
      </c>
    </row>
    <row r="80" spans="1:6" ht="16">
      <c r="A80" s="44" t="s">
        <v>292</v>
      </c>
      <c r="B80" s="47" t="s">
        <v>604</v>
      </c>
      <c r="C80" s="261">
        <v>8.6284403669724778E-3</v>
      </c>
      <c r="D80" s="261">
        <f t="shared" si="1"/>
        <v>6.1771490234296011E-2</v>
      </c>
      <c r="E80" s="264">
        <v>1.2171490234296015E-2</v>
      </c>
      <c r="F80" s="264">
        <v>0.125</v>
      </c>
    </row>
    <row r="81" spans="1:6" ht="16">
      <c r="A81" s="44" t="s">
        <v>293</v>
      </c>
      <c r="B81" s="47" t="s">
        <v>599</v>
      </c>
      <c r="C81" s="261">
        <v>7.3341743119266058E-3</v>
      </c>
      <c r="D81" s="261">
        <f t="shared" si="1"/>
        <v>5.9945766699151609E-2</v>
      </c>
      <c r="E81" s="264">
        <v>1.0345766699151613E-2</v>
      </c>
      <c r="F81" s="264">
        <v>0</v>
      </c>
    </row>
    <row r="82" spans="1:6" ht="16">
      <c r="A82" s="44" t="s">
        <v>294</v>
      </c>
      <c r="B82" s="47" t="s">
        <v>604</v>
      </c>
      <c r="C82" s="261">
        <v>8.6284403669724778E-3</v>
      </c>
      <c r="D82" s="261">
        <f t="shared" si="1"/>
        <v>6.1771490234296011E-2</v>
      </c>
      <c r="E82" s="264">
        <v>1.2171490234296015E-2</v>
      </c>
      <c r="F82" s="264">
        <v>0.23</v>
      </c>
    </row>
    <row r="83" spans="1:6" ht="16">
      <c r="A83" s="44" t="s">
        <v>295</v>
      </c>
      <c r="B83" s="47" t="s">
        <v>596</v>
      </c>
      <c r="C83" s="261">
        <v>2.6891972477064225E-2</v>
      </c>
      <c r="D83" s="261">
        <f t="shared" si="1"/>
        <v>8.7534477896889257E-2</v>
      </c>
      <c r="E83" s="264">
        <v>3.7934477896889252E-2</v>
      </c>
      <c r="F83" s="264">
        <v>0.24</v>
      </c>
    </row>
    <row r="84" spans="1:6" ht="16">
      <c r="A84" s="44" t="s">
        <v>296</v>
      </c>
      <c r="B84" s="47" t="s">
        <v>591</v>
      </c>
      <c r="C84" s="261">
        <v>6.7301834862385335E-2</v>
      </c>
      <c r="D84" s="261">
        <f t="shared" si="1"/>
        <v>0.14453762382750893</v>
      </c>
      <c r="E84" s="264">
        <v>9.4937623827508935E-2</v>
      </c>
      <c r="F84" s="264">
        <v>0.25</v>
      </c>
    </row>
    <row r="85" spans="1:6" ht="16">
      <c r="A85" s="44" t="s">
        <v>297</v>
      </c>
      <c r="B85" s="47" t="s">
        <v>604</v>
      </c>
      <c r="C85" s="261">
        <v>8.6284403669724778E-3</v>
      </c>
      <c r="D85" s="261">
        <f t="shared" si="1"/>
        <v>6.1771490234296011E-2</v>
      </c>
      <c r="E85" s="264">
        <v>1.2171490234296015E-2</v>
      </c>
      <c r="F85" s="264">
        <v>0.23200000000000001</v>
      </c>
    </row>
    <row r="86" spans="1:6" ht="16">
      <c r="A86" s="44" t="s">
        <v>686</v>
      </c>
      <c r="B86" s="47" t="s">
        <v>593</v>
      </c>
      <c r="C86" s="261">
        <v>0</v>
      </c>
      <c r="D86" s="261">
        <f t="shared" si="1"/>
        <v>4.9599999999999998E-2</v>
      </c>
      <c r="E86" s="264">
        <v>0</v>
      </c>
      <c r="F86" s="264">
        <v>0</v>
      </c>
    </row>
    <row r="87" spans="1:6" ht="16">
      <c r="A87" s="44" t="s">
        <v>298</v>
      </c>
      <c r="B87" s="47" t="s">
        <v>588</v>
      </c>
      <c r="C87" s="261">
        <v>5.5078211009174309E-2</v>
      </c>
      <c r="D87" s="261">
        <f t="shared" si="1"/>
        <v>0.12729467932892288</v>
      </c>
      <c r="E87" s="264">
        <v>7.7694679328922892E-2</v>
      </c>
      <c r="F87" s="264">
        <v>0.2</v>
      </c>
    </row>
    <row r="88" spans="1:6" ht="16">
      <c r="A88" s="44" t="s">
        <v>299</v>
      </c>
      <c r="B88" s="47" t="s">
        <v>590</v>
      </c>
      <c r="C88" s="261">
        <v>2.3296788990825688E-2</v>
      </c>
      <c r="D88" s="261">
        <f t="shared" si="1"/>
        <v>8.2463023632599233E-2</v>
      </c>
      <c r="E88" s="264">
        <v>3.2863023632599235E-2</v>
      </c>
      <c r="F88" s="264">
        <v>0.2</v>
      </c>
    </row>
    <row r="89" spans="1:6" ht="16">
      <c r="A89" s="44" t="s">
        <v>430</v>
      </c>
      <c r="B89" s="47" t="s">
        <v>591</v>
      </c>
      <c r="C89" s="261">
        <v>6.7301834862385335E-2</v>
      </c>
      <c r="D89" s="261">
        <f t="shared" si="1"/>
        <v>0.14453762382750893</v>
      </c>
      <c r="E89" s="264">
        <v>9.4937623827508935E-2</v>
      </c>
      <c r="F89" s="264">
        <v>0.3</v>
      </c>
    </row>
    <row r="90" spans="1:6" ht="16">
      <c r="A90" s="44" t="s">
        <v>687</v>
      </c>
      <c r="B90" s="47" t="s">
        <v>587</v>
      </c>
      <c r="C90" s="261">
        <v>6.0399082568807346E-3</v>
      </c>
      <c r="D90" s="261">
        <f t="shared" si="1"/>
        <v>5.8120043164007207E-2</v>
      </c>
      <c r="E90" s="264">
        <v>8.5200431640072103E-3</v>
      </c>
      <c r="F90" s="264">
        <v>0.25</v>
      </c>
    </row>
    <row r="91" spans="1:6" ht="16">
      <c r="A91" s="262" t="s">
        <v>614</v>
      </c>
      <c r="B91" s="137" t="s">
        <v>680</v>
      </c>
      <c r="C91" s="234">
        <v>0.16375724635216987</v>
      </c>
      <c r="D91" s="261">
        <f t="shared" si="1"/>
        <v>0.15395724635216987</v>
      </c>
      <c r="E91" s="301">
        <v>0.10435724635216986</v>
      </c>
      <c r="F91" s="301">
        <v>0.23100000000000001</v>
      </c>
    </row>
    <row r="92" spans="1:6" ht="16">
      <c r="A92" s="44" t="s">
        <v>300</v>
      </c>
      <c r="B92" s="47" t="s">
        <v>604</v>
      </c>
      <c r="C92" s="261">
        <v>8.6284403669724778E-3</v>
      </c>
      <c r="D92" s="261">
        <f t="shared" si="1"/>
        <v>6.1771490234296011E-2</v>
      </c>
      <c r="E92" s="264">
        <v>1.2171490234296015E-2</v>
      </c>
      <c r="F92" s="264">
        <v>0.15</v>
      </c>
    </row>
    <row r="93" spans="1:6" ht="16">
      <c r="A93" s="44" t="s">
        <v>489</v>
      </c>
      <c r="B93" s="47" t="s">
        <v>600</v>
      </c>
      <c r="C93" s="261">
        <v>7.9525458715596339E-2</v>
      </c>
      <c r="D93" s="261">
        <f t="shared" si="1"/>
        <v>0.16178056832609494</v>
      </c>
      <c r="E93" s="264">
        <v>0.11218056832609494</v>
      </c>
      <c r="F93" s="264">
        <v>0.1</v>
      </c>
    </row>
    <row r="94" spans="1:6" ht="16">
      <c r="A94" s="44" t="s">
        <v>644</v>
      </c>
      <c r="B94" s="47" t="s">
        <v>684</v>
      </c>
      <c r="C94" s="261">
        <v>0.12238004587155965</v>
      </c>
      <c r="D94" s="261">
        <f t="shared" si="1"/>
        <v>0.22223230315643183</v>
      </c>
      <c r="E94" s="264">
        <v>0.17263230315643183</v>
      </c>
      <c r="F94" s="264">
        <v>0.2281</v>
      </c>
    </row>
    <row r="95" spans="1:6" ht="16">
      <c r="A95" s="44" t="s">
        <v>301</v>
      </c>
      <c r="B95" s="47" t="s">
        <v>606</v>
      </c>
      <c r="C95" s="261">
        <v>1.4668348623853212E-2</v>
      </c>
      <c r="D95" s="261">
        <f t="shared" si="1"/>
        <v>7.0291533398303227E-2</v>
      </c>
      <c r="E95" s="264">
        <v>2.0691533398303225E-2</v>
      </c>
      <c r="F95" s="264">
        <v>0.2</v>
      </c>
    </row>
    <row r="96" spans="1:6" ht="16">
      <c r="A96" s="44" t="s">
        <v>367</v>
      </c>
      <c r="B96" s="47" t="s">
        <v>637</v>
      </c>
      <c r="C96" s="261">
        <v>0.17499999999999999</v>
      </c>
      <c r="D96" s="261">
        <f t="shared" si="1"/>
        <v>0.29645930485826311</v>
      </c>
      <c r="E96" s="264">
        <v>0.2468593048582631</v>
      </c>
      <c r="F96" s="264">
        <v>0.17</v>
      </c>
    </row>
    <row r="97" spans="1:6" ht="16">
      <c r="A97" s="262" t="s">
        <v>615</v>
      </c>
      <c r="B97" s="137" t="s">
        <v>680</v>
      </c>
      <c r="C97" s="234">
        <v>0.20664604896821434</v>
      </c>
      <c r="D97" s="261">
        <f t="shared" si="1"/>
        <v>0.19684604896821434</v>
      </c>
      <c r="E97" s="301">
        <v>0.14724604896821433</v>
      </c>
      <c r="F97" s="301">
        <v>0.29149999999999998</v>
      </c>
    </row>
    <row r="98" spans="1:6" ht="16">
      <c r="A98" s="262" t="s">
        <v>616</v>
      </c>
      <c r="B98" s="137" t="s">
        <v>680</v>
      </c>
      <c r="C98" s="234">
        <v>0.14178116567287435</v>
      </c>
      <c r="D98" s="261">
        <f t="shared" si="1"/>
        <v>0.13198116567287435</v>
      </c>
      <c r="E98" s="301">
        <v>8.2381165672874346E-2</v>
      </c>
      <c r="F98" s="302">
        <v>0.2</v>
      </c>
    </row>
    <row r="99" spans="1:6" ht="16">
      <c r="A99" s="44" t="s">
        <v>302</v>
      </c>
      <c r="B99" s="47" t="s">
        <v>593</v>
      </c>
      <c r="C99" s="261">
        <v>0</v>
      </c>
      <c r="D99" s="261">
        <f t="shared" si="1"/>
        <v>4.9599999999999998E-2</v>
      </c>
      <c r="E99" s="264">
        <v>0</v>
      </c>
      <c r="F99" s="264">
        <v>0.125</v>
      </c>
    </row>
    <row r="100" spans="1:6" ht="16">
      <c r="A100" s="44" t="s">
        <v>303</v>
      </c>
      <c r="B100" s="47" t="s">
        <v>602</v>
      </c>
      <c r="C100" s="261">
        <v>1.0354128440366973E-2</v>
      </c>
      <c r="D100" s="261">
        <f t="shared" si="1"/>
        <v>6.420578828115521E-2</v>
      </c>
      <c r="E100" s="264">
        <v>1.4605788281155217E-2</v>
      </c>
      <c r="F100" s="264">
        <v>0.15</v>
      </c>
    </row>
    <row r="101" spans="1:6" ht="16">
      <c r="A101" s="44" t="s">
        <v>304</v>
      </c>
      <c r="B101" s="47" t="s">
        <v>593</v>
      </c>
      <c r="C101" s="261">
        <v>0</v>
      </c>
      <c r="D101" s="261">
        <f t="shared" si="1"/>
        <v>4.9599999999999998E-2</v>
      </c>
      <c r="E101" s="264">
        <v>0</v>
      </c>
      <c r="F101" s="264">
        <v>0.24940000000000001</v>
      </c>
    </row>
    <row r="102" spans="1:6" ht="16">
      <c r="A102" s="44" t="s">
        <v>634</v>
      </c>
      <c r="B102" s="47" t="s">
        <v>599</v>
      </c>
      <c r="C102" s="261">
        <v>7.3341743119266058E-3</v>
      </c>
      <c r="D102" s="261">
        <f t="shared" si="1"/>
        <v>5.9945766699151609E-2</v>
      </c>
      <c r="E102" s="264">
        <v>1.0345766699151613E-2</v>
      </c>
      <c r="F102" s="264">
        <v>0.2281</v>
      </c>
    </row>
    <row r="103" spans="1:6" ht="16">
      <c r="A103" s="44" t="s">
        <v>305</v>
      </c>
      <c r="B103" s="47" t="s">
        <v>597</v>
      </c>
      <c r="C103" s="261">
        <v>4.4005045871559637E-2</v>
      </c>
      <c r="D103" s="261">
        <f t="shared" si="1"/>
        <v>0.11167460019490968</v>
      </c>
      <c r="E103" s="264">
        <v>6.2074600194909679E-2</v>
      </c>
      <c r="F103" s="264">
        <v>0.1</v>
      </c>
    </row>
    <row r="104" spans="1:6" ht="16">
      <c r="A104" s="262" t="s">
        <v>617</v>
      </c>
      <c r="B104" s="137" t="s">
        <v>680</v>
      </c>
      <c r="C104" s="234">
        <v>0.14178116567287435</v>
      </c>
      <c r="D104" s="261">
        <f t="shared" si="1"/>
        <v>0.13198116567287435</v>
      </c>
      <c r="E104" s="301">
        <v>8.2381165672874346E-2</v>
      </c>
      <c r="F104" s="301">
        <v>0.2</v>
      </c>
    </row>
    <row r="105" spans="1:6" ht="16">
      <c r="A105" s="262" t="s">
        <v>618</v>
      </c>
      <c r="B105" s="137" t="s">
        <v>680</v>
      </c>
      <c r="C105" s="234">
        <v>0.21267174850931153</v>
      </c>
      <c r="D105" s="261">
        <f t="shared" si="1"/>
        <v>0.20287174850931153</v>
      </c>
      <c r="E105" s="301">
        <v>0.15327174850931152</v>
      </c>
      <c r="F105" s="301">
        <v>0.3</v>
      </c>
    </row>
    <row r="106" spans="1:6" ht="16">
      <c r="A106" s="44" t="s">
        <v>306</v>
      </c>
      <c r="B106" s="47" t="s">
        <v>606</v>
      </c>
      <c r="C106" s="261">
        <v>1.4668348623853212E-2</v>
      </c>
      <c r="D106" s="261">
        <f t="shared" si="1"/>
        <v>7.0291533398303227E-2</v>
      </c>
      <c r="E106" s="264">
        <v>2.0691533398303225E-2</v>
      </c>
      <c r="F106" s="264">
        <v>0.24</v>
      </c>
    </row>
    <row r="107" spans="1:6" ht="16">
      <c r="A107" s="44" t="s">
        <v>688</v>
      </c>
      <c r="B107" s="47" t="s">
        <v>598</v>
      </c>
      <c r="C107" s="261">
        <v>9.1749082568807344E-2</v>
      </c>
      <c r="D107" s="261">
        <f t="shared" si="1"/>
        <v>0.17902351282468096</v>
      </c>
      <c r="E107" s="264">
        <v>0.12942351282468095</v>
      </c>
      <c r="F107" s="264">
        <v>0.2281</v>
      </c>
    </row>
    <row r="108" spans="1:6" ht="16">
      <c r="A108" s="44" t="s">
        <v>619</v>
      </c>
      <c r="B108" s="47" t="s">
        <v>605</v>
      </c>
      <c r="C108" s="261">
        <v>0.11015642201834862</v>
      </c>
      <c r="D108" s="261">
        <f t="shared" si="1"/>
        <v>0.20498935865784579</v>
      </c>
      <c r="E108" s="264">
        <v>0.15538935865784578</v>
      </c>
      <c r="F108" s="264">
        <v>0.2281</v>
      </c>
    </row>
    <row r="109" spans="1:6" ht="16">
      <c r="A109" s="44" t="s">
        <v>307</v>
      </c>
      <c r="B109" s="47" t="s">
        <v>602</v>
      </c>
      <c r="C109" s="261">
        <v>1.0354128440366973E-2</v>
      </c>
      <c r="D109" s="261">
        <f t="shared" si="1"/>
        <v>6.420578828115521E-2</v>
      </c>
      <c r="E109" s="264">
        <v>1.4605788281155217E-2</v>
      </c>
      <c r="F109" s="264">
        <v>0.35</v>
      </c>
    </row>
    <row r="110" spans="1:6" ht="16">
      <c r="A110" s="44" t="s">
        <v>308</v>
      </c>
      <c r="B110" s="47" t="s">
        <v>596</v>
      </c>
      <c r="C110" s="261">
        <v>2.6891972477064225E-2</v>
      </c>
      <c r="D110" s="261">
        <f t="shared" si="1"/>
        <v>8.7534477896889257E-2</v>
      </c>
      <c r="E110" s="264">
        <v>3.7934477896889252E-2</v>
      </c>
      <c r="F110" s="264">
        <v>0.15</v>
      </c>
    </row>
    <row r="111" spans="1:6" ht="16">
      <c r="A111" s="44" t="s">
        <v>309</v>
      </c>
      <c r="B111" s="47" t="s">
        <v>590</v>
      </c>
      <c r="C111" s="261">
        <v>2.3296788990825688E-2</v>
      </c>
      <c r="D111" s="261">
        <f t="shared" si="1"/>
        <v>8.2463023632599233E-2</v>
      </c>
      <c r="E111" s="264">
        <v>3.2863023632599235E-2</v>
      </c>
      <c r="F111" s="264">
        <v>0.3</v>
      </c>
    </row>
    <row r="112" spans="1:6" ht="16">
      <c r="A112" s="44" t="s">
        <v>368</v>
      </c>
      <c r="B112" s="47" t="s">
        <v>600</v>
      </c>
      <c r="C112" s="261">
        <v>7.9525458715596339E-2</v>
      </c>
      <c r="D112" s="261">
        <f t="shared" si="1"/>
        <v>0.16178056832609494</v>
      </c>
      <c r="E112" s="264">
        <v>0.11218056832609494</v>
      </c>
      <c r="F112" s="264">
        <v>0.12</v>
      </c>
    </row>
    <row r="113" spans="1:6" ht="16">
      <c r="A113" s="44" t="s">
        <v>369</v>
      </c>
      <c r="B113" s="47" t="s">
        <v>600</v>
      </c>
      <c r="C113" s="261">
        <v>7.9525458715596339E-2</v>
      </c>
      <c r="D113" s="261">
        <f t="shared" si="1"/>
        <v>0.16178056832609494</v>
      </c>
      <c r="E113" s="264">
        <v>0.11218056832609494</v>
      </c>
      <c r="F113" s="264">
        <v>0.25</v>
      </c>
    </row>
    <row r="114" spans="1:6" ht="16">
      <c r="A114" s="44" t="s">
        <v>310</v>
      </c>
      <c r="B114" s="47" t="s">
        <v>588</v>
      </c>
      <c r="C114" s="261">
        <v>5.5078211009174309E-2</v>
      </c>
      <c r="D114" s="261">
        <f t="shared" si="1"/>
        <v>0.12729467932892288</v>
      </c>
      <c r="E114" s="264">
        <v>7.7694679328922892E-2</v>
      </c>
      <c r="F114" s="264">
        <v>0.15</v>
      </c>
    </row>
    <row r="115" spans="1:6" ht="16">
      <c r="A115" s="44" t="s">
        <v>490</v>
      </c>
      <c r="B115" s="47" t="s">
        <v>596</v>
      </c>
      <c r="C115" s="261">
        <v>2.6891972477064225E-2</v>
      </c>
      <c r="D115" s="261">
        <f t="shared" si="1"/>
        <v>8.7534477896889257E-2</v>
      </c>
      <c r="E115" s="264">
        <v>3.7934477896889252E-2</v>
      </c>
      <c r="F115" s="264">
        <v>0.27179999999999999</v>
      </c>
    </row>
    <row r="116" spans="1:6" ht="16">
      <c r="A116" s="44" t="s">
        <v>370</v>
      </c>
      <c r="B116" s="47" t="s">
        <v>608</v>
      </c>
      <c r="C116" s="261">
        <v>3.0630963302752296E-2</v>
      </c>
      <c r="D116" s="261">
        <f t="shared" si="1"/>
        <v>9.2808790331750851E-2</v>
      </c>
      <c r="E116" s="264">
        <v>4.3208790331750853E-2</v>
      </c>
      <c r="F116" s="264">
        <v>0.31</v>
      </c>
    </row>
    <row r="117" spans="1:6" ht="16">
      <c r="A117" s="44" t="s">
        <v>311</v>
      </c>
      <c r="B117" s="47" t="s">
        <v>605</v>
      </c>
      <c r="C117" s="261">
        <v>0.11015642201834862</v>
      </c>
      <c r="D117" s="261">
        <f t="shared" si="1"/>
        <v>0.20498935865784579</v>
      </c>
      <c r="E117" s="264">
        <v>0.15538935865784578</v>
      </c>
      <c r="F117" s="264">
        <v>0.32</v>
      </c>
    </row>
    <row r="118" spans="1:6" ht="16">
      <c r="A118" s="262" t="s">
        <v>620</v>
      </c>
      <c r="B118" s="137" t="s">
        <v>680</v>
      </c>
      <c r="C118" s="234">
        <v>0.17722645709109294</v>
      </c>
      <c r="D118" s="261">
        <f t="shared" si="1"/>
        <v>0.16742645709109294</v>
      </c>
      <c r="E118" s="301">
        <v>0.11782645709109293</v>
      </c>
      <c r="F118" s="301">
        <v>0.25</v>
      </c>
    </row>
    <row r="119" spans="1:6" ht="16">
      <c r="A119" s="44" t="s">
        <v>312</v>
      </c>
      <c r="B119" s="47" t="s">
        <v>588</v>
      </c>
      <c r="C119" s="261">
        <v>5.5078211009174309E-2</v>
      </c>
      <c r="D119" s="261">
        <f t="shared" si="1"/>
        <v>0.12729467932892288</v>
      </c>
      <c r="E119" s="264">
        <v>7.7694679328922892E-2</v>
      </c>
      <c r="F119" s="264">
        <v>0.32</v>
      </c>
    </row>
    <row r="120" spans="1:6" ht="16">
      <c r="A120" s="44" t="s">
        <v>313</v>
      </c>
      <c r="B120" s="47" t="s">
        <v>593</v>
      </c>
      <c r="C120" s="261">
        <v>0</v>
      </c>
      <c r="D120" s="261">
        <f t="shared" si="1"/>
        <v>4.9599999999999998E-2</v>
      </c>
      <c r="E120" s="264">
        <v>0</v>
      </c>
      <c r="F120" s="264">
        <v>0.25800000000000001</v>
      </c>
    </row>
    <row r="121" spans="1:6" ht="16">
      <c r="A121" s="44" t="s">
        <v>314</v>
      </c>
      <c r="B121" s="47" t="s">
        <v>593</v>
      </c>
      <c r="C121" s="261">
        <v>0</v>
      </c>
      <c r="D121" s="261">
        <f t="shared" si="1"/>
        <v>4.9599999999999998E-2</v>
      </c>
      <c r="E121" s="264">
        <v>0</v>
      </c>
      <c r="F121" s="264">
        <v>0.28000000000000003</v>
      </c>
    </row>
    <row r="122" spans="1:6" ht="16">
      <c r="A122" s="44" t="s">
        <v>371</v>
      </c>
      <c r="B122" s="47" t="s">
        <v>600</v>
      </c>
      <c r="C122" s="261">
        <v>7.9525458715596339E-2</v>
      </c>
      <c r="D122" s="261">
        <f t="shared" si="1"/>
        <v>0.16178056832609494</v>
      </c>
      <c r="E122" s="264">
        <v>0.11218056832609494</v>
      </c>
      <c r="F122" s="264">
        <v>0.3</v>
      </c>
    </row>
    <row r="123" spans="1:6" ht="16">
      <c r="A123" s="44" t="s">
        <v>621</v>
      </c>
      <c r="B123" s="47" t="s">
        <v>600</v>
      </c>
      <c r="C123" s="261">
        <v>7.9525458715596339E-2</v>
      </c>
      <c r="D123" s="261">
        <f t="shared" si="1"/>
        <v>0.16178056832609494</v>
      </c>
      <c r="E123" s="264">
        <v>0.11218056832609494</v>
      </c>
      <c r="F123" s="264">
        <v>0.2281</v>
      </c>
    </row>
    <row r="124" spans="1:6" ht="16">
      <c r="A124" s="44" t="s">
        <v>315</v>
      </c>
      <c r="B124" s="47" t="s">
        <v>600</v>
      </c>
      <c r="C124" s="261">
        <v>7.9525458715596339E-2</v>
      </c>
      <c r="D124" s="261">
        <f t="shared" si="1"/>
        <v>0.16178056832609494</v>
      </c>
      <c r="E124" s="264">
        <v>0.11218056832609494</v>
      </c>
      <c r="F124" s="264">
        <v>0.3</v>
      </c>
    </row>
    <row r="125" spans="1:6" ht="16">
      <c r="A125" s="44" t="s">
        <v>316</v>
      </c>
      <c r="B125" s="47" t="s">
        <v>593</v>
      </c>
      <c r="C125" s="261">
        <v>0</v>
      </c>
      <c r="D125" s="261">
        <f t="shared" si="1"/>
        <v>4.9599999999999998E-2</v>
      </c>
      <c r="E125" s="264">
        <v>0</v>
      </c>
      <c r="F125" s="264">
        <v>0.22</v>
      </c>
    </row>
    <row r="126" spans="1:6" ht="16">
      <c r="A126" s="44" t="s">
        <v>317</v>
      </c>
      <c r="B126" s="47" t="s">
        <v>597</v>
      </c>
      <c r="C126" s="261">
        <v>4.4005045871559637E-2</v>
      </c>
      <c r="D126" s="261">
        <f t="shared" si="1"/>
        <v>0.11167460019490968</v>
      </c>
      <c r="E126" s="264">
        <v>6.2074600194909679E-2</v>
      </c>
      <c r="F126" s="264">
        <v>0.15</v>
      </c>
    </row>
    <row r="127" spans="1:6" ht="16">
      <c r="A127" s="44" t="s">
        <v>318</v>
      </c>
      <c r="B127" s="47" t="s">
        <v>598</v>
      </c>
      <c r="C127" s="261">
        <v>9.1749082568807344E-2</v>
      </c>
      <c r="D127" s="261">
        <f t="shared" si="1"/>
        <v>0.17902351282468096</v>
      </c>
      <c r="E127" s="264">
        <v>0.12942351282468095</v>
      </c>
      <c r="F127" s="264">
        <v>0.28999999999999998</v>
      </c>
    </row>
    <row r="128" spans="1:6" ht="16">
      <c r="A128" s="44" t="s">
        <v>319</v>
      </c>
      <c r="B128" s="47" t="s">
        <v>590</v>
      </c>
      <c r="C128" s="261">
        <v>2.3296788990825688E-2</v>
      </c>
      <c r="D128" s="261">
        <f t="shared" si="1"/>
        <v>8.2463023632599233E-2</v>
      </c>
      <c r="E128" s="264">
        <v>3.2863023632599235E-2</v>
      </c>
      <c r="F128" s="264">
        <v>0.25</v>
      </c>
    </row>
    <row r="129" spans="1:6" ht="16">
      <c r="A129" s="44" t="s">
        <v>320</v>
      </c>
      <c r="B129" s="47" t="s">
        <v>591</v>
      </c>
      <c r="C129" s="261">
        <v>6.7301834862385335E-2</v>
      </c>
      <c r="D129" s="261">
        <f t="shared" si="1"/>
        <v>0.14453762382750893</v>
      </c>
      <c r="E129" s="264">
        <v>9.4937623827508935E-2</v>
      </c>
      <c r="F129" s="264">
        <v>0.3</v>
      </c>
    </row>
    <row r="130" spans="1:6" ht="16">
      <c r="A130" s="44" t="s">
        <v>321</v>
      </c>
      <c r="B130" s="47" t="s">
        <v>608</v>
      </c>
      <c r="C130" s="261">
        <v>3.0630963302752296E-2</v>
      </c>
      <c r="D130" s="261">
        <f t="shared" si="1"/>
        <v>9.2808790331750851E-2</v>
      </c>
      <c r="E130" s="264">
        <v>4.3208790331750853E-2</v>
      </c>
      <c r="F130" s="264">
        <v>0.1</v>
      </c>
    </row>
    <row r="131" spans="1:6" ht="16">
      <c r="A131" s="44" t="s">
        <v>322</v>
      </c>
      <c r="B131" s="47" t="s">
        <v>592</v>
      </c>
      <c r="C131" s="261">
        <v>1.9557798165137613E-2</v>
      </c>
      <c r="D131" s="261">
        <f t="shared" si="1"/>
        <v>7.7188711197737625E-2</v>
      </c>
      <c r="E131" s="264">
        <v>2.758871119773763E-2</v>
      </c>
      <c r="F131" s="264">
        <v>0.29499999999999998</v>
      </c>
    </row>
    <row r="132" spans="1:6" ht="16">
      <c r="A132" s="44" t="s">
        <v>323</v>
      </c>
      <c r="B132" s="47" t="s">
        <v>590</v>
      </c>
      <c r="C132" s="261">
        <v>2.3296788990825688E-2</v>
      </c>
      <c r="D132" s="261">
        <f t="shared" si="1"/>
        <v>8.2463023632599233E-2</v>
      </c>
      <c r="E132" s="264">
        <v>3.2863023632599235E-2</v>
      </c>
      <c r="F132" s="264">
        <v>0.25</v>
      </c>
    </row>
    <row r="133" spans="1:6" ht="16">
      <c r="A133" s="44" t="s">
        <v>324</v>
      </c>
      <c r="B133" s="47" t="s">
        <v>602</v>
      </c>
      <c r="C133" s="261">
        <v>1.0354128440366973E-2</v>
      </c>
      <c r="D133" s="261">
        <f t="shared" si="1"/>
        <v>6.420578828115521E-2</v>
      </c>
      <c r="E133" s="264">
        <v>1.4605788281155217E-2</v>
      </c>
      <c r="F133" s="264">
        <v>0.19</v>
      </c>
    </row>
    <row r="134" spans="1:6" ht="16">
      <c r="A134" s="44" t="s">
        <v>325</v>
      </c>
      <c r="B134" s="47" t="s">
        <v>590</v>
      </c>
      <c r="C134" s="261">
        <v>2.3296788990825688E-2</v>
      </c>
      <c r="D134" s="261">
        <f t="shared" ref="D134:D181" si="2">$B$1+E134</f>
        <v>8.2463023632599233E-2</v>
      </c>
      <c r="E134" s="264">
        <v>3.2863023632599235E-2</v>
      </c>
      <c r="F134" s="264">
        <v>0.21</v>
      </c>
    </row>
    <row r="135" spans="1:6" ht="16">
      <c r="A135" s="44" t="s">
        <v>326</v>
      </c>
      <c r="B135" s="47" t="s">
        <v>599</v>
      </c>
      <c r="C135" s="261">
        <v>7.3341743119266058E-3</v>
      </c>
      <c r="D135" s="261">
        <f t="shared" si="2"/>
        <v>5.9945766699151609E-2</v>
      </c>
      <c r="E135" s="264">
        <v>1.0345766699151613E-2</v>
      </c>
      <c r="F135" s="264">
        <v>0.1</v>
      </c>
    </row>
    <row r="136" spans="1:6" ht="16">
      <c r="A136" s="44" t="s">
        <v>504</v>
      </c>
      <c r="B136" s="47" t="s">
        <v>606</v>
      </c>
      <c r="C136" s="261">
        <v>1.4668348623853212E-2</v>
      </c>
      <c r="D136" s="261">
        <f t="shared" si="2"/>
        <v>7.0291533398303227E-2</v>
      </c>
      <c r="E136" s="264">
        <v>2.0691533398303225E-2</v>
      </c>
      <c r="F136" s="264">
        <v>0</v>
      </c>
    </row>
    <row r="137" spans="1:6" ht="16">
      <c r="A137" s="44" t="s">
        <v>327</v>
      </c>
      <c r="B137" s="47" t="s">
        <v>596</v>
      </c>
      <c r="C137" s="261">
        <v>2.6891972477064225E-2</v>
      </c>
      <c r="D137" s="261">
        <f t="shared" si="2"/>
        <v>8.7534477896889257E-2</v>
      </c>
      <c r="E137" s="264">
        <v>3.7934477896889252E-2</v>
      </c>
      <c r="F137" s="264">
        <v>0.16</v>
      </c>
    </row>
    <row r="138" spans="1:6" ht="16">
      <c r="A138" s="44" t="s">
        <v>328</v>
      </c>
      <c r="B138" s="47" t="s">
        <v>598</v>
      </c>
      <c r="C138" s="261">
        <v>9.1749082568807344E-2</v>
      </c>
      <c r="D138" s="261">
        <f t="shared" si="2"/>
        <v>0.17902351282468096</v>
      </c>
      <c r="E138" s="264">
        <v>0.12942351282468095</v>
      </c>
      <c r="F138" s="264">
        <v>0.2</v>
      </c>
    </row>
    <row r="139" spans="1:6" ht="16">
      <c r="A139" s="44" t="s">
        <v>491</v>
      </c>
      <c r="B139" s="47" t="s">
        <v>591</v>
      </c>
      <c r="C139" s="261">
        <v>6.7301834862385335E-2</v>
      </c>
      <c r="D139" s="261">
        <f t="shared" si="2"/>
        <v>0.14453762382750893</v>
      </c>
      <c r="E139" s="264">
        <v>9.4937623827508935E-2</v>
      </c>
      <c r="F139" s="264">
        <v>0.3</v>
      </c>
    </row>
    <row r="140" spans="1:6" ht="16">
      <c r="A140" s="44" t="s">
        <v>329</v>
      </c>
      <c r="B140" s="47" t="s">
        <v>604</v>
      </c>
      <c r="C140" s="261">
        <v>8.6284403669724778E-3</v>
      </c>
      <c r="D140" s="261">
        <f t="shared" si="2"/>
        <v>6.1771490234296011E-2</v>
      </c>
      <c r="E140" s="264">
        <v>1.2171490234296015E-2</v>
      </c>
      <c r="F140" s="264">
        <v>0.2</v>
      </c>
    </row>
    <row r="141" spans="1:6" ht="16">
      <c r="A141" s="44" t="s">
        <v>372</v>
      </c>
      <c r="B141" s="47" t="s">
        <v>597</v>
      </c>
      <c r="C141" s="261">
        <v>4.4005045871559637E-2</v>
      </c>
      <c r="D141" s="261">
        <f t="shared" si="2"/>
        <v>0.11167460019490968</v>
      </c>
      <c r="E141" s="264">
        <v>6.2074600194909679E-2</v>
      </c>
      <c r="F141" s="264">
        <v>0.3</v>
      </c>
    </row>
    <row r="142" spans="1:6" ht="16">
      <c r="A142" s="44" t="s">
        <v>330</v>
      </c>
      <c r="B142" s="47" t="s">
        <v>595</v>
      </c>
      <c r="C142" s="261">
        <v>3.6814678899082569E-2</v>
      </c>
      <c r="D142" s="261">
        <f t="shared" si="2"/>
        <v>0.10153169166632967</v>
      </c>
      <c r="E142" s="264">
        <v>5.193169166632966E-2</v>
      </c>
      <c r="F142" s="264">
        <v>0.15</v>
      </c>
    </row>
    <row r="143" spans="1:6" ht="16">
      <c r="A143" s="44" t="s">
        <v>505</v>
      </c>
      <c r="B143" s="47" t="s">
        <v>608</v>
      </c>
      <c r="C143" s="261">
        <v>3.0630963302752296E-2</v>
      </c>
      <c r="D143" s="261">
        <f t="shared" si="2"/>
        <v>9.2808790331750851E-2</v>
      </c>
      <c r="E143" s="264">
        <v>4.3208790331750853E-2</v>
      </c>
      <c r="F143" s="264">
        <v>0</v>
      </c>
    </row>
    <row r="144" spans="1:6" ht="16">
      <c r="A144" s="262" t="s">
        <v>622</v>
      </c>
      <c r="B144" s="137" t="s">
        <v>680</v>
      </c>
      <c r="C144" s="234">
        <v>0.21267174850931153</v>
      </c>
      <c r="D144" s="261">
        <f t="shared" si="2"/>
        <v>0.20287174850931153</v>
      </c>
      <c r="E144" s="301">
        <v>0.15327174850931152</v>
      </c>
      <c r="F144" s="301">
        <v>0.3</v>
      </c>
    </row>
    <row r="145" spans="1:6" ht="16">
      <c r="A145" s="44" t="s">
        <v>331</v>
      </c>
      <c r="B145" s="47" t="s">
        <v>593</v>
      </c>
      <c r="C145" s="261">
        <v>0</v>
      </c>
      <c r="D145" s="261">
        <f t="shared" si="2"/>
        <v>4.9599999999999998E-2</v>
      </c>
      <c r="E145" s="264">
        <v>0</v>
      </c>
      <c r="F145" s="264">
        <v>0.17</v>
      </c>
    </row>
    <row r="146" spans="1:6" ht="16">
      <c r="A146" s="44" t="s">
        <v>373</v>
      </c>
      <c r="B146" s="47" t="s">
        <v>602</v>
      </c>
      <c r="C146" s="261">
        <v>1.0354128440366973E-2</v>
      </c>
      <c r="D146" s="261">
        <f t="shared" si="2"/>
        <v>6.420578828115521E-2</v>
      </c>
      <c r="E146" s="264">
        <v>1.4605788281155217E-2</v>
      </c>
      <c r="F146" s="264">
        <v>0.21</v>
      </c>
    </row>
    <row r="147" spans="1:6" ht="16">
      <c r="A147" s="44" t="s">
        <v>332</v>
      </c>
      <c r="B147" s="47" t="s">
        <v>606</v>
      </c>
      <c r="C147" s="261">
        <v>1.4668348623853212E-2</v>
      </c>
      <c r="D147" s="261">
        <f t="shared" si="2"/>
        <v>7.0291533398303227E-2</v>
      </c>
      <c r="E147" s="264">
        <v>2.0691533398303225E-2</v>
      </c>
      <c r="F147" s="264">
        <v>0.19</v>
      </c>
    </row>
    <row r="148" spans="1:6" ht="16">
      <c r="A148" s="44" t="s">
        <v>623</v>
      </c>
      <c r="B148" s="47" t="s">
        <v>598</v>
      </c>
      <c r="C148" s="261">
        <v>9.1749082568807344E-2</v>
      </c>
      <c r="D148" s="261">
        <f t="shared" si="2"/>
        <v>0.17902351282468096</v>
      </c>
      <c r="E148" s="264">
        <v>0.12942351282468095</v>
      </c>
      <c r="F148" s="264">
        <v>0.3</v>
      </c>
    </row>
    <row r="149" spans="1:6" ht="16">
      <c r="A149" s="262" t="s">
        <v>624</v>
      </c>
      <c r="B149" s="137" t="s">
        <v>680</v>
      </c>
      <c r="C149" s="234">
        <v>0.20664604896821434</v>
      </c>
      <c r="D149" s="261">
        <f t="shared" si="2"/>
        <v>0.19684604896821434</v>
      </c>
      <c r="E149" s="301">
        <v>0.14724604896821433</v>
      </c>
      <c r="F149" s="301">
        <v>0.29149999999999998</v>
      </c>
    </row>
    <row r="150" spans="1:6" ht="16">
      <c r="A150" s="44" t="s">
        <v>333</v>
      </c>
      <c r="B150" s="47" t="s">
        <v>595</v>
      </c>
      <c r="C150" s="261">
        <v>3.6814678899082569E-2</v>
      </c>
      <c r="D150" s="261">
        <f t="shared" si="2"/>
        <v>0.10153169166632967</v>
      </c>
      <c r="E150" s="264">
        <v>5.193169166632966E-2</v>
      </c>
      <c r="F150" s="264">
        <v>0.27</v>
      </c>
    </row>
    <row r="151" spans="1:6" ht="16">
      <c r="A151" s="44" t="s">
        <v>334</v>
      </c>
      <c r="B151" s="47" t="s">
        <v>592</v>
      </c>
      <c r="C151" s="261">
        <v>1.9557798165137613E-2</v>
      </c>
      <c r="D151" s="261">
        <f t="shared" si="2"/>
        <v>7.7188711197737625E-2</v>
      </c>
      <c r="E151" s="264">
        <v>2.758871119773763E-2</v>
      </c>
      <c r="F151" s="264">
        <v>0.25</v>
      </c>
    </row>
    <row r="152" spans="1:6" ht="16">
      <c r="A152" s="44" t="s">
        <v>335</v>
      </c>
      <c r="B152" s="47" t="s">
        <v>681</v>
      </c>
      <c r="C152" s="261">
        <v>0.14682729357798166</v>
      </c>
      <c r="D152" s="261">
        <f t="shared" si="2"/>
        <v>0.25671819215360386</v>
      </c>
      <c r="E152" s="264">
        <v>0.20711819215360386</v>
      </c>
      <c r="F152" s="264">
        <v>0.24</v>
      </c>
    </row>
    <row r="153" spans="1:6" ht="16">
      <c r="A153" s="44" t="s">
        <v>431</v>
      </c>
      <c r="B153" s="47" t="s">
        <v>595</v>
      </c>
      <c r="C153" s="261">
        <v>3.6814678899082569E-2</v>
      </c>
      <c r="D153" s="261">
        <f t="shared" si="2"/>
        <v>0.10153169166632967</v>
      </c>
      <c r="E153" s="264">
        <v>5.193169166632966E-2</v>
      </c>
      <c r="F153" s="264">
        <v>0.27179999999999999</v>
      </c>
    </row>
    <row r="154" spans="1:6" ht="16">
      <c r="A154" s="44" t="s">
        <v>374</v>
      </c>
      <c r="B154" s="47" t="s">
        <v>600</v>
      </c>
      <c r="C154" s="261">
        <v>7.9525458715596339E-2</v>
      </c>
      <c r="D154" s="261">
        <f t="shared" si="2"/>
        <v>0.16178056832609494</v>
      </c>
      <c r="E154" s="264">
        <v>0.11218056832609494</v>
      </c>
      <c r="F154" s="264">
        <v>0.27179999999999999</v>
      </c>
    </row>
    <row r="155" spans="1:6" ht="16">
      <c r="A155" s="262" t="s">
        <v>625</v>
      </c>
      <c r="B155" s="137" t="s">
        <v>680</v>
      </c>
      <c r="C155" s="234">
        <v>0.24811703992753009</v>
      </c>
      <c r="D155" s="261">
        <f t="shared" si="2"/>
        <v>0.23831703992753009</v>
      </c>
      <c r="E155" s="301">
        <v>0.18871703992753008</v>
      </c>
      <c r="F155" s="301">
        <v>0.35</v>
      </c>
    </row>
    <row r="156" spans="1:6" ht="16">
      <c r="A156" s="44" t="s">
        <v>375</v>
      </c>
      <c r="B156" s="47" t="s">
        <v>684</v>
      </c>
      <c r="C156" s="261">
        <v>0.12238004587155965</v>
      </c>
      <c r="D156" s="261">
        <f t="shared" si="2"/>
        <v>0.22223230315643183</v>
      </c>
      <c r="E156" s="264">
        <v>0.17263230315643183</v>
      </c>
      <c r="F156" s="264">
        <v>0.36</v>
      </c>
    </row>
    <row r="157" spans="1:6" ht="16">
      <c r="A157" s="44" t="s">
        <v>626</v>
      </c>
      <c r="B157" s="47" t="s">
        <v>600</v>
      </c>
      <c r="C157" s="261">
        <v>7.9525458715596339E-2</v>
      </c>
      <c r="D157" s="261">
        <f t="shared" si="2"/>
        <v>0.16178056832609494</v>
      </c>
      <c r="E157" s="264">
        <v>0.11218056832609494</v>
      </c>
      <c r="F157" s="264">
        <v>0.27500000000000002</v>
      </c>
    </row>
    <row r="158" spans="1:6" ht="16">
      <c r="A158" s="44" t="s">
        <v>336</v>
      </c>
      <c r="B158" s="47" t="s">
        <v>593</v>
      </c>
      <c r="C158" s="261">
        <v>0</v>
      </c>
      <c r="D158" s="261">
        <f t="shared" si="2"/>
        <v>4.9599999999999998E-2</v>
      </c>
      <c r="E158" s="264">
        <v>0</v>
      </c>
      <c r="F158" s="264">
        <v>0.20600000000000002</v>
      </c>
    </row>
    <row r="159" spans="1:6" ht="16">
      <c r="A159" s="44" t="s">
        <v>337</v>
      </c>
      <c r="B159" s="47" t="s">
        <v>593</v>
      </c>
      <c r="C159" s="261">
        <v>0</v>
      </c>
      <c r="D159" s="261">
        <f t="shared" si="2"/>
        <v>4.9599999999999998E-2</v>
      </c>
      <c r="E159" s="264">
        <v>0</v>
      </c>
      <c r="F159" s="264">
        <v>0.18</v>
      </c>
    </row>
    <row r="160" spans="1:6" ht="16">
      <c r="A160" s="262" t="s">
        <v>627</v>
      </c>
      <c r="B160" s="137" t="s">
        <v>680</v>
      </c>
      <c r="C160" s="234">
        <v>0.1984936319420241</v>
      </c>
      <c r="D160" s="261">
        <f t="shared" si="2"/>
        <v>0.1886936319420241</v>
      </c>
      <c r="E160" s="301">
        <v>0.13909363194202409</v>
      </c>
      <c r="F160" s="301">
        <v>0.28000000000000003</v>
      </c>
    </row>
    <row r="161" spans="1:6" ht="16">
      <c r="A161" s="44" t="s">
        <v>338</v>
      </c>
      <c r="B161" s="47" t="s">
        <v>599</v>
      </c>
      <c r="C161" s="261">
        <v>7.3341743119266058E-3</v>
      </c>
      <c r="D161" s="261">
        <f t="shared" si="2"/>
        <v>5.9945766699151609E-2</v>
      </c>
      <c r="E161" s="264">
        <v>1.0345766699151613E-2</v>
      </c>
      <c r="F161" s="264">
        <v>0.2</v>
      </c>
    </row>
    <row r="162" spans="1:6" ht="16">
      <c r="A162" s="44" t="s">
        <v>628</v>
      </c>
      <c r="B162" s="48" t="s">
        <v>600</v>
      </c>
      <c r="C162" s="261">
        <v>7.9525458715596339E-2</v>
      </c>
      <c r="D162" s="261">
        <f t="shared" si="2"/>
        <v>0.16178056832609494</v>
      </c>
      <c r="E162" s="263">
        <v>0.11218056832609494</v>
      </c>
      <c r="F162" s="263">
        <v>0.18</v>
      </c>
    </row>
    <row r="163" spans="1:6" ht="16">
      <c r="A163" s="44" t="s">
        <v>629</v>
      </c>
      <c r="B163" s="48" t="s">
        <v>591</v>
      </c>
      <c r="C163" s="261">
        <v>6.7301834862385335E-2</v>
      </c>
      <c r="D163" s="261">
        <f t="shared" si="2"/>
        <v>0.14453762382750893</v>
      </c>
      <c r="E163" s="263">
        <v>9.4937623827508935E-2</v>
      </c>
      <c r="F163" s="263">
        <v>0.3</v>
      </c>
    </row>
    <row r="164" spans="1:6" ht="16">
      <c r="A164" s="44" t="s">
        <v>339</v>
      </c>
      <c r="B164" s="48" t="s">
        <v>592</v>
      </c>
      <c r="C164" s="261">
        <v>1.9557798165137613E-2</v>
      </c>
      <c r="D164" s="261">
        <f t="shared" si="2"/>
        <v>7.7188711197737625E-2</v>
      </c>
      <c r="E164" s="263">
        <v>2.758871119773763E-2</v>
      </c>
      <c r="F164" s="263">
        <v>0.2</v>
      </c>
    </row>
    <row r="165" spans="1:6" ht="16">
      <c r="A165" s="44" t="s">
        <v>630</v>
      </c>
      <c r="B165" s="48" t="s">
        <v>600</v>
      </c>
      <c r="C165" s="261">
        <v>7.9525458715596339E-2</v>
      </c>
      <c r="D165" s="261">
        <f t="shared" si="2"/>
        <v>0.16178056832609494</v>
      </c>
      <c r="E165" s="263">
        <v>0.11218056832609494</v>
      </c>
      <c r="F165" s="263">
        <v>0.2281</v>
      </c>
    </row>
    <row r="166" spans="1:6" ht="16">
      <c r="A166" s="44" t="s">
        <v>635</v>
      </c>
      <c r="B166" s="48" t="s">
        <v>595</v>
      </c>
      <c r="C166" s="261">
        <v>3.6814678899082569E-2</v>
      </c>
      <c r="D166" s="261">
        <f t="shared" si="2"/>
        <v>0.10153169166632967</v>
      </c>
      <c r="E166" s="263">
        <v>5.193169166632966E-2</v>
      </c>
      <c r="F166" s="263">
        <v>0.3</v>
      </c>
    </row>
    <row r="167" spans="1:6" ht="16">
      <c r="A167" s="44" t="s">
        <v>340</v>
      </c>
      <c r="B167" s="48" t="s">
        <v>598</v>
      </c>
      <c r="C167" s="261">
        <v>9.1749082568807344E-2</v>
      </c>
      <c r="D167" s="261">
        <f t="shared" si="2"/>
        <v>0.17902351282468096</v>
      </c>
      <c r="E167" s="263">
        <v>0.12942351282468095</v>
      </c>
      <c r="F167" s="263">
        <v>0.15</v>
      </c>
    </row>
    <row r="168" spans="1:6" ht="16">
      <c r="A168" s="44" t="s">
        <v>341</v>
      </c>
      <c r="B168" s="48" t="s">
        <v>600</v>
      </c>
      <c r="C168" s="261">
        <v>7.9525458715596339E-2</v>
      </c>
      <c r="D168" s="261">
        <f t="shared" si="2"/>
        <v>0.16178056832609494</v>
      </c>
      <c r="E168" s="263">
        <v>0.11218056832609494</v>
      </c>
      <c r="F168" s="263">
        <v>0.23</v>
      </c>
    </row>
    <row r="169" spans="1:6" ht="16">
      <c r="A169" s="44" t="s">
        <v>636</v>
      </c>
      <c r="B169" s="48" t="s">
        <v>592</v>
      </c>
      <c r="C169" s="261">
        <v>1.9557798165137613E-2</v>
      </c>
      <c r="D169" s="261">
        <f t="shared" si="2"/>
        <v>7.7188711197737625E-2</v>
      </c>
      <c r="E169" s="263">
        <v>2.758871119773763E-2</v>
      </c>
      <c r="F169" s="263">
        <v>0</v>
      </c>
    </row>
    <row r="170" spans="1:6" ht="16">
      <c r="A170" s="44" t="s">
        <v>432</v>
      </c>
      <c r="B170" s="48" t="s">
        <v>591</v>
      </c>
      <c r="C170" s="261">
        <v>6.7301834862385335E-2</v>
      </c>
      <c r="D170" s="261">
        <f t="shared" si="2"/>
        <v>0.14453762382750893</v>
      </c>
      <c r="E170" s="263">
        <v>9.4937623827508935E-2</v>
      </c>
      <c r="F170" s="263">
        <v>0.3</v>
      </c>
    </row>
    <row r="171" spans="1:6" ht="16">
      <c r="A171" s="44" t="s">
        <v>342</v>
      </c>
      <c r="B171" s="48" t="s">
        <v>684</v>
      </c>
      <c r="C171" s="261">
        <v>0.12238004587155965</v>
      </c>
      <c r="D171" s="261">
        <f t="shared" si="2"/>
        <v>0.22223230315643183</v>
      </c>
      <c r="E171" s="263">
        <v>0.17263230315643183</v>
      </c>
      <c r="F171" s="263">
        <v>0.18</v>
      </c>
    </row>
    <row r="172" spans="1:6" ht="16">
      <c r="A172" s="44" t="s">
        <v>343</v>
      </c>
      <c r="B172" s="48" t="s">
        <v>587</v>
      </c>
      <c r="C172" s="261">
        <v>6.0399082568807346E-3</v>
      </c>
      <c r="D172" s="261">
        <f t="shared" si="2"/>
        <v>5.8120043164007207E-2</v>
      </c>
      <c r="E172" s="263">
        <v>8.5200431640072103E-3</v>
      </c>
      <c r="F172" s="263">
        <v>0</v>
      </c>
    </row>
    <row r="173" spans="1:6" ht="16">
      <c r="A173" s="44" t="s">
        <v>344</v>
      </c>
      <c r="B173" s="48" t="s">
        <v>599</v>
      </c>
      <c r="C173" s="261">
        <v>7.3341743119266058E-3</v>
      </c>
      <c r="D173" s="261">
        <f t="shared" si="2"/>
        <v>5.9945766699151609E-2</v>
      </c>
      <c r="E173" s="263">
        <v>1.0345766699151613E-2</v>
      </c>
      <c r="F173" s="263">
        <v>0.25</v>
      </c>
    </row>
    <row r="174" spans="1:6" ht="16">
      <c r="A174" s="44" t="s">
        <v>345</v>
      </c>
      <c r="B174" s="48" t="s">
        <v>593</v>
      </c>
      <c r="C174" s="261">
        <v>0</v>
      </c>
      <c r="D174" s="261">
        <f t="shared" si="2"/>
        <v>4.9599999999999998E-2</v>
      </c>
      <c r="E174" s="263">
        <v>0</v>
      </c>
      <c r="F174" s="263">
        <v>0.25</v>
      </c>
    </row>
    <row r="175" spans="1:6" ht="16">
      <c r="A175" s="44" t="s">
        <v>346</v>
      </c>
      <c r="B175" s="48" t="s">
        <v>590</v>
      </c>
      <c r="C175" s="261">
        <v>2.3296788990825688E-2</v>
      </c>
      <c r="D175" s="261">
        <f t="shared" si="2"/>
        <v>8.2463023632599233E-2</v>
      </c>
      <c r="E175" s="263">
        <v>3.2863023632599235E-2</v>
      </c>
      <c r="F175" s="263">
        <v>0.25</v>
      </c>
    </row>
    <row r="176" spans="1:6" ht="16">
      <c r="A176" s="44" t="s">
        <v>689</v>
      </c>
      <c r="B176" s="48" t="s">
        <v>588</v>
      </c>
      <c r="C176" s="261">
        <v>5.5078211009174309E-2</v>
      </c>
      <c r="D176" s="261">
        <f t="shared" si="2"/>
        <v>0.12729467932892288</v>
      </c>
      <c r="E176" s="263">
        <v>7.7694679328922892E-2</v>
      </c>
      <c r="F176" s="263">
        <v>0.15</v>
      </c>
    </row>
    <row r="177" spans="1:6" ht="16">
      <c r="A177" s="44" t="s">
        <v>347</v>
      </c>
      <c r="B177" s="48" t="s">
        <v>637</v>
      </c>
      <c r="C177" s="261">
        <v>0.17499999999999999</v>
      </c>
      <c r="D177" s="261">
        <f t="shared" si="2"/>
        <v>0.29645930485826311</v>
      </c>
      <c r="E177" s="263">
        <v>0.2468593048582631</v>
      </c>
      <c r="F177" s="263">
        <v>0.34</v>
      </c>
    </row>
    <row r="178" spans="1:6" ht="16">
      <c r="A178" s="44" t="s">
        <v>348</v>
      </c>
      <c r="B178" s="48" t="s">
        <v>595</v>
      </c>
      <c r="C178" s="261">
        <v>3.6814678899082569E-2</v>
      </c>
      <c r="D178" s="261">
        <f t="shared" si="2"/>
        <v>0.10153169166632967</v>
      </c>
      <c r="E178" s="263">
        <v>5.193169166632966E-2</v>
      </c>
      <c r="F178" s="263">
        <v>0.2</v>
      </c>
    </row>
    <row r="179" spans="1:6" ht="16">
      <c r="A179" s="262" t="s">
        <v>690</v>
      </c>
      <c r="B179" s="155" t="s">
        <v>680</v>
      </c>
      <c r="C179" s="234">
        <v>0.14178116567287435</v>
      </c>
      <c r="D179" s="261">
        <f t="shared" si="2"/>
        <v>0.13198116567287435</v>
      </c>
      <c r="E179" s="234">
        <v>8.2381165672874346E-2</v>
      </c>
      <c r="F179" s="234">
        <v>0.2</v>
      </c>
    </row>
    <row r="180" spans="1:6" ht="16">
      <c r="A180" s="44" t="s">
        <v>349</v>
      </c>
      <c r="B180" s="48" t="s">
        <v>681</v>
      </c>
      <c r="C180" s="261">
        <v>0.14682729357798166</v>
      </c>
      <c r="D180" s="261">
        <f t="shared" si="2"/>
        <v>0.25671819215360386</v>
      </c>
      <c r="E180" s="263">
        <v>0.20711819215360386</v>
      </c>
      <c r="F180" s="263">
        <v>0.35</v>
      </c>
    </row>
    <row r="181" spans="1:6" ht="16">
      <c r="A181" s="262" t="s">
        <v>631</v>
      </c>
      <c r="B181" s="155" t="s">
        <v>680</v>
      </c>
      <c r="C181" s="234">
        <v>0.17722645709109294</v>
      </c>
      <c r="D181" s="261">
        <f t="shared" si="2"/>
        <v>0.16742645709109294</v>
      </c>
      <c r="E181" s="234">
        <v>0.11782645709109293</v>
      </c>
      <c r="F181" s="234">
        <v>0.25</v>
      </c>
    </row>
    <row r="184" spans="1:6">
      <c r="A184" s="303" t="s">
        <v>353</v>
      </c>
      <c r="B184" s="304" t="s">
        <v>691</v>
      </c>
      <c r="C184" s="304" t="s">
        <v>692</v>
      </c>
      <c r="D184" s="304" t="s">
        <v>693</v>
      </c>
      <c r="E184" s="304" t="s">
        <v>694</v>
      </c>
    </row>
    <row r="185" spans="1:6">
      <c r="A185" s="1" t="s">
        <v>356</v>
      </c>
      <c r="B185" s="3">
        <f>$B$1+E185</f>
        <v>0.14595842480808141</v>
      </c>
      <c r="C185" s="3">
        <v>6.830904895845899E-2</v>
      </c>
      <c r="D185" s="3">
        <v>0.27268967770769714</v>
      </c>
      <c r="E185" s="3">
        <v>9.6358424808081405E-2</v>
      </c>
    </row>
    <row r="186" spans="1:6">
      <c r="A186" s="1" t="s">
        <v>429</v>
      </c>
      <c r="B186" s="3">
        <f t="shared" ref="B186:B194" si="3">$B$1+E186</f>
        <v>6.8881546633950519E-2</v>
      </c>
      <c r="C186" s="3">
        <v>1.3668800788686953E-2</v>
      </c>
      <c r="D186" s="3">
        <v>0.24521330317788381</v>
      </c>
      <c r="E186" s="3">
        <v>1.9281546633950514E-2</v>
      </c>
    </row>
    <row r="187" spans="1:6">
      <c r="A187" s="1" t="s">
        <v>358</v>
      </c>
      <c r="B187" s="3">
        <f t="shared" si="3"/>
        <v>4.9600016642806437E-2</v>
      </c>
      <c r="C187" s="3">
        <v>1.179818248697996E-8</v>
      </c>
      <c r="D187" s="3">
        <v>0.29721092725087606</v>
      </c>
      <c r="E187" s="3">
        <v>1.6642806441867469E-8</v>
      </c>
    </row>
    <row r="188" spans="1:6">
      <c r="A188" s="1" t="s">
        <v>360</v>
      </c>
      <c r="B188" s="3">
        <f t="shared" si="3"/>
        <v>0.16150442097799</v>
      </c>
      <c r="C188" s="3">
        <v>7.9329696251037377E-2</v>
      </c>
      <c r="D188" s="3">
        <v>0.25630683338345972</v>
      </c>
      <c r="E188" s="3">
        <v>0.11190442097799</v>
      </c>
    </row>
    <row r="189" spans="1:6">
      <c r="A189" s="1" t="s">
        <v>357</v>
      </c>
      <c r="B189" s="3">
        <f t="shared" si="3"/>
        <v>0.11525674061025501</v>
      </c>
      <c r="C189" s="3">
        <v>4.6544446090017511E-2</v>
      </c>
      <c r="D189" s="3">
        <v>0.31456268874307608</v>
      </c>
      <c r="E189" s="3">
        <v>6.5656740610255004E-2</v>
      </c>
    </row>
    <row r="190" spans="1:6">
      <c r="A190" s="1" t="s">
        <v>355</v>
      </c>
      <c r="B190" s="3">
        <f t="shared" si="3"/>
        <v>0.12752098212912111</v>
      </c>
      <c r="C190" s="3">
        <v>5.5238638383210012E-2</v>
      </c>
      <c r="D190" s="3">
        <v>0.18347474471087855</v>
      </c>
      <c r="E190" s="3">
        <v>7.7920982129121116E-2</v>
      </c>
    </row>
    <row r="191" spans="1:6">
      <c r="A191" s="1" t="s">
        <v>361</v>
      </c>
      <c r="B191" s="3">
        <f t="shared" si="3"/>
        <v>7.4662475549707258E-2</v>
      </c>
      <c r="C191" s="3">
        <v>1.7766934990427034E-2</v>
      </c>
      <c r="D191" s="3">
        <v>0.15181337167475101</v>
      </c>
      <c r="E191" s="3">
        <v>2.5062475549707256E-2</v>
      </c>
    </row>
    <row r="192" spans="1:6">
      <c r="A192" s="1" t="s">
        <v>363</v>
      </c>
      <c r="B192" s="3">
        <f t="shared" si="3"/>
        <v>4.9599999999999998E-2</v>
      </c>
      <c r="C192" s="3">
        <v>0</v>
      </c>
      <c r="D192" s="3">
        <v>0.25</v>
      </c>
      <c r="E192" s="3">
        <v>0</v>
      </c>
    </row>
    <row r="193" spans="1:5">
      <c r="A193" s="1" t="s">
        <v>354</v>
      </c>
      <c r="B193" s="3">
        <f t="shared" si="3"/>
        <v>6.4668788892060583E-2</v>
      </c>
      <c r="C193" s="3">
        <v>1.0682352271974054E-2</v>
      </c>
      <c r="D193" s="3">
        <v>0.24828912576026474</v>
      </c>
      <c r="E193" s="3">
        <v>1.5068788892060588E-2</v>
      </c>
    </row>
    <row r="194" spans="1:5">
      <c r="A194" s="1" t="s">
        <v>492</v>
      </c>
      <c r="B194" s="3">
        <f t="shared" si="3"/>
        <v>7.0033027266880377E-2</v>
      </c>
      <c r="C194" s="3">
        <v>1.448509212061963E-2</v>
      </c>
      <c r="D194" s="305">
        <v>0.24672384803400088</v>
      </c>
      <c r="E194" s="305">
        <v>2.0433027266880382E-2</v>
      </c>
    </row>
  </sheetData>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3"/>
  <sheetViews>
    <sheetView workbookViewId="0">
      <selection activeCell="C4" sqref="C4"/>
    </sheetView>
  </sheetViews>
  <sheetFormatPr baseColWidth="10" defaultRowHeight="13"/>
  <sheetData>
    <row r="1" spans="1:10" ht="18">
      <c r="A1" s="6" t="s">
        <v>210</v>
      </c>
    </row>
    <row r="2" spans="1:10" ht="18">
      <c r="A2" s="6" t="s">
        <v>211</v>
      </c>
    </row>
    <row r="3" spans="1:10" s="109" customFormat="1" ht="17" thickBot="1">
      <c r="A3" s="108" t="s">
        <v>212</v>
      </c>
    </row>
    <row r="4" spans="1:10" s="110" customFormat="1" ht="15" thickBot="1">
      <c r="A4" s="8" t="s">
        <v>213</v>
      </c>
      <c r="B4" s="8"/>
      <c r="C4" s="207">
        <f>'Cost of capital worksheet'!B24</f>
        <v>1</v>
      </c>
      <c r="D4" s="8"/>
      <c r="E4" s="8"/>
      <c r="F4" s="8"/>
      <c r="G4" s="8"/>
      <c r="H4" s="8"/>
      <c r="I4" s="8"/>
      <c r="J4" s="8"/>
    </row>
    <row r="5" spans="1:10" s="110" customFormat="1" ht="15" thickBot="1">
      <c r="A5" s="8" t="s">
        <v>214</v>
      </c>
      <c r="B5" s="8"/>
      <c r="C5" s="8"/>
      <c r="D5" s="8"/>
      <c r="E5" s="8"/>
      <c r="F5" s="100">
        <f>IF('Input sheet'!B16="Yes",'Input sheet'!B11+'Operating lease converter'!F32,'Input sheet'!B11)</f>
        <v>327</v>
      </c>
      <c r="G5" s="8" t="s">
        <v>215</v>
      </c>
      <c r="H5" s="8"/>
      <c r="I5" s="8"/>
      <c r="J5" s="8"/>
    </row>
    <row r="6" spans="1:10" s="110" customFormat="1" ht="15" thickBot="1">
      <c r="A6" s="8" t="s">
        <v>216</v>
      </c>
      <c r="B6" s="8"/>
      <c r="C6" s="8"/>
      <c r="D6" s="8"/>
      <c r="E6" s="8"/>
      <c r="F6" s="179">
        <f>IF('Input sheet'!B16="Yes",'Cost of capital worksheet'!B19+'Operating lease converter'!C28*'Operating lease converter'!C15,'Cost of capital worksheet'!B19)</f>
        <v>5.7</v>
      </c>
      <c r="G6" s="8" t="s">
        <v>217</v>
      </c>
      <c r="H6" s="8"/>
      <c r="I6" s="8"/>
      <c r="J6" s="8"/>
    </row>
    <row r="7" spans="1:10" s="110" customFormat="1" ht="15" thickBot="1">
      <c r="A7" s="8" t="s">
        <v>232</v>
      </c>
      <c r="B7" s="8"/>
      <c r="C7" s="8"/>
      <c r="D7" s="8"/>
      <c r="E7" s="8"/>
      <c r="F7" s="118">
        <f>'Input sheet'!B37</f>
        <v>3.7999999999999999E-2</v>
      </c>
      <c r="G7" s="8"/>
      <c r="H7" s="8"/>
      <c r="I7" s="8"/>
      <c r="J7" s="8"/>
    </row>
    <row r="8" spans="1:10" s="110" customFormat="1" ht="15" thickBot="1">
      <c r="A8" s="17" t="s">
        <v>120</v>
      </c>
      <c r="B8" s="8"/>
      <c r="C8" s="8"/>
      <c r="D8" s="8"/>
      <c r="E8" s="8"/>
      <c r="F8" s="8"/>
      <c r="G8" s="8"/>
      <c r="H8" s="8"/>
      <c r="I8" s="8"/>
      <c r="J8" s="8"/>
    </row>
    <row r="9" spans="1:10" s="110" customFormat="1" ht="15" thickBot="1">
      <c r="A9" s="8" t="s">
        <v>218</v>
      </c>
      <c r="B9" s="8"/>
      <c r="C9" s="8"/>
      <c r="D9" s="119">
        <f>IF(F6=0,1000000,IF(F5&lt;0,-100000,F5/F6))</f>
        <v>57.368421052631575</v>
      </c>
      <c r="E9" s="8"/>
      <c r="F9" s="8"/>
      <c r="G9" s="8"/>
      <c r="H9" s="8"/>
      <c r="I9" s="8"/>
      <c r="J9" s="8"/>
    </row>
    <row r="10" spans="1:10" s="110" customFormat="1" ht="15" thickBot="1">
      <c r="A10" s="8" t="s">
        <v>219</v>
      </c>
      <c r="D10" s="120" t="str">
        <f>IF(C4=1,VLOOKUP(D9,A19:D33,3),(IF(C4=2,VLOOKUP(D9,A38:D52,3),VLOOKUP(D9,F19:I33,3))))</f>
        <v>Aaa/AAA</v>
      </c>
      <c r="F10" s="16" t="s">
        <v>220</v>
      </c>
    </row>
    <row r="11" spans="1:10" s="110" customFormat="1" ht="15" thickBot="1">
      <c r="A11" s="8" t="s">
        <v>470</v>
      </c>
      <c r="D11" s="121">
        <f>IF(C4=1,VLOOKUP(D9,A19:D33,4),(IF(C4=2,VLOOKUP(D9,A38:D52,4),VLOOKUP(D9,F19:I33,4))))</f>
        <v>6.8999999999999999E-3</v>
      </c>
      <c r="F11" s="16" t="s">
        <v>221</v>
      </c>
    </row>
    <row r="12" spans="1:10" s="110" customFormat="1" ht="15" thickBot="1">
      <c r="A12" s="8" t="s">
        <v>471</v>
      </c>
      <c r="D12" s="121">
        <f>VLOOKUP('Input sheet'!B5,'Country equity risk premiums'!A5:C179,3)</f>
        <v>0</v>
      </c>
      <c r="F12" s="16"/>
    </row>
    <row r="13" spans="1:10" s="8" customFormat="1" ht="14" thickBot="1">
      <c r="A13" s="8" t="s">
        <v>222</v>
      </c>
      <c r="D13" s="122">
        <f>F7+D11+D12</f>
        <v>4.4899999999999995E-2</v>
      </c>
    </row>
    <row r="14" spans="1:10" s="8" customFormat="1">
      <c r="D14" s="112"/>
    </row>
    <row r="15" spans="1:10" s="15" customFormat="1">
      <c r="A15" s="15" t="s">
        <v>223</v>
      </c>
      <c r="D15" s="113"/>
    </row>
    <row r="16" spans="1:10" s="110" customFormat="1" ht="14">
      <c r="A16" s="17" t="s">
        <v>224</v>
      </c>
      <c r="F16"/>
      <c r="G16"/>
      <c r="H16"/>
      <c r="I16"/>
    </row>
    <row r="17" spans="1:10" s="110" customFormat="1" ht="14">
      <c r="A17" s="114" t="s">
        <v>225</v>
      </c>
      <c r="B17" s="114"/>
      <c r="C17" s="115"/>
      <c r="D17" s="115"/>
      <c r="F17"/>
      <c r="G17"/>
      <c r="H17"/>
      <c r="I17"/>
      <c r="J17" s="8"/>
    </row>
    <row r="18" spans="1:10" s="110" customFormat="1" ht="14">
      <c r="A18" s="98" t="s">
        <v>226</v>
      </c>
      <c r="B18" s="98" t="s">
        <v>227</v>
      </c>
      <c r="C18" s="98" t="s">
        <v>228</v>
      </c>
      <c r="D18" s="98" t="s">
        <v>229</v>
      </c>
      <c r="F18"/>
      <c r="G18"/>
      <c r="H18"/>
      <c r="I18"/>
    </row>
    <row r="19" spans="1:10" s="110" customFormat="1" ht="14">
      <c r="A19" s="30">
        <v>-100000</v>
      </c>
      <c r="B19" s="30">
        <v>0.19999900000000001</v>
      </c>
      <c r="C19" s="205" t="s">
        <v>454</v>
      </c>
      <c r="D19" s="240">
        <v>0.2</v>
      </c>
      <c r="F19"/>
      <c r="G19"/>
      <c r="H19"/>
      <c r="I19"/>
    </row>
    <row r="20" spans="1:10" s="110" customFormat="1" ht="14">
      <c r="A20" s="30">
        <v>0.2</v>
      </c>
      <c r="B20" s="30">
        <v>0.64999899999999999</v>
      </c>
      <c r="C20" s="205" t="s">
        <v>455</v>
      </c>
      <c r="D20" s="240">
        <v>0.17499999999999999</v>
      </c>
      <c r="F20"/>
      <c r="G20"/>
      <c r="H20"/>
      <c r="I20"/>
    </row>
    <row r="21" spans="1:10" s="110" customFormat="1" ht="14">
      <c r="A21" s="30">
        <v>0.65</v>
      </c>
      <c r="B21" s="30">
        <v>0.79999900000000002</v>
      </c>
      <c r="C21" s="205" t="s">
        <v>456</v>
      </c>
      <c r="D21" s="240">
        <v>0.1578</v>
      </c>
      <c r="F21"/>
      <c r="G21"/>
      <c r="H21"/>
      <c r="I21"/>
    </row>
    <row r="22" spans="1:10" s="110" customFormat="1" ht="14">
      <c r="A22" s="30">
        <v>0.8</v>
      </c>
      <c r="B22" s="30">
        <v>1.2499990000000001</v>
      </c>
      <c r="C22" s="205" t="s">
        <v>457</v>
      </c>
      <c r="D22" s="240">
        <v>0.1157</v>
      </c>
      <c r="F22"/>
      <c r="G22"/>
      <c r="H22"/>
      <c r="I22"/>
    </row>
    <row r="23" spans="1:10" s="110" customFormat="1" ht="14">
      <c r="A23" s="30">
        <v>1.25</v>
      </c>
      <c r="B23" s="30">
        <v>1.4999990000000001</v>
      </c>
      <c r="C23" s="205" t="s">
        <v>458</v>
      </c>
      <c r="D23" s="240">
        <v>7.3700000000000002E-2</v>
      </c>
      <c r="F23"/>
      <c r="G23"/>
      <c r="H23"/>
      <c r="I23"/>
    </row>
    <row r="24" spans="1:10" s="110" customFormat="1" ht="14">
      <c r="A24" s="30">
        <v>1.5</v>
      </c>
      <c r="B24" s="30">
        <v>1.7499990000000001</v>
      </c>
      <c r="C24" s="205" t="s">
        <v>459</v>
      </c>
      <c r="D24" s="240">
        <v>5.2600000000000001E-2</v>
      </c>
      <c r="F24"/>
      <c r="G24"/>
      <c r="H24"/>
      <c r="I24"/>
    </row>
    <row r="25" spans="1:10" s="110" customFormat="1" ht="14">
      <c r="A25" s="30">
        <v>1.75</v>
      </c>
      <c r="B25" s="30">
        <v>1.9999990000000001</v>
      </c>
      <c r="C25" s="205" t="s">
        <v>460</v>
      </c>
      <c r="D25" s="240">
        <v>4.5499999999999999E-2</v>
      </c>
      <c r="F25"/>
      <c r="G25"/>
      <c r="H25"/>
      <c r="I25"/>
    </row>
    <row r="26" spans="1:10" s="110" customFormat="1" ht="14">
      <c r="A26" s="30">
        <v>2</v>
      </c>
      <c r="B26" s="30">
        <v>2.2499999000000002</v>
      </c>
      <c r="C26" s="205" t="s">
        <v>461</v>
      </c>
      <c r="D26" s="240">
        <v>3.1300000000000001E-2</v>
      </c>
      <c r="F26"/>
      <c r="G26"/>
      <c r="H26"/>
      <c r="I26"/>
    </row>
    <row r="27" spans="1:10" s="110" customFormat="1" ht="14">
      <c r="A27" s="30">
        <v>2.25</v>
      </c>
      <c r="B27" s="30">
        <v>2.4999899999999999</v>
      </c>
      <c r="C27" s="205" t="s">
        <v>462</v>
      </c>
      <c r="D27" s="240">
        <v>2.4199999999999999E-2</v>
      </c>
      <c r="F27"/>
      <c r="G27"/>
      <c r="H27"/>
      <c r="I27"/>
    </row>
    <row r="28" spans="1:10" s="110" customFormat="1" ht="14">
      <c r="A28" s="30">
        <v>2.5</v>
      </c>
      <c r="B28" s="30">
        <v>2.9999989999999999</v>
      </c>
      <c r="C28" s="205" t="s">
        <v>463</v>
      </c>
      <c r="D28" s="240">
        <v>0.02</v>
      </c>
      <c r="F28"/>
      <c r="G28"/>
      <c r="H28"/>
      <c r="I28"/>
    </row>
    <row r="29" spans="1:10" s="110" customFormat="1" ht="14">
      <c r="A29" s="30">
        <v>3</v>
      </c>
      <c r="B29" s="30">
        <v>4.2499989999999999</v>
      </c>
      <c r="C29" s="205" t="s">
        <v>464</v>
      </c>
      <c r="D29" s="240">
        <v>1.6199999999999999E-2</v>
      </c>
      <c r="F29"/>
      <c r="G29"/>
      <c r="H29"/>
      <c r="I29"/>
    </row>
    <row r="30" spans="1:10" s="110" customFormat="1" ht="14">
      <c r="A30" s="30">
        <v>4.25</v>
      </c>
      <c r="B30" s="30">
        <v>5.4999989999999999</v>
      </c>
      <c r="C30" s="205" t="s">
        <v>465</v>
      </c>
      <c r="D30" s="240">
        <v>1.4200000000000001E-2</v>
      </c>
      <c r="F30"/>
      <c r="G30"/>
      <c r="H30"/>
      <c r="I30"/>
    </row>
    <row r="31" spans="1:10" s="110" customFormat="1" ht="14">
      <c r="A31" s="30">
        <v>5.5</v>
      </c>
      <c r="B31" s="30">
        <v>6.4999989999999999</v>
      </c>
      <c r="C31" s="205" t="s">
        <v>466</v>
      </c>
      <c r="D31" s="240">
        <v>1.23E-2</v>
      </c>
      <c r="F31"/>
      <c r="G31"/>
      <c r="H31"/>
      <c r="I31"/>
    </row>
    <row r="32" spans="1:10" s="110" customFormat="1" ht="14">
      <c r="A32" s="30">
        <v>6.5</v>
      </c>
      <c r="B32" s="30">
        <v>8.4999990000000007</v>
      </c>
      <c r="C32" s="205" t="s">
        <v>467</v>
      </c>
      <c r="D32" s="240">
        <v>8.5000000000000006E-3</v>
      </c>
      <c r="F32"/>
      <c r="G32"/>
      <c r="H32"/>
      <c r="I32"/>
    </row>
    <row r="33" spans="1:9" s="110" customFormat="1" ht="14">
      <c r="A33" s="116">
        <v>8.5</v>
      </c>
      <c r="B33" s="30">
        <v>100000</v>
      </c>
      <c r="C33" s="205" t="s">
        <v>468</v>
      </c>
      <c r="D33" s="240">
        <v>6.8999999999999999E-3</v>
      </c>
      <c r="F33"/>
      <c r="G33"/>
      <c r="H33"/>
      <c r="I33"/>
    </row>
    <row r="34" spans="1:9" s="110" customFormat="1" ht="14"/>
    <row r="35" spans="1:9" s="110" customFormat="1" ht="14">
      <c r="A35" s="17" t="s">
        <v>231</v>
      </c>
    </row>
    <row r="36" spans="1:9" s="110" customFormat="1" ht="14">
      <c r="A36" s="114" t="s">
        <v>225</v>
      </c>
      <c r="B36" s="117"/>
      <c r="C36" s="30"/>
      <c r="D36" s="30"/>
    </row>
    <row r="37" spans="1:9" s="110" customFormat="1" ht="14">
      <c r="A37" s="30" t="s">
        <v>230</v>
      </c>
      <c r="B37" s="30" t="s">
        <v>227</v>
      </c>
      <c r="C37" s="30" t="s">
        <v>228</v>
      </c>
      <c r="D37" s="30" t="s">
        <v>229</v>
      </c>
    </row>
    <row r="38" spans="1:9" s="110" customFormat="1" ht="14">
      <c r="A38" s="30">
        <v>-100000</v>
      </c>
      <c r="B38" s="30">
        <v>0.49999900000000003</v>
      </c>
      <c r="C38" s="205" t="s">
        <v>454</v>
      </c>
      <c r="D38" s="240">
        <f>D19</f>
        <v>0.2</v>
      </c>
      <c r="G38" s="30" t="s">
        <v>228</v>
      </c>
      <c r="H38" s="30" t="s">
        <v>229</v>
      </c>
    </row>
    <row r="39" spans="1:9" s="110" customFormat="1" ht="14">
      <c r="A39" s="30">
        <v>0.5</v>
      </c>
      <c r="B39" s="30">
        <v>0.79999900000000002</v>
      </c>
      <c r="C39" s="205" t="s">
        <v>455</v>
      </c>
      <c r="D39" s="240">
        <f t="shared" ref="D39:D52" si="0">D20</f>
        <v>0.17499999999999999</v>
      </c>
      <c r="G39" s="205" t="s">
        <v>466</v>
      </c>
      <c r="H39" s="222">
        <v>1.23E-2</v>
      </c>
    </row>
    <row r="40" spans="1:9" s="110" customFormat="1" ht="14">
      <c r="A40" s="30">
        <v>0.8</v>
      </c>
      <c r="B40" s="30">
        <v>1.2499990000000001</v>
      </c>
      <c r="C40" s="205" t="s">
        <v>456</v>
      </c>
      <c r="D40" s="240">
        <f t="shared" si="0"/>
        <v>0.1578</v>
      </c>
      <c r="G40" s="205" t="s">
        <v>465</v>
      </c>
      <c r="H40" s="222">
        <v>1.4200000000000001E-2</v>
      </c>
    </row>
    <row r="41" spans="1:9" s="110" customFormat="1" ht="14">
      <c r="A41" s="30">
        <v>1.25</v>
      </c>
      <c r="B41" s="30">
        <v>1.4999990000000001</v>
      </c>
      <c r="C41" s="205" t="s">
        <v>457</v>
      </c>
      <c r="D41" s="240">
        <f t="shared" si="0"/>
        <v>0.1157</v>
      </c>
      <c r="G41" s="205" t="s">
        <v>464</v>
      </c>
      <c r="H41" s="222">
        <v>1.6199999999999999E-2</v>
      </c>
    </row>
    <row r="42" spans="1:9" s="110" customFormat="1" ht="14">
      <c r="A42" s="30">
        <v>1.5</v>
      </c>
      <c r="B42" s="30">
        <v>1.9999990000000001</v>
      </c>
      <c r="C42" s="205" t="s">
        <v>458</v>
      </c>
      <c r="D42" s="240">
        <f t="shared" si="0"/>
        <v>7.3700000000000002E-2</v>
      </c>
      <c r="G42" s="205" t="s">
        <v>467</v>
      </c>
      <c r="H42" s="222">
        <v>8.5000000000000006E-3</v>
      </c>
    </row>
    <row r="43" spans="1:9" s="110" customFormat="1" ht="14">
      <c r="A43" s="30">
        <v>2</v>
      </c>
      <c r="B43" s="30">
        <v>2.4999989999999999</v>
      </c>
      <c r="C43" s="205" t="s">
        <v>459</v>
      </c>
      <c r="D43" s="240">
        <f t="shared" si="0"/>
        <v>5.2600000000000001E-2</v>
      </c>
      <c r="G43" s="205" t="s">
        <v>468</v>
      </c>
      <c r="H43" s="222">
        <v>6.8999999999999999E-3</v>
      </c>
    </row>
    <row r="44" spans="1:9" s="110" customFormat="1" ht="14">
      <c r="A44" s="30">
        <v>2.5</v>
      </c>
      <c r="B44" s="30">
        <v>2.9999989999999999</v>
      </c>
      <c r="C44" s="205" t="s">
        <v>460</v>
      </c>
      <c r="D44" s="240">
        <f t="shared" si="0"/>
        <v>4.5499999999999999E-2</v>
      </c>
      <c r="G44" s="205" t="s">
        <v>460</v>
      </c>
      <c r="H44" s="222">
        <v>4.5499999999999999E-2</v>
      </c>
    </row>
    <row r="45" spans="1:9" s="110" customFormat="1" ht="14">
      <c r="A45" s="30">
        <v>3</v>
      </c>
      <c r="B45" s="30">
        <v>3.4999989999999999</v>
      </c>
      <c r="C45" s="205" t="s">
        <v>461</v>
      </c>
      <c r="D45" s="240">
        <f t="shared" si="0"/>
        <v>3.1300000000000001E-2</v>
      </c>
      <c r="G45" s="205" t="s">
        <v>459</v>
      </c>
      <c r="H45" s="222">
        <v>5.2600000000000001E-2</v>
      </c>
    </row>
    <row r="46" spans="1:9" s="110" customFormat="1" ht="14">
      <c r="A46" s="30">
        <v>3.5</v>
      </c>
      <c r="B46" s="30">
        <v>3.9999999000000002</v>
      </c>
      <c r="C46" s="205" t="s">
        <v>462</v>
      </c>
      <c r="D46" s="240">
        <f t="shared" si="0"/>
        <v>2.4199999999999999E-2</v>
      </c>
      <c r="G46" s="205" t="s">
        <v>458</v>
      </c>
      <c r="H46" s="222">
        <v>7.3700000000000002E-2</v>
      </c>
    </row>
    <row r="47" spans="1:9" s="110" customFormat="1" ht="14">
      <c r="A47" s="30">
        <v>4</v>
      </c>
      <c r="B47" s="30">
        <v>4.4999989999999999</v>
      </c>
      <c r="C47" s="205" t="s">
        <v>463</v>
      </c>
      <c r="D47" s="240">
        <f t="shared" si="0"/>
        <v>0.02</v>
      </c>
      <c r="G47" s="205" t="s">
        <v>462</v>
      </c>
      <c r="H47" s="222">
        <v>2.4199999999999999E-2</v>
      </c>
    </row>
    <row r="48" spans="1:9" s="110" customFormat="1" ht="14">
      <c r="A48" s="30">
        <v>4.5</v>
      </c>
      <c r="B48" s="30">
        <v>5.9999989999999999</v>
      </c>
      <c r="C48" s="205" t="s">
        <v>464</v>
      </c>
      <c r="D48" s="240">
        <f t="shared" si="0"/>
        <v>1.6199999999999999E-2</v>
      </c>
      <c r="G48" s="205" t="s">
        <v>461</v>
      </c>
      <c r="H48" s="222">
        <v>3.1300000000000001E-2</v>
      </c>
    </row>
    <row r="49" spans="1:10" s="110" customFormat="1" ht="14">
      <c r="A49" s="30">
        <v>6</v>
      </c>
      <c r="B49" s="30">
        <v>7.4999989999999999</v>
      </c>
      <c r="C49" s="205" t="s">
        <v>465</v>
      </c>
      <c r="D49" s="240">
        <f t="shared" si="0"/>
        <v>1.4200000000000001E-2</v>
      </c>
      <c r="G49" s="205" t="s">
        <v>463</v>
      </c>
      <c r="H49" s="222">
        <v>0.02</v>
      </c>
    </row>
    <row r="50" spans="1:10" s="110" customFormat="1" ht="14">
      <c r="A50" s="30">
        <v>7.5</v>
      </c>
      <c r="B50" s="30">
        <v>9.4999990000000007</v>
      </c>
      <c r="C50" s="205" t="s">
        <v>466</v>
      </c>
      <c r="D50" s="240">
        <f t="shared" si="0"/>
        <v>1.23E-2</v>
      </c>
      <c r="G50" s="205" t="s">
        <v>457</v>
      </c>
      <c r="H50" s="222">
        <v>0.17499999999999999</v>
      </c>
    </row>
    <row r="51" spans="1:10" ht="14">
      <c r="A51" s="30">
        <v>9.5</v>
      </c>
      <c r="B51" s="30">
        <v>12.499999000000001</v>
      </c>
      <c r="C51" s="205" t="s">
        <v>467</v>
      </c>
      <c r="D51" s="240">
        <f t="shared" si="0"/>
        <v>8.5000000000000006E-3</v>
      </c>
      <c r="F51" s="110"/>
      <c r="G51" s="205" t="s">
        <v>456</v>
      </c>
      <c r="H51" s="222">
        <v>0.1578</v>
      </c>
      <c r="I51" s="110"/>
      <c r="J51" s="110"/>
    </row>
    <row r="52" spans="1:10" ht="14">
      <c r="A52" s="30">
        <v>12.5</v>
      </c>
      <c r="B52" s="30">
        <v>100000</v>
      </c>
      <c r="C52" s="205" t="s">
        <v>468</v>
      </c>
      <c r="D52" s="240">
        <f t="shared" si="0"/>
        <v>6.8999999999999999E-3</v>
      </c>
      <c r="G52" s="205" t="s">
        <v>455</v>
      </c>
      <c r="H52" s="222">
        <v>0.1157</v>
      </c>
    </row>
    <row r="53" spans="1:10" ht="14">
      <c r="G53" s="205" t="s">
        <v>454</v>
      </c>
      <c r="H53" s="222">
        <v>0.2</v>
      </c>
    </row>
  </sheetData>
  <sortState xmlns:xlrd2="http://schemas.microsoft.com/office/spreadsheetml/2017/richdata2" ref="G39:H53">
    <sortCondition ref="G39:G53"/>
  </sortState>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5"/>
  <sheetViews>
    <sheetView workbookViewId="0">
      <pane xSplit="1" ySplit="1" topLeftCell="B2" activePane="bottomRight" state="frozen"/>
      <selection pane="topRight" activeCell="B1" sqref="B1"/>
      <selection pane="bottomLeft" activeCell="A2" sqref="A2"/>
      <selection pane="bottomRight" activeCell="D85" sqref="D85"/>
    </sheetView>
  </sheetViews>
  <sheetFormatPr baseColWidth="10" defaultColWidth="11.5" defaultRowHeight="13"/>
  <cols>
    <col min="1" max="1" width="33.6640625"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257" customFormat="1" ht="84">
      <c r="A1" s="265" t="s">
        <v>94</v>
      </c>
      <c r="B1" s="212" t="s">
        <v>171</v>
      </c>
      <c r="C1" s="266" t="s">
        <v>159</v>
      </c>
      <c r="D1" s="266" t="s">
        <v>638</v>
      </c>
      <c r="E1" s="266" t="s">
        <v>178</v>
      </c>
      <c r="F1" s="212" t="s">
        <v>160</v>
      </c>
      <c r="G1" s="212" t="s">
        <v>208</v>
      </c>
      <c r="H1" s="212" t="s">
        <v>161</v>
      </c>
      <c r="I1" s="212" t="s">
        <v>162</v>
      </c>
      <c r="J1" s="212" t="s">
        <v>163</v>
      </c>
      <c r="K1" s="212" t="s">
        <v>164</v>
      </c>
      <c r="L1" s="212" t="s">
        <v>165</v>
      </c>
      <c r="M1" s="212" t="s">
        <v>144</v>
      </c>
      <c r="N1" s="267" t="s">
        <v>97</v>
      </c>
      <c r="O1" s="212" t="s">
        <v>166</v>
      </c>
      <c r="P1" s="212" t="s">
        <v>167</v>
      </c>
      <c r="Q1" s="212" t="s">
        <v>168</v>
      </c>
      <c r="R1" s="212" t="s">
        <v>169</v>
      </c>
      <c r="S1" s="212" t="s">
        <v>170</v>
      </c>
      <c r="T1" s="212" t="s">
        <v>494</v>
      </c>
      <c r="U1" s="212" t="s">
        <v>495</v>
      </c>
      <c r="V1" s="212" t="s">
        <v>496</v>
      </c>
      <c r="W1" s="212" t="s">
        <v>497</v>
      </c>
      <c r="X1" s="265" t="s">
        <v>481</v>
      </c>
      <c r="Y1" s="265" t="s">
        <v>498</v>
      </c>
      <c r="Z1" s="265" t="s">
        <v>499</v>
      </c>
      <c r="AA1" s="212" t="s">
        <v>645</v>
      </c>
    </row>
    <row r="2" spans="1:27" ht="14">
      <c r="A2" s="268" t="s">
        <v>95</v>
      </c>
      <c r="B2" s="123">
        <v>58</v>
      </c>
      <c r="C2" s="269">
        <v>0.18166952380952381</v>
      </c>
      <c r="D2" s="269">
        <v>0.10617104930138777</v>
      </c>
      <c r="E2" s="269">
        <v>0.36620071377578411</v>
      </c>
      <c r="F2" s="269">
        <v>0.24712867867566909</v>
      </c>
      <c r="G2" s="270">
        <v>1.3458926691301203</v>
      </c>
      <c r="H2" s="270">
        <v>1.6317380595347237</v>
      </c>
      <c r="I2" s="269">
        <v>0.13572524073636261</v>
      </c>
      <c r="J2" s="269">
        <v>0.52722114455333013</v>
      </c>
      <c r="K2" s="269">
        <v>5.8800000000000005E-2</v>
      </c>
      <c r="L2" s="269">
        <v>0.31029224250137583</v>
      </c>
      <c r="M2" s="269">
        <v>0.10729463931854823</v>
      </c>
      <c r="N2" s="270">
        <v>3.5126083048469772</v>
      </c>
      <c r="O2" s="270">
        <v>1.9623441180972629</v>
      </c>
      <c r="P2" s="270">
        <v>10.360206985338735</v>
      </c>
      <c r="Q2" s="270">
        <v>17.033233750199781</v>
      </c>
      <c r="R2" s="270">
        <v>4.5860864384363973</v>
      </c>
      <c r="S2" s="270">
        <v>13.993381837579332</v>
      </c>
      <c r="T2" s="269">
        <v>3.141449120879309E-2</v>
      </c>
      <c r="U2" s="269">
        <v>3.5092407254195046E-2</v>
      </c>
      <c r="V2" s="269">
        <v>1.7750375959909692E-2</v>
      </c>
      <c r="W2" s="269">
        <v>0.55526669348402391</v>
      </c>
      <c r="X2" s="269">
        <v>0.13567415534535524</v>
      </c>
      <c r="Y2" s="269">
        <v>0.67633368355344103</v>
      </c>
      <c r="Z2" s="269">
        <v>0.67633368355344103</v>
      </c>
      <c r="AA2" s="271">
        <v>0.11135468081206297</v>
      </c>
    </row>
    <row r="3" spans="1:27" ht="14">
      <c r="A3" s="268" t="s">
        <v>695</v>
      </c>
      <c r="B3" s="123">
        <v>77</v>
      </c>
      <c r="C3" s="269">
        <v>3.9922558139534867E-2</v>
      </c>
      <c r="D3" s="269">
        <v>8.6354038327109944E-2</v>
      </c>
      <c r="E3" s="269">
        <v>0.15249479884885908</v>
      </c>
      <c r="F3" s="269">
        <v>0.16514709217792431</v>
      </c>
      <c r="G3" s="270">
        <v>1.2292962090923658</v>
      </c>
      <c r="H3" s="270">
        <v>1.4141822802591859</v>
      </c>
      <c r="I3" s="269">
        <v>0.12280242744739564</v>
      </c>
      <c r="J3" s="269">
        <v>0.3755554495377183</v>
      </c>
      <c r="K3" s="269">
        <v>5.5E-2</v>
      </c>
      <c r="L3" s="269">
        <v>0.20670883607151089</v>
      </c>
      <c r="M3" s="269">
        <v>0.10594482009093814</v>
      </c>
      <c r="N3" s="270">
        <v>1.8653814845726677</v>
      </c>
      <c r="O3" s="270">
        <v>2.5451075841894681</v>
      </c>
      <c r="P3" s="270">
        <v>14.590340622882026</v>
      </c>
      <c r="Q3" s="270">
        <v>23.976115141646229</v>
      </c>
      <c r="R3" s="270">
        <v>4.9344353649769275</v>
      </c>
      <c r="S3" s="270">
        <v>53.685999313498989</v>
      </c>
      <c r="T3" s="269">
        <v>0.46912992617043536</v>
      </c>
      <c r="U3" s="269">
        <v>2.9131497036001801E-2</v>
      </c>
      <c r="V3" s="269">
        <v>6.2769383959631062E-3</v>
      </c>
      <c r="W3" s="269">
        <v>0.32747182434374533</v>
      </c>
      <c r="X3" s="269">
        <v>9.8725880826047718E-2</v>
      </c>
      <c r="Y3" s="269">
        <v>0.70696836686859155</v>
      </c>
      <c r="Z3" s="269">
        <v>0.70696836686859155</v>
      </c>
      <c r="AA3" s="271">
        <v>8.9215313858418674E-2</v>
      </c>
    </row>
    <row r="4" spans="1:27" ht="14">
      <c r="A4" s="268" t="s">
        <v>696</v>
      </c>
      <c r="B4" s="123">
        <v>21</v>
      </c>
      <c r="C4" s="269">
        <v>2.2412499999999995E-2</v>
      </c>
      <c r="D4" s="269">
        <v>2.1124546744911411E-2</v>
      </c>
      <c r="E4" s="269">
        <v>3.075109258968068E-2</v>
      </c>
      <c r="F4" s="269">
        <v>0.35993056432962162</v>
      </c>
      <c r="G4" s="270">
        <v>0.69399800343932827</v>
      </c>
      <c r="H4" s="270">
        <v>1.4159650876966507</v>
      </c>
      <c r="I4" s="269">
        <v>0.12290832620918106</v>
      </c>
      <c r="J4" s="269">
        <v>0.37727498727802966</v>
      </c>
      <c r="K4" s="269">
        <v>5.5E-2</v>
      </c>
      <c r="L4" s="269">
        <v>0.65075795959710081</v>
      </c>
      <c r="M4" s="269">
        <v>6.9768520461179928E-2</v>
      </c>
      <c r="N4" s="270">
        <v>1.601522515617954</v>
      </c>
      <c r="O4" s="270">
        <v>1.0151710556389202</v>
      </c>
      <c r="P4" s="270">
        <v>9.3937280818568443</v>
      </c>
      <c r="Q4" s="270">
        <v>47.450143637072152</v>
      </c>
      <c r="R4" s="270">
        <v>2.7353414818155688</v>
      </c>
      <c r="S4" s="270">
        <v>71.793907476752722</v>
      </c>
      <c r="T4" s="269">
        <v>1.0475454736403853E-2</v>
      </c>
      <c r="U4" s="269">
        <v>9.1652642418683206E-2</v>
      </c>
      <c r="V4" s="269">
        <v>4.0286206800687077E-2</v>
      </c>
      <c r="W4" s="269">
        <v>2.0993404736810848</v>
      </c>
      <c r="X4" s="269">
        <v>-0.11368810625736339</v>
      </c>
      <c r="Y4" s="269">
        <v>0</v>
      </c>
      <c r="Z4" s="269">
        <v>0</v>
      </c>
      <c r="AA4" s="271">
        <v>2.1383591548608489E-2</v>
      </c>
    </row>
    <row r="5" spans="1:27" ht="14">
      <c r="A5" s="268" t="s">
        <v>697</v>
      </c>
      <c r="B5" s="123">
        <v>39</v>
      </c>
      <c r="C5" s="269">
        <v>5.8356956521739133E-2</v>
      </c>
      <c r="D5" s="269">
        <v>0.10161425283086532</v>
      </c>
      <c r="E5" s="269">
        <v>0.20566758390991585</v>
      </c>
      <c r="F5" s="269">
        <v>0.20508511458335257</v>
      </c>
      <c r="G5" s="270">
        <v>1.0163797426008965</v>
      </c>
      <c r="H5" s="270">
        <v>1.3246974025641622</v>
      </c>
      <c r="I5" s="269">
        <v>0.11748702571231125</v>
      </c>
      <c r="J5" s="269">
        <v>0.38508746928890447</v>
      </c>
      <c r="K5" s="269">
        <v>5.5E-2</v>
      </c>
      <c r="L5" s="269">
        <v>0.34024906959820889</v>
      </c>
      <c r="M5" s="269">
        <v>9.1547448644762622E-2</v>
      </c>
      <c r="N5" s="270">
        <v>2.1037931987291998</v>
      </c>
      <c r="O5" s="270">
        <v>1.1592906024030611</v>
      </c>
      <c r="P5" s="270">
        <v>7.0219998222904456</v>
      </c>
      <c r="Q5" s="270">
        <v>10.381787550219668</v>
      </c>
      <c r="R5" s="270">
        <v>2.4205588689707218</v>
      </c>
      <c r="S5" s="270">
        <v>13.804567941679538</v>
      </c>
      <c r="T5" s="269">
        <v>0.26207135646756324</v>
      </c>
      <c r="U5" s="269">
        <v>2.2325046445097148E-2</v>
      </c>
      <c r="V5" s="269">
        <v>1.5269741052495196E-2</v>
      </c>
      <c r="W5" s="269">
        <v>1.1025108153914758</v>
      </c>
      <c r="X5" s="269">
        <v>0.13522490180674987</v>
      </c>
      <c r="Y5" s="269">
        <v>0.54315896470238101</v>
      </c>
      <c r="Z5" s="269">
        <v>0.54315896470238101</v>
      </c>
      <c r="AA5" s="271">
        <v>0.11113035634210841</v>
      </c>
    </row>
    <row r="6" spans="1:27" ht="14">
      <c r="A6" s="268" t="s">
        <v>506</v>
      </c>
      <c r="B6" s="123">
        <v>31</v>
      </c>
      <c r="C6" s="269">
        <v>0.28059499999999998</v>
      </c>
      <c r="D6" s="269">
        <v>6.4325959106650246E-2</v>
      </c>
      <c r="E6" s="269">
        <v>6.4613470545131613E-2</v>
      </c>
      <c r="F6" s="269">
        <v>0.10579107985442861</v>
      </c>
      <c r="G6" s="270">
        <v>1.2255318343171395</v>
      </c>
      <c r="H6" s="270">
        <v>1.5405976750533805</v>
      </c>
      <c r="I6" s="269">
        <v>0.13031150189817081</v>
      </c>
      <c r="J6" s="269">
        <v>0.52614124875248369</v>
      </c>
      <c r="K6" s="269">
        <v>5.8800000000000005E-2</v>
      </c>
      <c r="L6" s="269">
        <v>0.33418107062895108</v>
      </c>
      <c r="M6" s="269">
        <v>0.10150124989331025</v>
      </c>
      <c r="N6" s="270">
        <v>0.94528664863581657</v>
      </c>
      <c r="O6" s="270">
        <v>1.8115110523190732</v>
      </c>
      <c r="P6" s="270">
        <v>12.745223056693563</v>
      </c>
      <c r="Q6" s="270">
        <v>27.015469059860539</v>
      </c>
      <c r="R6" s="270">
        <v>2.9173208877532226</v>
      </c>
      <c r="S6" s="270">
        <v>10.303473979252582</v>
      </c>
      <c r="T6" s="269">
        <v>-2.638232462945013E-3</v>
      </c>
      <c r="U6" s="269">
        <v>8.3226546873060775E-2</v>
      </c>
      <c r="V6" s="269">
        <v>4.6343953094668419E-2</v>
      </c>
      <c r="W6" s="269">
        <v>0.89083027454938746</v>
      </c>
      <c r="X6" s="269">
        <v>0.15677154224933043</v>
      </c>
      <c r="Y6" s="269">
        <v>0.10549811796720597</v>
      </c>
      <c r="Z6" s="269">
        <v>0.10549811796720598</v>
      </c>
      <c r="AA6" s="271">
        <v>7.02992355351022E-2</v>
      </c>
    </row>
    <row r="7" spans="1:27" ht="14">
      <c r="A7" s="268" t="s">
        <v>698</v>
      </c>
      <c r="B7" s="123">
        <v>37</v>
      </c>
      <c r="C7" s="269">
        <v>7.0743333333333325E-2</v>
      </c>
      <c r="D7" s="269">
        <v>5.0643543200864859E-2</v>
      </c>
      <c r="E7" s="269">
        <v>0.10259465039163591</v>
      </c>
      <c r="F7" s="269">
        <v>0.21559462219926051</v>
      </c>
      <c r="G7" s="270">
        <v>1.202436458457679</v>
      </c>
      <c r="H7" s="270">
        <v>1.4739918130238336</v>
      </c>
      <c r="I7" s="269">
        <v>0.12635511369361574</v>
      </c>
      <c r="J7" s="269">
        <v>0.39519394771296495</v>
      </c>
      <c r="K7" s="269">
        <v>5.5E-2</v>
      </c>
      <c r="L7" s="269">
        <v>0.29901008239034443</v>
      </c>
      <c r="M7" s="269">
        <v>0.10090782663624806</v>
      </c>
      <c r="N7" s="270">
        <v>1.9747050886050657</v>
      </c>
      <c r="O7" s="270">
        <v>0.82277242784956561</v>
      </c>
      <c r="P7" s="270">
        <v>7.1796271178219921</v>
      </c>
      <c r="Q7" s="270">
        <v>14.540547974540397</v>
      </c>
      <c r="R7" s="270">
        <v>1.8900634744418994</v>
      </c>
      <c r="S7" s="270">
        <v>31.628193367611757</v>
      </c>
      <c r="T7" s="269">
        <v>0.16055172230589412</v>
      </c>
      <c r="U7" s="269">
        <v>3.6131129477856731E-2</v>
      </c>
      <c r="V7" s="269">
        <v>3.6695997763959105E-2</v>
      </c>
      <c r="W7" s="269">
        <v>1.6270607086056388</v>
      </c>
      <c r="X7" s="269">
        <v>7.0338780156085273E-2</v>
      </c>
      <c r="Y7" s="269">
        <v>0.37139521238957468</v>
      </c>
      <c r="Z7" s="269">
        <v>0.37139521238957474</v>
      </c>
      <c r="AA7" s="271">
        <v>5.6777561885897401E-2</v>
      </c>
    </row>
    <row r="8" spans="1:27" ht="14">
      <c r="A8" s="268" t="s">
        <v>699</v>
      </c>
      <c r="B8" s="123">
        <v>7</v>
      </c>
      <c r="C8" s="269">
        <v>1.9400000000000001E-2</v>
      </c>
      <c r="D8" s="269">
        <v>0</v>
      </c>
      <c r="E8" s="269">
        <v>2.6445657070231255E-4</v>
      </c>
      <c r="F8" s="269">
        <v>0.17163347967737153</v>
      </c>
      <c r="G8" s="270">
        <v>0.73934143059161173</v>
      </c>
      <c r="H8" s="270">
        <v>1.0801015876287672</v>
      </c>
      <c r="I8" s="269">
        <v>0.10295803430514877</v>
      </c>
      <c r="J8" s="269">
        <v>0.19594323414619666</v>
      </c>
      <c r="K8" s="269">
        <v>4.7300000000000002E-2</v>
      </c>
      <c r="L8" s="269">
        <v>0.683929164378137</v>
      </c>
      <c r="M8" s="269">
        <v>5.6804419043127219E-2</v>
      </c>
      <c r="N8" s="270">
        <v>0.31756087167554575</v>
      </c>
      <c r="O8" s="270">
        <v>4.4949345620830741</v>
      </c>
      <c r="P8" s="270" t="s">
        <v>96</v>
      </c>
      <c r="Q8" s="270" t="s">
        <v>96</v>
      </c>
      <c r="R8" s="270">
        <v>0.98755539941078185</v>
      </c>
      <c r="S8" s="270">
        <v>9.5165439103276555</v>
      </c>
      <c r="T8" s="269" t="s">
        <v>96</v>
      </c>
      <c r="U8" s="269">
        <v>1.3070339707981026E-2</v>
      </c>
      <c r="V8" s="269">
        <v>1.3070339707981026E-2</v>
      </c>
      <c r="W8" s="269">
        <v>-128.48607336966558</v>
      </c>
      <c r="X8" s="269">
        <v>0.11345074325185552</v>
      </c>
      <c r="Y8" s="269">
        <v>0.2836234354829657</v>
      </c>
      <c r="Z8" s="269">
        <v>0.28362343548296565</v>
      </c>
      <c r="AA8" s="271">
        <v>9.9439502719975929E-4</v>
      </c>
    </row>
    <row r="9" spans="1:27" ht="14">
      <c r="A9" s="268" t="s">
        <v>700</v>
      </c>
      <c r="B9" s="123">
        <v>557</v>
      </c>
      <c r="C9" s="269">
        <v>0.11019711409395982</v>
      </c>
      <c r="D9" s="269">
        <v>2.6926335147713589E-8</v>
      </c>
      <c r="E9" s="269">
        <v>-3.6811631590712022E-4</v>
      </c>
      <c r="F9" s="269">
        <v>0.21054765923481941</v>
      </c>
      <c r="G9" s="270">
        <v>0.41298063839707061</v>
      </c>
      <c r="H9" s="270">
        <v>0.50487423475647786</v>
      </c>
      <c r="I9" s="269">
        <v>6.8789529544534794E-2</v>
      </c>
      <c r="J9" s="269">
        <v>0.16758082918349013</v>
      </c>
      <c r="K9" s="269">
        <v>4.7300000000000002E-2</v>
      </c>
      <c r="L9" s="269">
        <v>0.3925396989484301</v>
      </c>
      <c r="M9" s="269">
        <v>5.5712254146514525E-2</v>
      </c>
      <c r="N9" s="270">
        <v>0.46900063005241044</v>
      </c>
      <c r="O9" s="270">
        <v>4.3436213032827986</v>
      </c>
      <c r="P9" s="270" t="s">
        <v>96</v>
      </c>
      <c r="Q9" s="270" t="s">
        <v>96</v>
      </c>
      <c r="R9" s="270">
        <v>1.2366998102860649</v>
      </c>
      <c r="S9" s="270">
        <v>24.601279933873428</v>
      </c>
      <c r="T9" s="269" t="s">
        <v>96</v>
      </c>
      <c r="U9" s="269">
        <v>2.9363729443897247E-2</v>
      </c>
      <c r="V9" s="269">
        <v>-4.3451691210799066E-2</v>
      </c>
      <c r="W9" s="269" t="s">
        <v>96</v>
      </c>
      <c r="X9" s="269">
        <v>0.11799058812595946</v>
      </c>
      <c r="Y9" s="269">
        <v>0.29107212625014139</v>
      </c>
      <c r="Z9" s="269">
        <v>0.29107212625014145</v>
      </c>
      <c r="AA9" s="271">
        <v>-9.6707771559149567E-4</v>
      </c>
    </row>
    <row r="10" spans="1:27" ht="14">
      <c r="A10" s="268" t="s">
        <v>701</v>
      </c>
      <c r="B10" s="123">
        <v>23</v>
      </c>
      <c r="C10" s="269">
        <v>0.12543749999999998</v>
      </c>
      <c r="D10" s="269">
        <v>0.20062785390172486</v>
      </c>
      <c r="E10" s="269">
        <v>0.14657661188814805</v>
      </c>
      <c r="F10" s="269">
        <v>0.34926041014564846</v>
      </c>
      <c r="G10" s="270">
        <v>0.88078229176337852</v>
      </c>
      <c r="H10" s="270">
        <v>1.0129742331996445</v>
      </c>
      <c r="I10" s="269">
        <v>9.8970669452058888E-2</v>
      </c>
      <c r="J10" s="269">
        <v>0.49874676442989341</v>
      </c>
      <c r="K10" s="269">
        <v>5.5E-2</v>
      </c>
      <c r="L10" s="269">
        <v>0.18639448485009497</v>
      </c>
      <c r="M10" s="269">
        <v>8.8211855004339756E-2</v>
      </c>
      <c r="N10" s="270">
        <v>0.80200007324657852</v>
      </c>
      <c r="O10" s="270">
        <v>4.0713428168470944</v>
      </c>
      <c r="P10" s="270">
        <v>15.905118508516384</v>
      </c>
      <c r="Q10" s="270">
        <v>20.151879327037321</v>
      </c>
      <c r="R10" s="270">
        <v>3.1924325323981106</v>
      </c>
      <c r="S10" s="270">
        <v>111.50158955717302</v>
      </c>
      <c r="T10" s="269">
        <v>0.15335977242937937</v>
      </c>
      <c r="U10" s="269">
        <v>7.8763550156130638E-2</v>
      </c>
      <c r="V10" s="269">
        <v>5.6799689637347855E-2</v>
      </c>
      <c r="W10" s="269">
        <v>0.5682188940381574</v>
      </c>
      <c r="X10" s="269">
        <v>5.2846235851230244E-2</v>
      </c>
      <c r="Y10" s="269">
        <v>0.79003164852109986</v>
      </c>
      <c r="Z10" s="269">
        <v>0.79003164852109986</v>
      </c>
      <c r="AA10" s="271">
        <v>0.20171280627414753</v>
      </c>
    </row>
    <row r="11" spans="1:27" ht="14">
      <c r="A11" s="268" t="s">
        <v>702</v>
      </c>
      <c r="B11" s="123">
        <v>31</v>
      </c>
      <c r="C11" s="269">
        <v>0.15048545454545456</v>
      </c>
      <c r="D11" s="269">
        <v>0.19036999167153545</v>
      </c>
      <c r="E11" s="269">
        <v>0.28719366734568558</v>
      </c>
      <c r="F11" s="269">
        <v>0.18187508793156812</v>
      </c>
      <c r="G11" s="270">
        <v>1.2014134916712005</v>
      </c>
      <c r="H11" s="270">
        <v>1.3034433070435496</v>
      </c>
      <c r="I11" s="269">
        <v>0.11622453243838685</v>
      </c>
      <c r="J11" s="269">
        <v>0.41717146856964005</v>
      </c>
      <c r="K11" s="269">
        <v>5.5E-2</v>
      </c>
      <c r="L11" s="269">
        <v>0.13246439822297759</v>
      </c>
      <c r="M11" s="269">
        <v>0.10629307611688682</v>
      </c>
      <c r="N11" s="270">
        <v>1.6029900764895542</v>
      </c>
      <c r="O11" s="270">
        <v>4.6668573425784556</v>
      </c>
      <c r="P11" s="270">
        <v>20.008347527759813</v>
      </c>
      <c r="Q11" s="270">
        <v>24.137168786878842</v>
      </c>
      <c r="R11" s="270">
        <v>8.2272736766253658</v>
      </c>
      <c r="S11" s="270">
        <v>39.552594480627498</v>
      </c>
      <c r="T11" s="269">
        <v>-9.0576564930885367E-2</v>
      </c>
      <c r="U11" s="269">
        <v>4.6621319042533797E-2</v>
      </c>
      <c r="V11" s="269">
        <v>5.6771639556521265E-2</v>
      </c>
      <c r="W11" s="269">
        <v>0.29140445421199807</v>
      </c>
      <c r="X11" s="269">
        <v>0.31944669288621974</v>
      </c>
      <c r="Y11" s="269">
        <v>0.56516587527367568</v>
      </c>
      <c r="Z11" s="269">
        <v>0.56516587527367568</v>
      </c>
      <c r="AA11" s="271">
        <v>0.1914400730665588</v>
      </c>
    </row>
    <row r="12" spans="1:27" ht="14">
      <c r="A12" s="268" t="s">
        <v>703</v>
      </c>
      <c r="B12" s="123">
        <v>26</v>
      </c>
      <c r="C12" s="269">
        <v>0.19544111111111115</v>
      </c>
      <c r="D12" s="269">
        <v>0.14575123466837039</v>
      </c>
      <c r="E12" s="269">
        <v>0.13517156563045288</v>
      </c>
      <c r="F12" s="269">
        <v>0.21951773068864888</v>
      </c>
      <c r="G12" s="270">
        <v>0.70215995917133367</v>
      </c>
      <c r="H12" s="270">
        <v>1.3220586425472229</v>
      </c>
      <c r="I12" s="269">
        <v>0.11733028336730504</v>
      </c>
      <c r="J12" s="269">
        <v>0.468984145587513</v>
      </c>
      <c r="K12" s="269">
        <v>5.5E-2</v>
      </c>
      <c r="L12" s="269">
        <v>0.59486626883899241</v>
      </c>
      <c r="M12" s="269">
        <v>7.2072689068383045E-2</v>
      </c>
      <c r="N12" s="270">
        <v>1.0882185560425841</v>
      </c>
      <c r="O12" s="270">
        <v>1.327352847501104</v>
      </c>
      <c r="P12" s="270">
        <v>6.5519630524093646</v>
      </c>
      <c r="Q12" s="270">
        <v>8.9842493177172393</v>
      </c>
      <c r="R12" s="270">
        <v>0.88176524838881909</v>
      </c>
      <c r="S12" s="270">
        <v>6.9331886334439696</v>
      </c>
      <c r="T12" s="269">
        <v>0.10620894391959061</v>
      </c>
      <c r="U12" s="269">
        <v>2.4926670267360996E-2</v>
      </c>
      <c r="V12" s="269">
        <v>2.5468002540459899E-2</v>
      </c>
      <c r="W12" s="269">
        <v>2.1013859237709163</v>
      </c>
      <c r="X12" s="269">
        <v>0.20758583832448124</v>
      </c>
      <c r="Y12" s="269">
        <v>0.14361734100768372</v>
      </c>
      <c r="Z12" s="269">
        <v>0.14361734100768375</v>
      </c>
      <c r="AA12" s="271">
        <v>0.14746210696281761</v>
      </c>
    </row>
    <row r="13" spans="1:27" ht="14">
      <c r="A13" s="268" t="s">
        <v>704</v>
      </c>
      <c r="B13" s="123">
        <v>30</v>
      </c>
      <c r="C13" s="269">
        <v>0.14228750000000001</v>
      </c>
      <c r="D13" s="269">
        <v>4.0896492810984023E-3</v>
      </c>
      <c r="E13" s="269">
        <v>5.645094247926231E-4</v>
      </c>
      <c r="F13" s="269">
        <v>0.20823984488924394</v>
      </c>
      <c r="G13" s="270">
        <v>0.69375056275316571</v>
      </c>
      <c r="H13" s="270">
        <v>1.2048082896180194</v>
      </c>
      <c r="I13" s="269">
        <v>0.11036561240331036</v>
      </c>
      <c r="J13" s="269">
        <v>0.27996249256243011</v>
      </c>
      <c r="K13" s="269">
        <v>5.5E-2</v>
      </c>
      <c r="L13" s="269">
        <v>0.66787153511038466</v>
      </c>
      <c r="M13" s="269">
        <v>6.4205262247417128E-2</v>
      </c>
      <c r="N13" s="270">
        <v>0.26390729940029073</v>
      </c>
      <c r="O13" s="270">
        <v>4.4584614233683109</v>
      </c>
      <c r="P13" s="270" t="s">
        <v>96</v>
      </c>
      <c r="Q13" s="270" t="s">
        <v>96</v>
      </c>
      <c r="R13" s="270">
        <v>1.6222402453644245</v>
      </c>
      <c r="S13" s="270">
        <v>15.398825088840153</v>
      </c>
      <c r="T13" s="269" t="s">
        <v>96</v>
      </c>
      <c r="U13" s="269">
        <v>3.8056979857082368E-2</v>
      </c>
      <c r="V13" s="269">
        <v>2.5052525387016997E-2</v>
      </c>
      <c r="W13" s="269">
        <v>-106.71129131280301</v>
      </c>
      <c r="X13" s="269">
        <v>0.13433666755237328</v>
      </c>
      <c r="Y13" s="269">
        <v>0.2868814096660765</v>
      </c>
      <c r="Z13" s="269">
        <v>0.28688140966607656</v>
      </c>
      <c r="AA13" s="271">
        <v>2.6196985508719333E-3</v>
      </c>
    </row>
    <row r="14" spans="1:27" ht="14">
      <c r="A14" s="268" t="s">
        <v>705</v>
      </c>
      <c r="B14" s="123">
        <v>45</v>
      </c>
      <c r="C14" s="269">
        <v>0.10597500000000004</v>
      </c>
      <c r="D14" s="269">
        <v>0.13807573680826582</v>
      </c>
      <c r="E14" s="269">
        <v>0.34596203413304549</v>
      </c>
      <c r="F14" s="269">
        <v>0.22045577488665988</v>
      </c>
      <c r="G14" s="270">
        <v>1.0983592603350816</v>
      </c>
      <c r="H14" s="270">
        <v>1.277280094823728</v>
      </c>
      <c r="I14" s="269">
        <v>0.11467043763252945</v>
      </c>
      <c r="J14" s="269">
        <v>0.29189913847162119</v>
      </c>
      <c r="K14" s="269">
        <v>5.5E-2</v>
      </c>
      <c r="L14" s="269">
        <v>0.22436251520240177</v>
      </c>
      <c r="M14" s="269">
        <v>9.8197643578034066E-2</v>
      </c>
      <c r="N14" s="270">
        <v>2.9646568034688325</v>
      </c>
      <c r="O14" s="270">
        <v>1.3599831051822802</v>
      </c>
      <c r="P14" s="270">
        <v>7.8495447372704241</v>
      </c>
      <c r="Q14" s="270">
        <v>9.7338715959223006</v>
      </c>
      <c r="R14" s="270">
        <v>3.189256369070784</v>
      </c>
      <c r="S14" s="270">
        <v>15.731797108797148</v>
      </c>
      <c r="T14" s="269">
        <v>0.18212892955536489</v>
      </c>
      <c r="U14" s="269">
        <v>2.4582389713126325E-2</v>
      </c>
      <c r="V14" s="269">
        <v>4.6787426076227899E-2</v>
      </c>
      <c r="W14" s="269">
        <v>0.72991700253868219</v>
      </c>
      <c r="X14" s="269">
        <v>0.32728776839603557</v>
      </c>
      <c r="Y14" s="269">
        <v>0.12953963876691149</v>
      </c>
      <c r="Z14" s="269">
        <v>0.12953963876691144</v>
      </c>
      <c r="AA14" s="271">
        <v>0.13998849891511717</v>
      </c>
    </row>
    <row r="15" spans="1:27" ht="14">
      <c r="A15" s="268" t="s">
        <v>706</v>
      </c>
      <c r="B15" s="123">
        <v>164</v>
      </c>
      <c r="C15" s="269">
        <v>8.4642800000000004E-2</v>
      </c>
      <c r="D15" s="269">
        <v>9.0283859810487671E-2</v>
      </c>
      <c r="E15" s="269">
        <v>0.23990816674375973</v>
      </c>
      <c r="F15" s="269">
        <v>0.22537233164821857</v>
      </c>
      <c r="G15" s="270">
        <v>1.0198687734730703</v>
      </c>
      <c r="H15" s="270">
        <v>1.1709200204529924</v>
      </c>
      <c r="I15" s="269">
        <v>0.10835264921490775</v>
      </c>
      <c r="J15" s="269">
        <v>0.45782493709706812</v>
      </c>
      <c r="K15" s="269">
        <v>5.5E-2</v>
      </c>
      <c r="L15" s="269">
        <v>0.21552515508878373</v>
      </c>
      <c r="M15" s="269">
        <v>9.3890340335996511E-2</v>
      </c>
      <c r="N15" s="270">
        <v>2.8046731724829046</v>
      </c>
      <c r="O15" s="270">
        <v>2.0548295737776865</v>
      </c>
      <c r="P15" s="270">
        <v>13.178267269008741</v>
      </c>
      <c r="Q15" s="270">
        <v>21.791313120550598</v>
      </c>
      <c r="R15" s="270">
        <v>3.9002335521700227</v>
      </c>
      <c r="S15" s="270">
        <v>33.719939757949462</v>
      </c>
      <c r="T15" s="269">
        <v>0.13038697382193254</v>
      </c>
      <c r="U15" s="269">
        <v>2.8421300966096921E-2</v>
      </c>
      <c r="V15" s="269">
        <v>5.7187561277203862E-2</v>
      </c>
      <c r="W15" s="269">
        <v>1.0203838316554499</v>
      </c>
      <c r="X15" s="269">
        <v>0.12850428149482823</v>
      </c>
      <c r="Y15" s="269">
        <v>0.28225571869971045</v>
      </c>
      <c r="Z15" s="269">
        <v>0.28225571869971045</v>
      </c>
      <c r="AA15" s="271">
        <v>9.4231210499158974E-2</v>
      </c>
    </row>
    <row r="16" spans="1:27" ht="14">
      <c r="A16" s="268" t="s">
        <v>707</v>
      </c>
      <c r="B16" s="123">
        <v>10</v>
      </c>
      <c r="C16" s="269">
        <v>0.20048888888888888</v>
      </c>
      <c r="D16" s="269">
        <v>0.19895661889285571</v>
      </c>
      <c r="E16" s="269">
        <v>0.12126078877676111</v>
      </c>
      <c r="F16" s="269">
        <v>0.29816727963168077</v>
      </c>
      <c r="G16" s="270">
        <v>0.70592024428519573</v>
      </c>
      <c r="H16" s="270">
        <v>1.2551641961018303</v>
      </c>
      <c r="I16" s="269">
        <v>0.11335675324844872</v>
      </c>
      <c r="J16" s="269">
        <v>0.25406917505650006</v>
      </c>
      <c r="K16" s="269">
        <v>5.5E-2</v>
      </c>
      <c r="L16" s="269">
        <v>0.51752783876705177</v>
      </c>
      <c r="M16" s="269">
        <v>7.6039501079269961E-2</v>
      </c>
      <c r="N16" s="270">
        <v>0.79548722095114122</v>
      </c>
      <c r="O16" s="270">
        <v>2.4271351695921024</v>
      </c>
      <c r="P16" s="270">
        <v>7.388341366320442</v>
      </c>
      <c r="Q16" s="270">
        <v>12.434965607445452</v>
      </c>
      <c r="R16" s="270">
        <v>2.0421096097889047</v>
      </c>
      <c r="S16" s="270">
        <v>11.031811598705742</v>
      </c>
      <c r="T16" s="269">
        <v>5.9344318007066689E-3</v>
      </c>
      <c r="U16" s="269">
        <v>0.11049608575165179</v>
      </c>
      <c r="V16" s="269">
        <v>-4.8655848776094279E-3</v>
      </c>
      <c r="W16" s="269">
        <v>1.5184488206219843E-2</v>
      </c>
      <c r="X16" s="269">
        <v>0.12137565446376083</v>
      </c>
      <c r="Y16" s="269">
        <v>0.29050659083570779</v>
      </c>
      <c r="Z16" s="269">
        <v>0.29050659083570785</v>
      </c>
      <c r="AA16" s="271">
        <v>0.19527628887738516</v>
      </c>
    </row>
    <row r="17" spans="1:27" ht="14">
      <c r="A17" s="268" t="s">
        <v>708</v>
      </c>
      <c r="B17" s="123">
        <v>38</v>
      </c>
      <c r="C17" s="269">
        <v>0.2702</v>
      </c>
      <c r="D17" s="269">
        <v>0.13053391047408461</v>
      </c>
      <c r="E17" s="269">
        <v>0.25379383032265024</v>
      </c>
      <c r="F17" s="269">
        <v>0.20966607761406131</v>
      </c>
      <c r="G17" s="270">
        <v>0.95899003084657786</v>
      </c>
      <c r="H17" s="270">
        <v>1.2471014770997904</v>
      </c>
      <c r="I17" s="269">
        <v>0.11287782773972756</v>
      </c>
      <c r="J17" s="269">
        <v>0.46579004421759862</v>
      </c>
      <c r="K17" s="269">
        <v>5.5E-2</v>
      </c>
      <c r="L17" s="269">
        <v>0.32569374593561318</v>
      </c>
      <c r="M17" s="269">
        <v>8.9549092209944864E-2</v>
      </c>
      <c r="N17" s="270">
        <v>2.140539561734049</v>
      </c>
      <c r="O17" s="270">
        <v>0.88799068286034366</v>
      </c>
      <c r="P17" s="270">
        <v>4.9188627149294541</v>
      </c>
      <c r="Q17" s="270">
        <v>6.6585566466995108</v>
      </c>
      <c r="R17" s="270">
        <v>1.9406925746228572</v>
      </c>
      <c r="S17" s="270">
        <v>9.9507720825302446</v>
      </c>
      <c r="T17" s="269">
        <v>0.13501869928478144</v>
      </c>
      <c r="U17" s="269">
        <v>4.6946155965922734E-2</v>
      </c>
      <c r="V17" s="269">
        <v>5.2585156771289575E-2</v>
      </c>
      <c r="W17" s="269">
        <v>0.58551539662885521</v>
      </c>
      <c r="X17" s="269">
        <v>0.34777022369023014</v>
      </c>
      <c r="Y17" s="269">
        <v>0.27395285947542003</v>
      </c>
      <c r="Z17" s="269">
        <v>0.27395285947542003</v>
      </c>
      <c r="AA17" s="271">
        <v>0.13148514278842838</v>
      </c>
    </row>
    <row r="18" spans="1:27" ht="14">
      <c r="A18" s="268" t="s">
        <v>709</v>
      </c>
      <c r="B18" s="123">
        <v>4</v>
      </c>
      <c r="C18" s="269">
        <v>1.7524999999999995E-2</v>
      </c>
      <c r="D18" s="269">
        <v>0.13516371228768437</v>
      </c>
      <c r="E18" s="269">
        <v>0.20349837596065587</v>
      </c>
      <c r="F18" s="269">
        <v>0.17552757581131406</v>
      </c>
      <c r="G18" s="270">
        <v>1.0902565654988166</v>
      </c>
      <c r="H18" s="270">
        <v>1.4125912305600932</v>
      </c>
      <c r="I18" s="269">
        <v>0.12270791909526954</v>
      </c>
      <c r="J18" s="269">
        <v>0.39493176140036279</v>
      </c>
      <c r="K18" s="269">
        <v>5.5E-2</v>
      </c>
      <c r="L18" s="269">
        <v>0.36805699288839216</v>
      </c>
      <c r="M18" s="269">
        <v>9.2726762346118707E-2</v>
      </c>
      <c r="N18" s="270">
        <v>1.696073044152786</v>
      </c>
      <c r="O18" s="270">
        <v>0.91038112399398097</v>
      </c>
      <c r="P18" s="270">
        <v>5.0157178614705851</v>
      </c>
      <c r="Q18" s="270">
        <v>6.7070116425908575</v>
      </c>
      <c r="R18" s="270">
        <v>1.8892572990056375</v>
      </c>
      <c r="S18" s="270">
        <v>4.9136350366529671</v>
      </c>
      <c r="T18" s="269">
        <v>0.14468858429825437</v>
      </c>
      <c r="U18" s="269">
        <v>3.7962934913559079E-2</v>
      </c>
      <c r="V18" s="269">
        <v>4.0905351903938969E-4</v>
      </c>
      <c r="W18" s="269">
        <v>0.23180043531608446</v>
      </c>
      <c r="X18" s="269">
        <v>0.43436231081579907</v>
      </c>
      <c r="Y18" s="269">
        <v>0.14606681893025975</v>
      </c>
      <c r="Z18" s="269">
        <v>0.14606681893025975</v>
      </c>
      <c r="AA18" s="271">
        <v>0.13629282750850893</v>
      </c>
    </row>
    <row r="19" spans="1:27" ht="14">
      <c r="A19" s="268" t="s">
        <v>710</v>
      </c>
      <c r="B19" s="123">
        <v>76</v>
      </c>
      <c r="C19" s="269">
        <v>9.4822448979591842E-2</v>
      </c>
      <c r="D19" s="269">
        <v>0.14620994370453144</v>
      </c>
      <c r="E19" s="269">
        <v>0.17826252008578738</v>
      </c>
      <c r="F19" s="269">
        <v>0.21518437900478904</v>
      </c>
      <c r="G19" s="270">
        <v>1.1152530501630955</v>
      </c>
      <c r="H19" s="270">
        <v>1.2772947079305697</v>
      </c>
      <c r="I19" s="269">
        <v>0.11467130565107583</v>
      </c>
      <c r="J19" s="269">
        <v>0.42320469092143559</v>
      </c>
      <c r="K19" s="269">
        <v>5.5E-2</v>
      </c>
      <c r="L19" s="269">
        <v>0.21509733288408953</v>
      </c>
      <c r="M19" s="269">
        <v>9.8878578628661895E-2</v>
      </c>
      <c r="N19" s="270">
        <v>1.300382837279803</v>
      </c>
      <c r="O19" s="270">
        <v>2.4784833446872629</v>
      </c>
      <c r="P19" s="270">
        <v>10.530080416847145</v>
      </c>
      <c r="Q19" s="270">
        <v>16.533152933135522</v>
      </c>
      <c r="R19" s="270">
        <v>2.8296016487864555</v>
      </c>
      <c r="S19" s="270">
        <v>34.725527646029491</v>
      </c>
      <c r="T19" s="269">
        <v>0.22710714698009443</v>
      </c>
      <c r="U19" s="269">
        <v>5.9270188988379699E-2</v>
      </c>
      <c r="V19" s="269">
        <v>6.2155489180958312E-2</v>
      </c>
      <c r="W19" s="269">
        <v>0.9187162005119015</v>
      </c>
      <c r="X19" s="269">
        <v>0.11428570397103884</v>
      </c>
      <c r="Y19" s="269">
        <v>0.40462475653279661</v>
      </c>
      <c r="Z19" s="269">
        <v>0.40462475653279661</v>
      </c>
      <c r="AA19" s="271">
        <v>0.15299911402623009</v>
      </c>
    </row>
    <row r="20" spans="1:27" ht="14">
      <c r="A20" s="268" t="s">
        <v>711</v>
      </c>
      <c r="B20" s="123">
        <v>19</v>
      </c>
      <c r="C20" s="269">
        <v>-3.7148999999999988E-2</v>
      </c>
      <c r="D20" s="269">
        <v>0.22154519636476394</v>
      </c>
      <c r="E20" s="269">
        <v>0.417859281998402</v>
      </c>
      <c r="F20" s="269">
        <v>5.7877792248144003E-2</v>
      </c>
      <c r="G20" s="270">
        <v>1.4289145880963197</v>
      </c>
      <c r="H20" s="270">
        <v>1.4521788818808701</v>
      </c>
      <c r="I20" s="269">
        <v>0.12505942558372368</v>
      </c>
      <c r="J20" s="269">
        <v>0.61956739404999339</v>
      </c>
      <c r="K20" s="269">
        <v>5.8800000000000005E-2</v>
      </c>
      <c r="L20" s="269">
        <v>0.17836697027388981</v>
      </c>
      <c r="M20" s="269">
        <v>0.11061893812724044</v>
      </c>
      <c r="N20" s="270">
        <v>1.9144649709284169</v>
      </c>
      <c r="O20" s="270">
        <v>1.4317347621068663</v>
      </c>
      <c r="P20" s="270">
        <v>3.8137225981171055</v>
      </c>
      <c r="Q20" s="270">
        <v>5.3134978918000479</v>
      </c>
      <c r="R20" s="270">
        <v>2.45757981722153</v>
      </c>
      <c r="S20" s="270">
        <v>70.10021734645936</v>
      </c>
      <c r="T20" s="269">
        <v>7.193329766827207E-2</v>
      </c>
      <c r="U20" s="269">
        <v>6.654469909067097E-2</v>
      </c>
      <c r="V20" s="269">
        <v>1.340816712569722E-2</v>
      </c>
      <c r="W20" s="269">
        <v>0.16330024899958975</v>
      </c>
      <c r="X20" s="269">
        <v>0.74083903025233333</v>
      </c>
      <c r="Y20" s="269">
        <v>0.20433717791215913</v>
      </c>
      <c r="Z20" s="269">
        <v>0.20433717791215911</v>
      </c>
      <c r="AA20" s="271">
        <v>0.2233108579995417</v>
      </c>
    </row>
    <row r="21" spans="1:27" ht="14">
      <c r="A21" s="268" t="s">
        <v>712</v>
      </c>
      <c r="B21" s="123">
        <v>80</v>
      </c>
      <c r="C21" s="269">
        <v>0.10479307692307695</v>
      </c>
      <c r="D21" s="269">
        <v>6.5724841411889792E-2</v>
      </c>
      <c r="E21" s="269">
        <v>0.28393181700102466</v>
      </c>
      <c r="F21" s="269">
        <v>0.20902109276047354</v>
      </c>
      <c r="G21" s="270">
        <v>0.99322179503265406</v>
      </c>
      <c r="H21" s="270">
        <v>1.1713869322889647</v>
      </c>
      <c r="I21" s="269">
        <v>0.10838038377796451</v>
      </c>
      <c r="J21" s="269">
        <v>0.47775300169020696</v>
      </c>
      <c r="K21" s="269">
        <v>5.5E-2</v>
      </c>
      <c r="L21" s="269">
        <v>0.24564199162920453</v>
      </c>
      <c r="M21" s="269">
        <v>9.1890342607912456E-2</v>
      </c>
      <c r="N21" s="270">
        <v>4.362127057694285</v>
      </c>
      <c r="O21" s="270">
        <v>1.1705516509622818</v>
      </c>
      <c r="P21" s="270">
        <v>10.563161623441127</v>
      </c>
      <c r="Q21" s="270">
        <v>16.723392422877364</v>
      </c>
      <c r="R21" s="270">
        <v>4.0327297094633501</v>
      </c>
      <c r="S21" s="270">
        <v>16.826618008820372</v>
      </c>
      <c r="T21" s="269">
        <v>0.15591437376823686</v>
      </c>
      <c r="U21" s="269">
        <v>1.229709556092224E-2</v>
      </c>
      <c r="V21" s="269">
        <v>-2.2074387017581819E-3</v>
      </c>
      <c r="W21" s="269">
        <v>0.30657294945631369</v>
      </c>
      <c r="X21" s="269">
        <v>0.12149230128546304</v>
      </c>
      <c r="Y21" s="269">
        <v>0.93582785276917213</v>
      </c>
      <c r="Z21" s="269">
        <v>0.93582785276917213</v>
      </c>
      <c r="AA21" s="271">
        <v>6.9547703311741663E-2</v>
      </c>
    </row>
    <row r="22" spans="1:27" ht="14">
      <c r="A22" s="268" t="s">
        <v>713</v>
      </c>
      <c r="B22" s="123">
        <v>42</v>
      </c>
      <c r="C22" s="269">
        <v>0.16357148148148148</v>
      </c>
      <c r="D22" s="269">
        <v>0.21409567860908393</v>
      </c>
      <c r="E22" s="269">
        <v>0.42627570781813673</v>
      </c>
      <c r="F22" s="269">
        <v>0.16701412664987517</v>
      </c>
      <c r="G22" s="270">
        <v>1.2270423722130051</v>
      </c>
      <c r="H22" s="270">
        <v>1.2910863648381774</v>
      </c>
      <c r="I22" s="269">
        <v>0.11549053007138774</v>
      </c>
      <c r="J22" s="269">
        <v>0.48725444355956743</v>
      </c>
      <c r="K22" s="269">
        <v>5.5E-2</v>
      </c>
      <c r="L22" s="269">
        <v>8.6947263270185773E-2</v>
      </c>
      <c r="M22" s="269">
        <v>0.10903551915795263</v>
      </c>
      <c r="N22" s="270">
        <v>2.1239631951163802</v>
      </c>
      <c r="O22" s="270">
        <v>3.6675154478583059</v>
      </c>
      <c r="P22" s="270">
        <v>14.733525349856887</v>
      </c>
      <c r="Q22" s="270">
        <v>17.080897524012034</v>
      </c>
      <c r="R22" s="270">
        <v>25.561397089337795</v>
      </c>
      <c r="S22" s="270">
        <v>60.37198607537146</v>
      </c>
      <c r="T22" s="269">
        <v>-8.7617856695005242E-2</v>
      </c>
      <c r="U22" s="269">
        <v>3.0428476782541368E-2</v>
      </c>
      <c r="V22" s="269">
        <v>1.8160239754402271E-2</v>
      </c>
      <c r="W22" s="269">
        <v>6.2749973873893805E-2</v>
      </c>
      <c r="X22" s="269">
        <v>0.9626017835927464</v>
      </c>
      <c r="Y22" s="269">
        <v>0.16947356652480433</v>
      </c>
      <c r="Z22" s="269">
        <v>0.16947356652480439</v>
      </c>
      <c r="AA22" s="271">
        <v>0.22026534167026365</v>
      </c>
    </row>
    <row r="23" spans="1:27" ht="14">
      <c r="A23" s="268" t="s">
        <v>714</v>
      </c>
      <c r="B23" s="123">
        <v>49</v>
      </c>
      <c r="C23" s="269">
        <v>5.0167812500000013E-2</v>
      </c>
      <c r="D23" s="269">
        <v>0.1113211314713254</v>
      </c>
      <c r="E23" s="269">
        <v>0.1454747413376444</v>
      </c>
      <c r="F23" s="269">
        <v>0.21149094625947643</v>
      </c>
      <c r="G23" s="270">
        <v>1.0760610533922743</v>
      </c>
      <c r="H23" s="270">
        <v>1.2643960028602219</v>
      </c>
      <c r="I23" s="269">
        <v>0.11390512256989718</v>
      </c>
      <c r="J23" s="269">
        <v>0.35111645283882109</v>
      </c>
      <c r="K23" s="269">
        <v>5.5E-2</v>
      </c>
      <c r="L23" s="269">
        <v>0.23151570788836295</v>
      </c>
      <c r="M23" s="269">
        <v>9.7084320436411659E-2</v>
      </c>
      <c r="N23" s="270">
        <v>1.4171828125823143</v>
      </c>
      <c r="O23" s="270">
        <v>2.149130072951404</v>
      </c>
      <c r="P23" s="270">
        <v>12.934160671927692</v>
      </c>
      <c r="Q23" s="270">
        <v>18.749409005666379</v>
      </c>
      <c r="R23" s="270">
        <v>3.6559134287335295</v>
      </c>
      <c r="S23" s="270">
        <v>23.670176577905639</v>
      </c>
      <c r="T23" s="269">
        <v>0.20313324960220644</v>
      </c>
      <c r="U23" s="269">
        <v>5.3432457224285933E-2</v>
      </c>
      <c r="V23" s="269">
        <v>6.0397175441397173E-2</v>
      </c>
      <c r="W23" s="269">
        <v>1.1390269734410299</v>
      </c>
      <c r="X23" s="269">
        <v>0.18776605314361972</v>
      </c>
      <c r="Y23" s="269">
        <v>0.32155652013128733</v>
      </c>
      <c r="Z23" s="269">
        <v>0.32155652013128733</v>
      </c>
      <c r="AA23" s="271">
        <v>0.11439331049245301</v>
      </c>
    </row>
    <row r="24" spans="1:27" ht="14">
      <c r="A24" s="268" t="s">
        <v>715</v>
      </c>
      <c r="B24" s="123">
        <v>23</v>
      </c>
      <c r="C24" s="269">
        <v>7.6920000000000002E-2</v>
      </c>
      <c r="D24" s="269">
        <v>3.4418541141436297E-2</v>
      </c>
      <c r="E24" s="269">
        <v>2.8451413775521742E-2</v>
      </c>
      <c r="F24" s="269">
        <v>0.15969215649818055</v>
      </c>
      <c r="G24" s="270">
        <v>0.93949641382363391</v>
      </c>
      <c r="H24" s="270">
        <v>1.0382284747790869</v>
      </c>
      <c r="I24" s="269">
        <v>0.10047077140187777</v>
      </c>
      <c r="J24" s="269">
        <v>0.57844438730746484</v>
      </c>
      <c r="K24" s="269">
        <v>5.8800000000000005E-2</v>
      </c>
      <c r="L24" s="269">
        <v>0.17516637526737888</v>
      </c>
      <c r="M24" s="269">
        <v>9.0596507704384821E-2</v>
      </c>
      <c r="N24" s="270">
        <v>0.80913558522031659</v>
      </c>
      <c r="O24" s="270">
        <v>2.497073337847707</v>
      </c>
      <c r="P24" s="270">
        <v>30.955109543804362</v>
      </c>
      <c r="Q24" s="270">
        <v>69.441093859764692</v>
      </c>
      <c r="R24" s="270">
        <v>1.8458984878571658</v>
      </c>
      <c r="S24" s="270">
        <v>14.458344682654587</v>
      </c>
      <c r="T24" s="269">
        <v>7.6139744625110986E-2</v>
      </c>
      <c r="U24" s="269">
        <v>4.2501393888324822E-2</v>
      </c>
      <c r="V24" s="269">
        <v>2.7621900220592199E-2</v>
      </c>
      <c r="W24" s="269">
        <v>1.7018968838721764</v>
      </c>
      <c r="X24" s="269">
        <v>8.2496001271177635E-3</v>
      </c>
      <c r="Y24" s="269">
        <v>1.5067793894620867</v>
      </c>
      <c r="Z24" s="269">
        <v>1.5067793894620867</v>
      </c>
      <c r="AA24" s="271">
        <v>3.6232783350473828E-2</v>
      </c>
    </row>
    <row r="25" spans="1:27" ht="14">
      <c r="A25" s="268" t="s">
        <v>716</v>
      </c>
      <c r="B25" s="123">
        <v>598</v>
      </c>
      <c r="C25" s="269">
        <v>0.27230353658536566</v>
      </c>
      <c r="D25" s="269">
        <v>0.12018971566330637</v>
      </c>
      <c r="E25" s="269">
        <v>6.4930486901624035E-2</v>
      </c>
      <c r="F25" s="269">
        <v>0.14251232985737891</v>
      </c>
      <c r="G25" s="270">
        <v>1.1994489579084946</v>
      </c>
      <c r="H25" s="270">
        <v>1.2417422800706084</v>
      </c>
      <c r="I25" s="269">
        <v>0.11255949143619413</v>
      </c>
      <c r="J25" s="269">
        <v>0.58414093308210857</v>
      </c>
      <c r="K25" s="269">
        <v>5.8800000000000005E-2</v>
      </c>
      <c r="L25" s="269">
        <v>0.13285422647907655</v>
      </c>
      <c r="M25" s="269">
        <v>0.10346435865628759</v>
      </c>
      <c r="N25" s="270">
        <v>0.45885725937170108</v>
      </c>
      <c r="O25" s="270">
        <v>6.1848374689664327</v>
      </c>
      <c r="P25" s="270">
        <v>11.029260692823163</v>
      </c>
      <c r="Q25" s="270">
        <v>40.682421818847885</v>
      </c>
      <c r="R25" s="270">
        <v>5.8009721658494318</v>
      </c>
      <c r="S25" s="270">
        <v>113.80317420122032</v>
      </c>
      <c r="T25" s="269">
        <v>0.12996962084632474</v>
      </c>
      <c r="U25" s="269">
        <v>3.5583539077648038E-2</v>
      </c>
      <c r="V25" s="269">
        <v>-2.0551912434212563E-4</v>
      </c>
      <c r="W25" s="269">
        <v>0.40999126936273844</v>
      </c>
      <c r="X25" s="269">
        <v>6.7759078368331621E-3</v>
      </c>
      <c r="Y25" s="269">
        <v>5.6919254543125089E-4</v>
      </c>
      <c r="Z25" s="269">
        <v>5.6919254543119635E-4</v>
      </c>
      <c r="AA25" s="271">
        <v>0.142616457040632</v>
      </c>
    </row>
    <row r="26" spans="1:27" ht="14">
      <c r="A26" s="268" t="s">
        <v>717</v>
      </c>
      <c r="B26" s="123">
        <v>281</v>
      </c>
      <c r="C26" s="269">
        <v>0.42345633802816912</v>
      </c>
      <c r="D26" s="269">
        <v>0.27387480126192115</v>
      </c>
      <c r="E26" s="269">
        <v>0.19583591126440983</v>
      </c>
      <c r="F26" s="269">
        <v>0.12152173885442238</v>
      </c>
      <c r="G26" s="270">
        <v>1.1808060946282533</v>
      </c>
      <c r="H26" s="270">
        <v>1.2680061555196915</v>
      </c>
      <c r="I26" s="269">
        <v>0.11411956563786968</v>
      </c>
      <c r="J26" s="269">
        <v>0.64883553950451733</v>
      </c>
      <c r="K26" s="269">
        <v>5.8800000000000005E-2</v>
      </c>
      <c r="L26" s="269">
        <v>0.11983897594961615</v>
      </c>
      <c r="M26" s="269">
        <v>0.10572849259539045</v>
      </c>
      <c r="N26" s="270">
        <v>0.75386830062989918</v>
      </c>
      <c r="O26" s="270">
        <v>4.8507972602124285</v>
      </c>
      <c r="P26" s="270">
        <v>12.336746475080462</v>
      </c>
      <c r="Q26" s="270">
        <v>17.374965922425169</v>
      </c>
      <c r="R26" s="270">
        <v>5.2822318741793906</v>
      </c>
      <c r="S26" s="270">
        <v>17.765653282813773</v>
      </c>
      <c r="T26" s="269">
        <v>0.19448863395055158</v>
      </c>
      <c r="U26" s="269">
        <v>4.5444497459431313E-2</v>
      </c>
      <c r="V26" s="269">
        <v>2.7328938551878745E-2</v>
      </c>
      <c r="W26" s="269">
        <v>0.23314422056482276</v>
      </c>
      <c r="X26" s="269">
        <v>0.24540189875584534</v>
      </c>
      <c r="Y26" s="269">
        <v>0.51360080179486645</v>
      </c>
      <c r="Z26" s="269">
        <v>0.51360080179486645</v>
      </c>
      <c r="AA26" s="271">
        <v>0.26627225481310235</v>
      </c>
    </row>
    <row r="27" spans="1:27" ht="14">
      <c r="A27" s="268" t="s">
        <v>718</v>
      </c>
      <c r="B27" s="123">
        <v>33</v>
      </c>
      <c r="C27" s="269">
        <v>4.1291875000000006E-2</v>
      </c>
      <c r="D27" s="269">
        <v>5.2763116719378576E-2</v>
      </c>
      <c r="E27" s="269">
        <v>6.7741870602732721E-2</v>
      </c>
      <c r="F27" s="269">
        <v>0.28828758577666874</v>
      </c>
      <c r="G27" s="270">
        <v>0.99371608027377023</v>
      </c>
      <c r="H27" s="270">
        <v>1.1008288893194806</v>
      </c>
      <c r="I27" s="269">
        <v>0.10418923602557716</v>
      </c>
      <c r="J27" s="269">
        <v>0.41812601855058806</v>
      </c>
      <c r="K27" s="269">
        <v>5.5E-2</v>
      </c>
      <c r="L27" s="269">
        <v>0.23436430724796883</v>
      </c>
      <c r="M27" s="269">
        <v>8.943852557572636E-2</v>
      </c>
      <c r="N27" s="270">
        <v>1.2400892015686051</v>
      </c>
      <c r="O27" s="270">
        <v>1.8499312364405511</v>
      </c>
      <c r="P27" s="270">
        <v>9.650215665864085</v>
      </c>
      <c r="Q27" s="270">
        <v>30.359718234591035</v>
      </c>
      <c r="R27" s="270">
        <v>1.8138069812041899</v>
      </c>
      <c r="S27" s="270">
        <v>18.213402559297673</v>
      </c>
      <c r="T27" s="269">
        <v>7.9575056602342875E-2</v>
      </c>
      <c r="U27" s="269">
        <v>3.2093203022036013E-2</v>
      </c>
      <c r="V27" s="269">
        <v>9.2404200428598995E-2</v>
      </c>
      <c r="W27" s="269">
        <v>3.5636046330701983</v>
      </c>
      <c r="X27" s="269">
        <v>3.1900714568291952E-2</v>
      </c>
      <c r="Y27" s="269">
        <v>0.17439258095206728</v>
      </c>
      <c r="Z27" s="269">
        <v>0.17439258095206722</v>
      </c>
      <c r="AA27" s="271">
        <v>5.8289255738509536E-2</v>
      </c>
    </row>
    <row r="28" spans="1:27" ht="14">
      <c r="A28" s="268" t="s">
        <v>719</v>
      </c>
      <c r="B28" s="123">
        <v>110</v>
      </c>
      <c r="C28" s="269">
        <v>0.13897499999999999</v>
      </c>
      <c r="D28" s="269">
        <v>9.9667734703206542E-2</v>
      </c>
      <c r="E28" s="269">
        <v>0.1840328456371863</v>
      </c>
      <c r="F28" s="269">
        <v>0.20103829040431295</v>
      </c>
      <c r="G28" s="270">
        <v>1.4326548798323873</v>
      </c>
      <c r="H28" s="270">
        <v>1.5896686619511227</v>
      </c>
      <c r="I28" s="269">
        <v>0.13322631851989669</v>
      </c>
      <c r="J28" s="269">
        <v>0.58554859436634488</v>
      </c>
      <c r="K28" s="269">
        <v>5.8800000000000005E-2</v>
      </c>
      <c r="L28" s="269">
        <v>0.18379271640117503</v>
      </c>
      <c r="M28" s="269">
        <v>0.11684555033628852</v>
      </c>
      <c r="N28" s="270">
        <v>1.784175397261031</v>
      </c>
      <c r="O28" s="270">
        <v>2.7669115666624866</v>
      </c>
      <c r="P28" s="270">
        <v>12.687782652021538</v>
      </c>
      <c r="Q28" s="270">
        <v>22.717789944737529</v>
      </c>
      <c r="R28" s="270">
        <v>3.1311439640496568</v>
      </c>
      <c r="S28" s="270">
        <v>50.350247851678539</v>
      </c>
      <c r="T28" s="269">
        <v>0.25546598517273594</v>
      </c>
      <c r="U28" s="269">
        <v>5.2685242562635834E-2</v>
      </c>
      <c r="V28" s="269">
        <v>0.14996801054437855</v>
      </c>
      <c r="W28" s="269">
        <v>2.7928575511304214</v>
      </c>
      <c r="X28" s="269">
        <v>0.13203099340958588</v>
      </c>
      <c r="Y28" s="269">
        <v>0.34460454633292631</v>
      </c>
      <c r="Z28" s="269">
        <v>0.34460454633292636</v>
      </c>
      <c r="AA28" s="271">
        <v>0.10772663000105302</v>
      </c>
    </row>
    <row r="29" spans="1:27" ht="14">
      <c r="A29" s="268" t="s">
        <v>720</v>
      </c>
      <c r="B29" s="123">
        <v>16</v>
      </c>
      <c r="C29" s="269">
        <v>-4.7299999999999972E-3</v>
      </c>
      <c r="D29" s="269">
        <v>1.8532970035645514E-2</v>
      </c>
      <c r="E29" s="269">
        <v>5.4638914455599978E-2</v>
      </c>
      <c r="F29" s="269">
        <v>0.10064883323847465</v>
      </c>
      <c r="G29" s="270">
        <v>1.6130596990178139</v>
      </c>
      <c r="H29" s="270">
        <v>1.5389191240889379</v>
      </c>
      <c r="I29" s="269">
        <v>0.13021179597088292</v>
      </c>
      <c r="J29" s="269">
        <v>0.39564713245016608</v>
      </c>
      <c r="K29" s="269">
        <v>5.5E-2</v>
      </c>
      <c r="L29" s="269">
        <v>0.14129490331068803</v>
      </c>
      <c r="M29" s="269">
        <v>0.11764194761083187</v>
      </c>
      <c r="N29" s="270">
        <v>2.2252934810205893</v>
      </c>
      <c r="O29" s="270">
        <v>0.77629031014858285</v>
      </c>
      <c r="P29" s="270">
        <v>10.434016718178196</v>
      </c>
      <c r="Q29" s="270">
        <v>27.827755671946431</v>
      </c>
      <c r="R29" s="270">
        <v>1.8651208939219588</v>
      </c>
      <c r="S29" s="270">
        <v>78.606221340129167</v>
      </c>
      <c r="T29" s="269">
        <v>0.13681325152347834</v>
      </c>
      <c r="U29" s="269">
        <v>1.371020423662633E-2</v>
      </c>
      <c r="V29" s="269">
        <v>2.4097951690066212E-2</v>
      </c>
      <c r="W29" s="269">
        <v>4.4829804695730449</v>
      </c>
      <c r="X29" s="269">
        <v>1.2750302661478806E-2</v>
      </c>
      <c r="Y29" s="269">
        <v>0</v>
      </c>
      <c r="Z29" s="269">
        <v>0</v>
      </c>
      <c r="AA29" s="271">
        <v>2.5394437421319454E-2</v>
      </c>
    </row>
    <row r="30" spans="1:27" ht="14">
      <c r="A30" s="268" t="s">
        <v>721</v>
      </c>
      <c r="B30" s="123">
        <v>138</v>
      </c>
      <c r="C30" s="269">
        <v>0.106349294117647</v>
      </c>
      <c r="D30" s="269">
        <v>9.7360600820495899E-2</v>
      </c>
      <c r="E30" s="269">
        <v>0.17474664762348024</v>
      </c>
      <c r="F30" s="269">
        <v>0.18999442052432919</v>
      </c>
      <c r="G30" s="270">
        <v>1.1161632606240839</v>
      </c>
      <c r="H30" s="270">
        <v>1.2012527647557136</v>
      </c>
      <c r="I30" s="269">
        <v>0.11015441422648939</v>
      </c>
      <c r="J30" s="269">
        <v>0.449375866701406</v>
      </c>
      <c r="K30" s="269">
        <v>5.5E-2</v>
      </c>
      <c r="L30" s="269">
        <v>0.15835752834031197</v>
      </c>
      <c r="M30" s="269">
        <v>9.9242881497845506E-2</v>
      </c>
      <c r="N30" s="270">
        <v>1.8293533131914423</v>
      </c>
      <c r="O30" s="270">
        <v>1.9376194589256814</v>
      </c>
      <c r="P30" s="270">
        <v>11.91629375511652</v>
      </c>
      <c r="Q30" s="270">
        <v>19.249574240444776</v>
      </c>
      <c r="R30" s="270">
        <v>3.0614854022412756</v>
      </c>
      <c r="S30" s="270">
        <v>58.252171064461706</v>
      </c>
      <c r="T30" s="269">
        <v>0.22422007253520718</v>
      </c>
      <c r="U30" s="269">
        <v>4.5294833336637752E-2</v>
      </c>
      <c r="V30" s="269">
        <v>0.13580448309031176</v>
      </c>
      <c r="W30" s="269">
        <v>2.2341279690386662</v>
      </c>
      <c r="X30" s="269">
        <v>0.12417520019293474</v>
      </c>
      <c r="Y30" s="269">
        <v>0.10608878216021826</v>
      </c>
      <c r="Z30" s="269">
        <v>0.10608878216021822</v>
      </c>
      <c r="AA30" s="271">
        <v>0.10170714884999767</v>
      </c>
    </row>
    <row r="31" spans="1:27" ht="14">
      <c r="A31" s="268" t="s">
        <v>722</v>
      </c>
      <c r="B31" s="123">
        <v>43</v>
      </c>
      <c r="C31" s="269">
        <v>0.12138344827586202</v>
      </c>
      <c r="D31" s="269">
        <v>4.4222349087226172E-2</v>
      </c>
      <c r="E31" s="269">
        <v>0.13834621712937481</v>
      </c>
      <c r="F31" s="269">
        <v>0.22883380517568075</v>
      </c>
      <c r="G31" s="270">
        <v>1.0176246718468016</v>
      </c>
      <c r="H31" s="270">
        <v>1.1967640138319908</v>
      </c>
      <c r="I31" s="269">
        <v>0.10988778242162026</v>
      </c>
      <c r="J31" s="269">
        <v>0.35166848143953711</v>
      </c>
      <c r="K31" s="269">
        <v>5.5E-2</v>
      </c>
      <c r="L31" s="269">
        <v>0.24007634301961103</v>
      </c>
      <c r="M31" s="269">
        <v>9.3409474624861918E-2</v>
      </c>
      <c r="N31" s="270">
        <v>3.3988532052232561</v>
      </c>
      <c r="O31" s="270">
        <v>1.0830755880289851</v>
      </c>
      <c r="P31" s="270">
        <v>13.169580718377542</v>
      </c>
      <c r="Q31" s="270">
        <v>22.987280318509931</v>
      </c>
      <c r="R31" s="270">
        <v>2.8181860701948733</v>
      </c>
      <c r="S31" s="270">
        <v>29.062594674781394</v>
      </c>
      <c r="T31" s="269">
        <v>0.2001452260073408</v>
      </c>
      <c r="U31" s="269">
        <v>3.1165438708910063E-2</v>
      </c>
      <c r="V31" s="269">
        <v>7.9250168173978799E-2</v>
      </c>
      <c r="W31" s="269">
        <v>3.0078308821485669</v>
      </c>
      <c r="X31" s="269">
        <v>7.4957882083190208E-2</v>
      </c>
      <c r="Y31" s="269">
        <v>0.16885746296448992</v>
      </c>
      <c r="Z31" s="269">
        <v>0.16885746296448989</v>
      </c>
      <c r="AA31" s="271">
        <v>4.6937601486130173E-2</v>
      </c>
    </row>
    <row r="32" spans="1:27" ht="14">
      <c r="A32" s="268" t="s">
        <v>723</v>
      </c>
      <c r="B32" s="123">
        <v>110</v>
      </c>
      <c r="C32" s="269">
        <v>0.28593124999999997</v>
      </c>
      <c r="D32" s="269">
        <v>7.5124581884332159E-2</v>
      </c>
      <c r="E32" s="269">
        <v>0.11234825527684747</v>
      </c>
      <c r="F32" s="269">
        <v>0.21094506563113774</v>
      </c>
      <c r="G32" s="270">
        <v>1.2462224080092748</v>
      </c>
      <c r="H32" s="270">
        <v>1.4497950169593838</v>
      </c>
      <c r="I32" s="269">
        <v>0.12491782400738741</v>
      </c>
      <c r="J32" s="269">
        <v>0.578095571351251</v>
      </c>
      <c r="K32" s="269">
        <v>5.8800000000000005E-2</v>
      </c>
      <c r="L32" s="269">
        <v>0.24970269532215986</v>
      </c>
      <c r="M32" s="269">
        <v>0.10473739552267081</v>
      </c>
      <c r="N32" s="270">
        <v>1.4645754612679325</v>
      </c>
      <c r="O32" s="270">
        <v>3.0598123732084623</v>
      </c>
      <c r="P32" s="270">
        <v>17.462187520735604</v>
      </c>
      <c r="Q32" s="270">
        <v>39.959071499427878</v>
      </c>
      <c r="R32" s="270">
        <v>2.2249313608537848</v>
      </c>
      <c r="S32" s="270">
        <v>47.736718632185095</v>
      </c>
      <c r="T32" s="269">
        <v>4.1918182350946673E-2</v>
      </c>
      <c r="U32" s="269">
        <v>4.4160033252208485E-2</v>
      </c>
      <c r="V32" s="269">
        <v>-4.9793033469523688E-3</v>
      </c>
      <c r="W32" s="269">
        <v>4.0500248906133907E-2</v>
      </c>
      <c r="X32" s="269">
        <v>1.1812232323271436E-2</v>
      </c>
      <c r="Y32" s="269">
        <v>0.50420530039623501</v>
      </c>
      <c r="Z32" s="269">
        <v>0.50420530039623501</v>
      </c>
      <c r="AA32" s="271">
        <v>7.927768866245001E-2</v>
      </c>
    </row>
    <row r="33" spans="1:27" ht="14">
      <c r="A33" s="268" t="s">
        <v>724</v>
      </c>
      <c r="B33" s="123">
        <v>62</v>
      </c>
      <c r="C33" s="269">
        <v>0.10134039999999998</v>
      </c>
      <c r="D33" s="269">
        <v>0.12594448291110921</v>
      </c>
      <c r="E33" s="269">
        <v>0.28322287490094245</v>
      </c>
      <c r="F33" s="269">
        <v>0.22114200170438975</v>
      </c>
      <c r="G33" s="270">
        <v>0.85911095276292671</v>
      </c>
      <c r="H33" s="270">
        <v>1.0153454106826958</v>
      </c>
      <c r="I33" s="269">
        <v>9.9111517394552123E-2</v>
      </c>
      <c r="J33" s="269">
        <v>0.48087346767746236</v>
      </c>
      <c r="K33" s="269">
        <v>5.5E-2</v>
      </c>
      <c r="L33" s="269">
        <v>0.20341883913216277</v>
      </c>
      <c r="M33" s="269">
        <v>8.7341394695726882E-2</v>
      </c>
      <c r="N33" s="270">
        <v>2.3308722386849454</v>
      </c>
      <c r="O33" s="270">
        <v>3.0346407791089263</v>
      </c>
      <c r="P33" s="270">
        <v>14.022412125338205</v>
      </c>
      <c r="Q33" s="270">
        <v>23.388429760710196</v>
      </c>
      <c r="R33" s="270">
        <v>5.2920408951648428</v>
      </c>
      <c r="S33" s="270">
        <v>76.987307293928026</v>
      </c>
      <c r="T33" s="269">
        <v>0.10044659986151996</v>
      </c>
      <c r="U33" s="269">
        <v>7.9139727267509397E-2</v>
      </c>
      <c r="V33" s="269">
        <v>9.6284714664775034E-2</v>
      </c>
      <c r="W33" s="269">
        <v>1.1007779432771518</v>
      </c>
      <c r="X33" s="269">
        <v>0.16473874687290124</v>
      </c>
      <c r="Y33" s="269">
        <v>0.46259054584477655</v>
      </c>
      <c r="Z33" s="269">
        <v>0.46259054584477655</v>
      </c>
      <c r="AA33" s="271">
        <v>0.12847422740055831</v>
      </c>
    </row>
    <row r="34" spans="1:27" ht="14">
      <c r="A34" s="268" t="s">
        <v>725</v>
      </c>
      <c r="B34" s="123">
        <v>39</v>
      </c>
      <c r="C34" s="269">
        <v>0.17570944444444442</v>
      </c>
      <c r="D34" s="269">
        <v>7.6215907232046409E-2</v>
      </c>
      <c r="E34" s="269">
        <v>0.15172833554504575</v>
      </c>
      <c r="F34" s="269">
        <v>0.20033571011302001</v>
      </c>
      <c r="G34" s="270">
        <v>0.93104970680829247</v>
      </c>
      <c r="H34" s="270">
        <v>1.1403135761675725</v>
      </c>
      <c r="I34" s="269">
        <v>0.10653462642435381</v>
      </c>
      <c r="J34" s="269">
        <v>0.54426709586173694</v>
      </c>
      <c r="K34" s="269">
        <v>5.8800000000000005E-2</v>
      </c>
      <c r="L34" s="269">
        <v>0.25298812315410507</v>
      </c>
      <c r="M34" s="269">
        <v>9.0739407465428842E-2</v>
      </c>
      <c r="N34" s="270">
        <v>2.0517765686150211</v>
      </c>
      <c r="O34" s="270">
        <v>1.2248382413417702</v>
      </c>
      <c r="P34" s="270">
        <v>12.608931082460121</v>
      </c>
      <c r="Q34" s="270">
        <v>15.581328911598986</v>
      </c>
      <c r="R34" s="270">
        <v>3.4691348828249016</v>
      </c>
      <c r="S34" s="270">
        <v>22.12057113620223</v>
      </c>
      <c r="T34" s="269">
        <v>0.14828566056749271</v>
      </c>
      <c r="U34" s="269">
        <v>2.9070036355784076E-2</v>
      </c>
      <c r="V34" s="269">
        <v>3.3357535977751228E-2</v>
      </c>
      <c r="W34" s="269">
        <v>1.4678368468897955</v>
      </c>
      <c r="X34" s="269">
        <v>0.23648187908031001</v>
      </c>
      <c r="Y34" s="269">
        <v>0.21028238912969796</v>
      </c>
      <c r="Z34" s="269">
        <v>0.21028238912969799</v>
      </c>
      <c r="AA34" s="271">
        <v>7.9114554996450856E-2</v>
      </c>
    </row>
    <row r="35" spans="1:27" ht="14">
      <c r="A35" s="268" t="s">
        <v>726</v>
      </c>
      <c r="B35" s="123">
        <v>223</v>
      </c>
      <c r="C35" s="269">
        <v>0.1044040579710145</v>
      </c>
      <c r="D35" s="269">
        <v>0.1588822815855376</v>
      </c>
      <c r="E35" s="269">
        <v>6.5375652946372759E-3</v>
      </c>
      <c r="F35" s="269">
        <v>0.2088068946745798</v>
      </c>
      <c r="G35" s="270">
        <v>0.10617474510192053</v>
      </c>
      <c r="H35" s="270">
        <v>0.88572507363771524</v>
      </c>
      <c r="I35" s="269">
        <v>9.1412069374080279E-2</v>
      </c>
      <c r="J35" s="269">
        <v>0.27145306503706762</v>
      </c>
      <c r="K35" s="269">
        <v>5.5E-2</v>
      </c>
      <c r="L35" s="269">
        <v>0.90945279625195319</v>
      </c>
      <c r="M35" s="269">
        <v>4.5792035116038507E-2</v>
      </c>
      <c r="N35" s="270">
        <v>4.716792489213012E-2</v>
      </c>
      <c r="O35" s="270">
        <v>23.486787015859328</v>
      </c>
      <c r="P35" s="270">
        <v>91.880271507963911</v>
      </c>
      <c r="Q35" s="270">
        <v>90.630536583768119</v>
      </c>
      <c r="R35" s="270">
        <v>1.6875081521756248</v>
      </c>
      <c r="S35" s="270">
        <v>32.696300598543317</v>
      </c>
      <c r="T35" s="269" t="s">
        <v>96</v>
      </c>
      <c r="U35" s="269">
        <v>2.5335116701238395E-2</v>
      </c>
      <c r="V35" s="269">
        <v>3.6372628687447776E-2</v>
      </c>
      <c r="W35" s="269">
        <v>0.21848170755579219</v>
      </c>
      <c r="X35" s="269">
        <v>0.48075065014765694</v>
      </c>
      <c r="Y35" s="269">
        <v>0.13648733467216531</v>
      </c>
      <c r="Z35" s="269">
        <v>0.13648733467216534</v>
      </c>
      <c r="AA35" s="271">
        <v>0.16180683625994385</v>
      </c>
    </row>
    <row r="36" spans="1:27" ht="14">
      <c r="A36" s="268" t="s">
        <v>727</v>
      </c>
      <c r="B36" s="123">
        <v>92</v>
      </c>
      <c r="C36" s="269">
        <v>0.25210224489795913</v>
      </c>
      <c r="D36" s="269">
        <v>0.11768965472306084</v>
      </c>
      <c r="E36" s="269">
        <v>0.1859935447135467</v>
      </c>
      <c r="F36" s="269">
        <v>0.19895740390789407</v>
      </c>
      <c r="G36" s="270">
        <v>0.76867267564864794</v>
      </c>
      <c r="H36" s="270">
        <v>0.91752023311739583</v>
      </c>
      <c r="I36" s="269">
        <v>9.3300701847173317E-2</v>
      </c>
      <c r="J36" s="269">
        <v>0.34228783415433228</v>
      </c>
      <c r="K36" s="269">
        <v>5.5E-2</v>
      </c>
      <c r="L36" s="269">
        <v>0.22395116431995885</v>
      </c>
      <c r="M36" s="269">
        <v>8.1643886564827822E-2</v>
      </c>
      <c r="N36" s="270">
        <v>1.6859815207716935</v>
      </c>
      <c r="O36" s="270">
        <v>2.099541082262578</v>
      </c>
      <c r="P36" s="270">
        <v>13.24274225046033</v>
      </c>
      <c r="Q36" s="270">
        <v>17.401340165255593</v>
      </c>
      <c r="R36" s="270">
        <v>2.6065242636797277</v>
      </c>
      <c r="S36" s="270">
        <v>52.474448865364643</v>
      </c>
      <c r="T36" s="269">
        <v>6.7615070122169982E-2</v>
      </c>
      <c r="U36" s="269">
        <v>3.7021542355624312E-2</v>
      </c>
      <c r="V36" s="269">
        <v>3.7126517592543651E-2</v>
      </c>
      <c r="W36" s="269">
        <v>0.57543721311325657</v>
      </c>
      <c r="X36" s="269">
        <v>0.11538895815608002</v>
      </c>
      <c r="Y36" s="269">
        <v>0.53779059344768942</v>
      </c>
      <c r="Z36" s="269">
        <v>0.53779059344768942</v>
      </c>
      <c r="AA36" s="271">
        <v>0.11955369864953631</v>
      </c>
    </row>
    <row r="37" spans="1:27" ht="14">
      <c r="A37" s="268" t="s">
        <v>728</v>
      </c>
      <c r="B37" s="123">
        <v>14</v>
      </c>
      <c r="C37" s="269">
        <v>9.8360000000000003E-2</v>
      </c>
      <c r="D37" s="269">
        <v>2.102412449953486E-2</v>
      </c>
      <c r="E37" s="269">
        <v>0.15535644943181512</v>
      </c>
      <c r="F37" s="269">
        <v>0.22254279669167149</v>
      </c>
      <c r="G37" s="270">
        <v>0.84570471745037612</v>
      </c>
      <c r="H37" s="270">
        <v>1.1237058272854066</v>
      </c>
      <c r="I37" s="269">
        <v>0.10554812614075315</v>
      </c>
      <c r="J37" s="269">
        <v>0.32418308733551454</v>
      </c>
      <c r="K37" s="269">
        <v>5.5E-2</v>
      </c>
      <c r="L37" s="269">
        <v>0.31580170522329504</v>
      </c>
      <c r="M37" s="269">
        <v>8.5242668262840771E-2</v>
      </c>
      <c r="N37" s="270">
        <v>8.4116413256224369</v>
      </c>
      <c r="O37" s="270">
        <v>0.41461800975807755</v>
      </c>
      <c r="P37" s="270">
        <v>12.015914836847594</v>
      </c>
      <c r="Q37" s="270">
        <v>19.708268616623734</v>
      </c>
      <c r="R37" s="270">
        <v>4.536016224851112</v>
      </c>
      <c r="S37" s="270">
        <v>25.137922065338433</v>
      </c>
      <c r="T37" s="269">
        <v>6.3427895483225208E-2</v>
      </c>
      <c r="U37" s="269">
        <v>8.2950791892441953E-3</v>
      </c>
      <c r="V37" s="269">
        <v>9.0348742574372157E-3</v>
      </c>
      <c r="W37" s="269">
        <v>1.2945984195977063</v>
      </c>
      <c r="X37" s="269">
        <v>0.1898419988361979</v>
      </c>
      <c r="Y37" s="269">
        <v>0.43594516376534403</v>
      </c>
      <c r="Z37" s="269">
        <v>0.43594516376534398</v>
      </c>
      <c r="AA37" s="271">
        <v>2.0972795580930102E-2</v>
      </c>
    </row>
    <row r="38" spans="1:27" ht="14">
      <c r="A38" s="268" t="s">
        <v>729</v>
      </c>
      <c r="B38" s="123">
        <v>32</v>
      </c>
      <c r="C38" s="269">
        <v>0.14448380952380954</v>
      </c>
      <c r="D38" s="269">
        <v>7.6593631254869204E-2</v>
      </c>
      <c r="E38" s="269">
        <v>0.15236680821065973</v>
      </c>
      <c r="F38" s="269">
        <v>0.32782325118771566</v>
      </c>
      <c r="G38" s="270">
        <v>0.95191223222451615</v>
      </c>
      <c r="H38" s="270">
        <v>1.2708955631991046</v>
      </c>
      <c r="I38" s="269">
        <v>0.11429119645402681</v>
      </c>
      <c r="J38" s="269">
        <v>0.41911842205905825</v>
      </c>
      <c r="K38" s="269">
        <v>5.5E-2</v>
      </c>
      <c r="L38" s="269">
        <v>0.35871209353758288</v>
      </c>
      <c r="M38" s="269">
        <v>8.8090435959512978E-2</v>
      </c>
      <c r="N38" s="270">
        <v>2.1902364409373862</v>
      </c>
      <c r="O38" s="270">
        <v>0.87935524110573271</v>
      </c>
      <c r="P38" s="270">
        <v>6.2839190200646948</v>
      </c>
      <c r="Q38" s="270">
        <v>10.046127129844884</v>
      </c>
      <c r="R38" s="270">
        <v>1.822770795533889</v>
      </c>
      <c r="S38" s="270">
        <v>14.03013265423464</v>
      </c>
      <c r="T38" s="269">
        <v>0.15842212845958345</v>
      </c>
      <c r="U38" s="269">
        <v>3.8007682752639126E-2</v>
      </c>
      <c r="V38" s="269">
        <v>3.8004110989091261E-2</v>
      </c>
      <c r="W38" s="269">
        <v>1.5065223416694009</v>
      </c>
      <c r="X38" s="269">
        <v>5.4464565475778479E-2</v>
      </c>
      <c r="Y38" s="269">
        <v>0.68019701522110831</v>
      </c>
      <c r="Z38" s="269">
        <v>0.68019701522110831</v>
      </c>
      <c r="AA38" s="271">
        <v>7.956088078382309E-2</v>
      </c>
    </row>
    <row r="39" spans="1:27" ht="14">
      <c r="A39" s="268" t="s">
        <v>507</v>
      </c>
      <c r="B39" s="123">
        <v>19</v>
      </c>
      <c r="C39" s="269">
        <v>-0.14713666666666667</v>
      </c>
      <c r="D39" s="269">
        <v>0.260956619525612</v>
      </c>
      <c r="E39" s="269">
        <v>4.6816390058494056E-2</v>
      </c>
      <c r="F39" s="269">
        <v>0.1404424588963212</v>
      </c>
      <c r="G39" s="270">
        <v>0.87719231852421686</v>
      </c>
      <c r="H39" s="270">
        <v>1.60070111091836</v>
      </c>
      <c r="I39" s="269">
        <v>0.13388164598855057</v>
      </c>
      <c r="J39" s="269">
        <v>0.67598359199996327</v>
      </c>
      <c r="K39" s="269">
        <v>7.0099999999999996E-2</v>
      </c>
      <c r="L39" s="269">
        <v>0.54774951823179885</v>
      </c>
      <c r="M39" s="269">
        <v>8.9345969819278573E-2</v>
      </c>
      <c r="N39" s="270">
        <v>0.20539294157771462</v>
      </c>
      <c r="O39" s="270">
        <v>7.785269341085777</v>
      </c>
      <c r="P39" s="270">
        <v>12.701231489743156</v>
      </c>
      <c r="Q39" s="270">
        <v>31.282179206839263</v>
      </c>
      <c r="R39" s="270">
        <v>1.0789864566845957</v>
      </c>
      <c r="S39" s="270">
        <v>34.620574922445279</v>
      </c>
      <c r="T39" s="269">
        <v>-0.6111278234342038</v>
      </c>
      <c r="U39" s="269">
        <v>0.45957007087460411</v>
      </c>
      <c r="V39" s="269">
        <v>0.26912402409773456</v>
      </c>
      <c r="W39" s="269">
        <v>1.5839659027786925</v>
      </c>
      <c r="X39" s="269">
        <v>0.18266048315237854</v>
      </c>
      <c r="Y39" s="269">
        <v>0.56847664608279069</v>
      </c>
      <c r="Z39" s="269">
        <v>0.56847664608279069</v>
      </c>
      <c r="AA39" s="271">
        <v>0.24440548669537576</v>
      </c>
    </row>
    <row r="40" spans="1:27" ht="14">
      <c r="A40" s="268" t="s">
        <v>730</v>
      </c>
      <c r="B40" s="123">
        <v>254</v>
      </c>
      <c r="C40" s="269">
        <v>0.19900759398496237</v>
      </c>
      <c r="D40" s="269">
        <v>0.15015238491328653</v>
      </c>
      <c r="E40" s="269">
        <v>0.15878607397399988</v>
      </c>
      <c r="F40" s="269">
        <v>0.15498161973077781</v>
      </c>
      <c r="G40" s="270">
        <v>1.0971029719882097</v>
      </c>
      <c r="H40" s="270">
        <v>1.1623831948690986</v>
      </c>
      <c r="I40" s="269">
        <v>0.10784556177522446</v>
      </c>
      <c r="J40" s="269">
        <v>0.50940122537609955</v>
      </c>
      <c r="K40" s="269">
        <v>5.8800000000000005E-2</v>
      </c>
      <c r="L40" s="269">
        <v>0.11192266952101866</v>
      </c>
      <c r="M40" s="269">
        <v>0.10071098833122433</v>
      </c>
      <c r="N40" s="270">
        <v>1.0339137994093208</v>
      </c>
      <c r="O40" s="270">
        <v>5.1528482926352703</v>
      </c>
      <c r="P40" s="270">
        <v>19.089978627201564</v>
      </c>
      <c r="Q40" s="270">
        <v>32.02458868945606</v>
      </c>
      <c r="R40" s="270">
        <v>4.7012180470511611</v>
      </c>
      <c r="S40" s="270">
        <v>62.958973741822945</v>
      </c>
      <c r="T40" s="269">
        <v>0.2449164318011062</v>
      </c>
      <c r="U40" s="269">
        <v>4.8577665270095417E-2</v>
      </c>
      <c r="V40" s="269">
        <v>0.125937345585974</v>
      </c>
      <c r="W40" s="269">
        <v>1.2930672956492639</v>
      </c>
      <c r="X40" s="269">
        <v>7.091922967824961E-2</v>
      </c>
      <c r="Y40" s="269">
        <v>0.4613141074361804</v>
      </c>
      <c r="Z40" s="269">
        <v>0.4613141074361804</v>
      </c>
      <c r="AA40" s="271">
        <v>0.15917088171556376</v>
      </c>
    </row>
    <row r="41" spans="1:27" ht="14">
      <c r="A41" s="268" t="s">
        <v>731</v>
      </c>
      <c r="B41" s="123">
        <v>131</v>
      </c>
      <c r="C41" s="269">
        <v>0.20156749999999996</v>
      </c>
      <c r="D41" s="269">
        <v>4.0715257598896333E-2</v>
      </c>
      <c r="E41" s="269">
        <v>0.33786301082539277</v>
      </c>
      <c r="F41" s="269">
        <v>0.22031799938817112</v>
      </c>
      <c r="G41" s="270">
        <v>1.0725471879998554</v>
      </c>
      <c r="H41" s="270">
        <v>1.1603652760592904</v>
      </c>
      <c r="I41" s="269">
        <v>0.10772569739792186</v>
      </c>
      <c r="J41" s="269">
        <v>0.47792508451312243</v>
      </c>
      <c r="K41" s="269">
        <v>5.5E-2</v>
      </c>
      <c r="L41" s="269">
        <v>0.19097410804999704</v>
      </c>
      <c r="M41" s="269">
        <v>9.5030560380352236E-2</v>
      </c>
      <c r="N41" s="270">
        <v>9.0252769307357763</v>
      </c>
      <c r="O41" s="270">
        <v>0.6887289455148623</v>
      </c>
      <c r="P41" s="270">
        <v>12.160437523661249</v>
      </c>
      <c r="Q41" s="270">
        <v>16.776247571494821</v>
      </c>
      <c r="R41" s="270">
        <v>3.6006610530276073</v>
      </c>
      <c r="S41" s="270">
        <v>45.908014552106231</v>
      </c>
      <c r="T41" s="269">
        <v>-7.1402598028056971E-2</v>
      </c>
      <c r="U41" s="269">
        <v>7.3256589939606218E-3</v>
      </c>
      <c r="V41" s="269">
        <v>8.0213467891352766E-3</v>
      </c>
      <c r="W41" s="269">
        <v>0.30340227132321113</v>
      </c>
      <c r="X41" s="269">
        <v>0.12337379962692853</v>
      </c>
      <c r="Y41" s="269">
        <v>0.33042108015587673</v>
      </c>
      <c r="Z41" s="269">
        <v>0.33042108015587668</v>
      </c>
      <c r="AA41" s="271">
        <v>4.0133361243225418E-2</v>
      </c>
    </row>
    <row r="42" spans="1:27" ht="14">
      <c r="A42" s="268" t="s">
        <v>732</v>
      </c>
      <c r="B42" s="123">
        <v>138</v>
      </c>
      <c r="C42" s="269">
        <v>0.20452035087719289</v>
      </c>
      <c r="D42" s="269">
        <v>0.16931545144392471</v>
      </c>
      <c r="E42" s="269">
        <v>0.19103562594036017</v>
      </c>
      <c r="F42" s="269">
        <v>0.15820736589386364</v>
      </c>
      <c r="G42" s="270">
        <v>1.3707361878163189</v>
      </c>
      <c r="H42" s="270">
        <v>1.4715094541215377</v>
      </c>
      <c r="I42" s="269">
        <v>0.12620766157481933</v>
      </c>
      <c r="J42" s="269">
        <v>0.53871737622490645</v>
      </c>
      <c r="K42" s="269">
        <v>5.8800000000000005E-2</v>
      </c>
      <c r="L42" s="269">
        <v>0.12440570020083286</v>
      </c>
      <c r="M42" s="269">
        <v>0.11599300044475092</v>
      </c>
      <c r="N42" s="270">
        <v>1.1333037378180726</v>
      </c>
      <c r="O42" s="270">
        <v>5.3325294190233024</v>
      </c>
      <c r="P42" s="270">
        <v>19.362951181106027</v>
      </c>
      <c r="Q42" s="270">
        <v>30.48594494927957</v>
      </c>
      <c r="R42" s="270">
        <v>4.3261553331491758</v>
      </c>
      <c r="S42" s="270">
        <v>48.341137501288586</v>
      </c>
      <c r="T42" s="269">
        <v>0.22486925050519696</v>
      </c>
      <c r="U42" s="269">
        <v>4.9135934356261277E-2</v>
      </c>
      <c r="V42" s="269">
        <v>0.14769419579728138</v>
      </c>
      <c r="W42" s="269">
        <v>1.2967985907886859</v>
      </c>
      <c r="X42" s="269">
        <v>-2.8789813310332304E-3</v>
      </c>
      <c r="Y42" s="269">
        <v>4.3282833182668018E-4</v>
      </c>
      <c r="Z42" s="269">
        <v>4.3282833182667346E-4</v>
      </c>
      <c r="AA42" s="271">
        <v>0.17588409101918592</v>
      </c>
    </row>
    <row r="43" spans="1:27" ht="14">
      <c r="A43" s="268" t="s">
        <v>733</v>
      </c>
      <c r="B43" s="123">
        <v>32</v>
      </c>
      <c r="C43" s="269">
        <v>0.15822272727272732</v>
      </c>
      <c r="D43" s="269">
        <v>0.18763159239110155</v>
      </c>
      <c r="E43" s="269">
        <v>0.28173702467387046</v>
      </c>
      <c r="F43" s="269">
        <v>0.23124619223292053</v>
      </c>
      <c r="G43" s="270">
        <v>1.3331558308257836</v>
      </c>
      <c r="H43" s="270">
        <v>1.5022071383659328</v>
      </c>
      <c r="I43" s="269">
        <v>0.12803110401893641</v>
      </c>
      <c r="J43" s="269">
        <v>0.33330387129630179</v>
      </c>
      <c r="K43" s="269">
        <v>5.5E-2</v>
      </c>
      <c r="L43" s="269">
        <v>0.24434620786730529</v>
      </c>
      <c r="M43" s="269">
        <v>0.10682647033737112</v>
      </c>
      <c r="N43" s="270">
        <v>1.8239578402915135</v>
      </c>
      <c r="O43" s="270">
        <v>0.85286384314212538</v>
      </c>
      <c r="P43" s="270">
        <v>4.3890620152083137</v>
      </c>
      <c r="Q43" s="270">
        <v>4.5364031276398906</v>
      </c>
      <c r="R43" s="270">
        <v>1.2863359814095505</v>
      </c>
      <c r="S43" s="270">
        <v>5.0845371401835715</v>
      </c>
      <c r="T43" s="269">
        <v>0.63254621439333414</v>
      </c>
      <c r="U43" s="269">
        <v>5.0943446585196223E-3</v>
      </c>
      <c r="V43" s="269">
        <v>1.3602387991019798E-2</v>
      </c>
      <c r="W43" s="269">
        <v>0.69959467750769999</v>
      </c>
      <c r="X43" s="269">
        <v>0.30747510708973141</v>
      </c>
      <c r="Y43" s="269">
        <v>5.4486024996357962E-2</v>
      </c>
      <c r="Z43" s="269">
        <v>5.4486024996357907E-2</v>
      </c>
      <c r="AA43" s="271">
        <v>0.18794668320617053</v>
      </c>
    </row>
    <row r="44" spans="1:27" ht="14">
      <c r="A44" s="268" t="s">
        <v>734</v>
      </c>
      <c r="B44" s="123">
        <v>34</v>
      </c>
      <c r="C44" s="269">
        <v>1.5967368421052629E-2</v>
      </c>
      <c r="D44" s="269">
        <v>0.11615164232145252</v>
      </c>
      <c r="E44" s="269">
        <v>0.20452836690892628</v>
      </c>
      <c r="F44" s="269">
        <v>0.24113534072653886</v>
      </c>
      <c r="G44" s="270">
        <v>0.72307947581048349</v>
      </c>
      <c r="H44" s="270">
        <v>1.174001444953803</v>
      </c>
      <c r="I44" s="269">
        <v>0.1085356858302559</v>
      </c>
      <c r="J44" s="269">
        <v>0.5119442326502478</v>
      </c>
      <c r="K44" s="269">
        <v>5.8800000000000005E-2</v>
      </c>
      <c r="L44" s="269">
        <v>0.46591874206509154</v>
      </c>
      <c r="M44" s="269">
        <v>7.8513892144121633E-2</v>
      </c>
      <c r="N44" s="270">
        <v>1.9460469084153049</v>
      </c>
      <c r="O44" s="270">
        <v>1.5690399443104104</v>
      </c>
      <c r="P44" s="270">
        <v>8.7043988675181971</v>
      </c>
      <c r="Q44" s="270">
        <v>13.48218533002113</v>
      </c>
      <c r="R44" s="270">
        <v>5.3262709154662966</v>
      </c>
      <c r="S44" s="270">
        <v>105.59442613995225</v>
      </c>
      <c r="T44" s="269">
        <v>0.10445838743236993</v>
      </c>
      <c r="U44" s="269">
        <v>6.0329489055505968E-2</v>
      </c>
      <c r="V44" s="269">
        <v>3.632154631162509E-2</v>
      </c>
      <c r="W44" s="269">
        <v>0.63442286965049366</v>
      </c>
      <c r="X44" s="269">
        <v>0.49037665345444303</v>
      </c>
      <c r="Y44" s="269">
        <v>0.13557220326973293</v>
      </c>
      <c r="Z44" s="269">
        <v>0.13557220326973296</v>
      </c>
      <c r="AA44" s="271">
        <v>0.11620573950103597</v>
      </c>
    </row>
    <row r="45" spans="1:27" ht="14">
      <c r="A45" s="268" t="s">
        <v>735</v>
      </c>
      <c r="B45" s="123">
        <v>69</v>
      </c>
      <c r="C45" s="269">
        <v>7.5841891891891888E-2</v>
      </c>
      <c r="D45" s="269">
        <v>7.2491135569895698E-2</v>
      </c>
      <c r="E45" s="269">
        <v>2.338560835877878E-2</v>
      </c>
      <c r="F45" s="269">
        <v>0.23845423964291163</v>
      </c>
      <c r="G45" s="270">
        <v>1.0609649277632753</v>
      </c>
      <c r="H45" s="270">
        <v>1.4599765370156599</v>
      </c>
      <c r="I45" s="269">
        <v>0.12552260629873019</v>
      </c>
      <c r="J45" s="269">
        <v>0.38051359185436157</v>
      </c>
      <c r="K45" s="269">
        <v>5.5E-2</v>
      </c>
      <c r="L45" s="269">
        <v>0.39967778031636919</v>
      </c>
      <c r="M45" s="269">
        <v>9.1840718071778432E-2</v>
      </c>
      <c r="N45" s="270">
        <v>0.64787039431885951</v>
      </c>
      <c r="O45" s="270">
        <v>4.2049047271240401</v>
      </c>
      <c r="P45" s="270">
        <v>15.187616716813173</v>
      </c>
      <c r="Q45" s="270">
        <v>82.577163959326853</v>
      </c>
      <c r="R45" s="270">
        <v>6.7731300365371192</v>
      </c>
      <c r="S45" s="270">
        <v>17.546856842427747</v>
      </c>
      <c r="T45" s="269">
        <v>7.508768954208403E-2</v>
      </c>
      <c r="U45" s="269">
        <v>8.0785888262600178E-2</v>
      </c>
      <c r="V45" s="269">
        <v>4.5490902879932432E-2</v>
      </c>
      <c r="W45" s="269">
        <v>2.5582638357878977</v>
      </c>
      <c r="X45" s="269">
        <v>2.5319429359336565E-2</v>
      </c>
      <c r="Y45" s="269">
        <v>0.49425325285811983</v>
      </c>
      <c r="Z45" s="269">
        <v>0.49425325285811983</v>
      </c>
      <c r="AA45" s="271">
        <v>3.9542921090355107E-2</v>
      </c>
    </row>
    <row r="46" spans="1:27" ht="14">
      <c r="A46" s="268" t="s">
        <v>736</v>
      </c>
      <c r="B46" s="123">
        <v>127</v>
      </c>
      <c r="C46" s="269">
        <v>0.11551042553191491</v>
      </c>
      <c r="D46" s="269">
        <v>0.16990919421137413</v>
      </c>
      <c r="E46" s="269">
        <v>0.34916245427993664</v>
      </c>
      <c r="F46" s="269">
        <v>0.2015988668185506</v>
      </c>
      <c r="G46" s="270">
        <v>1.0578798468783357</v>
      </c>
      <c r="H46" s="270">
        <v>1.1550009836175177</v>
      </c>
      <c r="I46" s="269">
        <v>0.10740705842688056</v>
      </c>
      <c r="J46" s="269">
        <v>0.56827524943110697</v>
      </c>
      <c r="K46" s="269">
        <v>5.8800000000000005E-2</v>
      </c>
      <c r="L46" s="269">
        <v>0.13437882331900164</v>
      </c>
      <c r="M46" s="269">
        <v>9.889993040768906E-2</v>
      </c>
      <c r="N46" s="270">
        <v>2.1854467010901835</v>
      </c>
      <c r="O46" s="270">
        <v>3.6464203371631907</v>
      </c>
      <c r="P46" s="270">
        <v>16.847339181418562</v>
      </c>
      <c r="Q46" s="270">
        <v>21.18720479743272</v>
      </c>
      <c r="R46" s="270">
        <v>9.1673284053546542</v>
      </c>
      <c r="S46" s="270">
        <v>124.19393691012411</v>
      </c>
      <c r="T46" s="269">
        <v>8.557124926849248E-2</v>
      </c>
      <c r="U46" s="269">
        <v>3.7284036291301163E-2</v>
      </c>
      <c r="V46" s="269">
        <v>2.1526585003622836E-2</v>
      </c>
      <c r="W46" s="269">
        <v>0.30086972700331699</v>
      </c>
      <c r="X46" s="269">
        <v>0.33178970303031108</v>
      </c>
      <c r="Y46" s="269">
        <v>0.63694590638551551</v>
      </c>
      <c r="Z46" s="269">
        <v>0.63694590638551551</v>
      </c>
      <c r="AA46" s="271">
        <v>0.17128481786522984</v>
      </c>
    </row>
    <row r="47" spans="1:27" ht="14">
      <c r="A47" s="268" t="s">
        <v>737</v>
      </c>
      <c r="B47" s="123">
        <v>73</v>
      </c>
      <c r="C47" s="269">
        <v>0.11055135135135132</v>
      </c>
      <c r="D47" s="269">
        <v>0.24023393261357548</v>
      </c>
      <c r="E47" s="269">
        <v>0.32885779790753611</v>
      </c>
      <c r="F47" s="269">
        <v>0.19105010155621463</v>
      </c>
      <c r="G47" s="270">
        <v>1.3334436182933442</v>
      </c>
      <c r="H47" s="270">
        <v>1.4047128789332648</v>
      </c>
      <c r="I47" s="269">
        <v>0.12223994500863593</v>
      </c>
      <c r="J47" s="269">
        <v>0.4510937058049509</v>
      </c>
      <c r="K47" s="269">
        <v>5.5E-2</v>
      </c>
      <c r="L47" s="269">
        <v>0.11550414899232817</v>
      </c>
      <c r="M47" s="269">
        <v>0.11288527033347798</v>
      </c>
      <c r="N47" s="270">
        <v>1.5141875230145225</v>
      </c>
      <c r="O47" s="270">
        <v>6.2565620034079643</v>
      </c>
      <c r="P47" s="270">
        <v>18.382536710012751</v>
      </c>
      <c r="Q47" s="270">
        <v>24.564148067341321</v>
      </c>
      <c r="R47" s="270">
        <v>5.9729645320866211</v>
      </c>
      <c r="S47" s="270">
        <v>60.496023071559009</v>
      </c>
      <c r="T47" s="269">
        <v>3.0657700926152779E-2</v>
      </c>
      <c r="U47" s="269">
        <v>2.9758877206398943E-2</v>
      </c>
      <c r="V47" s="269">
        <v>2.5448641162149385E-2</v>
      </c>
      <c r="W47" s="269">
        <v>0.21794407398303611</v>
      </c>
      <c r="X47" s="269">
        <v>0.17742326258322197</v>
      </c>
      <c r="Y47" s="269">
        <v>0.28072861797189408</v>
      </c>
      <c r="Z47" s="269">
        <v>0.28072861797189408</v>
      </c>
      <c r="AA47" s="271">
        <v>0.24732602294106956</v>
      </c>
    </row>
    <row r="48" spans="1:27" ht="14">
      <c r="A48" s="268" t="s">
        <v>738</v>
      </c>
      <c r="B48" s="123">
        <v>21</v>
      </c>
      <c r="C48" s="269">
        <v>6.9009090909090909E-2</v>
      </c>
      <c r="D48" s="269">
        <v>0.21821797164749521</v>
      </c>
      <c r="E48" s="269">
        <v>0.19306560566074529</v>
      </c>
      <c r="F48" s="269">
        <v>0.20378651559004954</v>
      </c>
      <c r="G48" s="270">
        <v>1.0269385936275734</v>
      </c>
      <c r="H48" s="270">
        <v>1.2277613538599423</v>
      </c>
      <c r="I48" s="269">
        <v>0.11172902441928058</v>
      </c>
      <c r="J48" s="269">
        <v>0.43761028506670019</v>
      </c>
      <c r="K48" s="269">
        <v>5.5E-2</v>
      </c>
      <c r="L48" s="269">
        <v>0.2336517107244612</v>
      </c>
      <c r="M48" s="269">
        <v>9.5261479793524589E-2</v>
      </c>
      <c r="N48" s="270">
        <v>0.98415249869977295</v>
      </c>
      <c r="O48" s="270">
        <v>2.1601068304801978</v>
      </c>
      <c r="P48" s="270">
        <v>7.4342754777128324</v>
      </c>
      <c r="Q48" s="270">
        <v>9.8073341957188447</v>
      </c>
      <c r="R48" s="270">
        <v>2.5932604826210461</v>
      </c>
      <c r="S48" s="270">
        <v>213.16752918372785</v>
      </c>
      <c r="T48" s="269">
        <v>2.4139638910329986E-2</v>
      </c>
      <c r="U48" s="269">
        <v>9.147240996291205E-3</v>
      </c>
      <c r="V48" s="269">
        <v>9.5651260425099142E-3</v>
      </c>
      <c r="W48" s="269">
        <v>0.67908189916431683</v>
      </c>
      <c r="X48" s="269">
        <v>0.17429837416489147</v>
      </c>
      <c r="Y48" s="269">
        <v>0.16850456388146776</v>
      </c>
      <c r="Z48" s="269">
        <v>0.16850456388146773</v>
      </c>
      <c r="AA48" s="271">
        <v>0.21860829295850032</v>
      </c>
    </row>
    <row r="49" spans="1:27" ht="14">
      <c r="A49" s="268" t="s">
        <v>739</v>
      </c>
      <c r="B49" s="123">
        <v>27</v>
      </c>
      <c r="C49" s="269">
        <v>8.2870000000000013E-2</v>
      </c>
      <c r="D49" s="269">
        <v>8.3407367312781547E-2</v>
      </c>
      <c r="E49" s="269">
        <v>4.8284141395065781E-2</v>
      </c>
      <c r="F49" s="269">
        <v>0.14548714514028421</v>
      </c>
      <c r="G49" s="270">
        <v>0.66746467102712326</v>
      </c>
      <c r="H49" s="270">
        <v>0.93935366031437906</v>
      </c>
      <c r="I49" s="269">
        <v>9.4597607422674118E-2</v>
      </c>
      <c r="J49" s="269">
        <v>0.28891454530535254</v>
      </c>
      <c r="K49" s="269">
        <v>5.5E-2</v>
      </c>
      <c r="L49" s="269">
        <v>0.4802581428121806</v>
      </c>
      <c r="M49" s="269">
        <v>6.8976984558387341E-2</v>
      </c>
      <c r="N49" s="270">
        <v>0.64950919179700761</v>
      </c>
      <c r="O49" s="270">
        <v>1.3252068248279174</v>
      </c>
      <c r="P49" s="270">
        <v>10.666709589984549</v>
      </c>
      <c r="Q49" s="270">
        <v>12.247740216996728</v>
      </c>
      <c r="R49" s="270">
        <v>1.7297667448322556</v>
      </c>
      <c r="S49" s="270">
        <v>16.589451562329984</v>
      </c>
      <c r="T49" s="269">
        <v>0.16252107176106828</v>
      </c>
      <c r="U49" s="269">
        <v>1.5332374828122921E-3</v>
      </c>
      <c r="V49" s="269">
        <v>2.3115111588852626E-3</v>
      </c>
      <c r="W49" s="269">
        <v>6.7875330273915258E-3</v>
      </c>
      <c r="X49" s="269">
        <v>5.5791645738122134E-2</v>
      </c>
      <c r="Y49" s="269">
        <v>0.38242287811508857</v>
      </c>
      <c r="Z49" s="269">
        <v>0.38242287811508857</v>
      </c>
      <c r="AA49" s="271">
        <v>8.3911710257224437E-2</v>
      </c>
    </row>
    <row r="50" spans="1:27" ht="14">
      <c r="A50" s="268" t="s">
        <v>740</v>
      </c>
      <c r="B50" s="123">
        <v>51</v>
      </c>
      <c r="C50" s="269">
        <v>3.8176363636363633E-2</v>
      </c>
      <c r="D50" s="269">
        <v>6.4095379083086101E-2</v>
      </c>
      <c r="E50" s="269">
        <v>7.0761900090086594E-2</v>
      </c>
      <c r="F50" s="269">
        <v>0.19872018013981518</v>
      </c>
      <c r="G50" s="270">
        <v>0.72953854749756686</v>
      </c>
      <c r="H50" s="270">
        <v>0.80330136282469566</v>
      </c>
      <c r="I50" s="269">
        <v>8.6516100951786926E-2</v>
      </c>
      <c r="J50" s="269">
        <v>0.27667183307261639</v>
      </c>
      <c r="K50" s="269">
        <v>5.5E-2</v>
      </c>
      <c r="L50" s="269">
        <v>0.17672400294711046</v>
      </c>
      <c r="M50" s="269">
        <v>7.8516494393779127E-2</v>
      </c>
      <c r="N50" s="270">
        <v>1.2235917495745048</v>
      </c>
      <c r="O50" s="270">
        <v>1.3918409007316568</v>
      </c>
      <c r="P50" s="270">
        <v>14.615123157002838</v>
      </c>
      <c r="Q50" s="270">
        <v>21.016328286322402</v>
      </c>
      <c r="R50" s="270">
        <v>2.1991436416927073</v>
      </c>
      <c r="S50" s="270">
        <v>20.230973091308005</v>
      </c>
      <c r="T50" s="269">
        <v>-0.51115076312450791</v>
      </c>
      <c r="U50" s="269">
        <v>9.4013777390528717E-3</v>
      </c>
      <c r="V50" s="269">
        <v>5.7751294134666727E-3</v>
      </c>
      <c r="W50" s="269">
        <v>0.4890913390928211</v>
      </c>
      <c r="X50" s="269">
        <v>5.7098673382014541E-2</v>
      </c>
      <c r="Y50" s="269">
        <v>0.73319411994328065</v>
      </c>
      <c r="Z50" s="269">
        <v>0.73319411994328065</v>
      </c>
      <c r="AA50" s="271">
        <v>6.4923595108991594E-2</v>
      </c>
    </row>
    <row r="51" spans="1:27" ht="14">
      <c r="A51" s="268" t="s">
        <v>741</v>
      </c>
      <c r="B51" s="123">
        <v>600</v>
      </c>
      <c r="C51" s="269">
        <v>0.10789090909090909</v>
      </c>
      <c r="D51" s="269">
        <v>0.18362934886099308</v>
      </c>
      <c r="E51" s="269">
        <v>9.1618858518155641E-2</v>
      </c>
      <c r="F51" s="269">
        <v>0.18201474107993432</v>
      </c>
      <c r="G51" s="270">
        <v>0.53775308643054576</v>
      </c>
      <c r="H51" s="270">
        <v>0.62361295447909626</v>
      </c>
      <c r="I51" s="269">
        <v>7.5842609496058311E-2</v>
      </c>
      <c r="J51" s="269">
        <v>9.9064267399825573E-2</v>
      </c>
      <c r="K51" s="269">
        <v>4.7300000000000002E-2</v>
      </c>
      <c r="L51" s="269">
        <v>0.27717935374212399</v>
      </c>
      <c r="M51" s="269">
        <v>6.465354158382644E-2</v>
      </c>
      <c r="N51" s="270">
        <v>0.52461323393522952</v>
      </c>
      <c r="O51" s="270">
        <v>5.1649613951272544</v>
      </c>
      <c r="P51" s="270">
        <v>18.342065712597037</v>
      </c>
      <c r="Q51" s="270">
        <v>22.443138397407701</v>
      </c>
      <c r="R51" s="270">
        <v>2.1284887607798471</v>
      </c>
      <c r="S51" s="270">
        <v>413.13881292938402</v>
      </c>
      <c r="T51" s="269" t="s">
        <v>96</v>
      </c>
      <c r="U51" s="269">
        <v>2.8393720405116826E-2</v>
      </c>
      <c r="V51" s="269">
        <v>7.4477408503655404E-2</v>
      </c>
      <c r="W51" s="269">
        <v>0.59864143010683313</v>
      </c>
      <c r="X51" s="269">
        <v>0.17165541003222293</v>
      </c>
      <c r="Y51" s="269">
        <v>0.42685509300941743</v>
      </c>
      <c r="Z51" s="269">
        <v>0.42685509300941749</v>
      </c>
      <c r="AA51" s="271">
        <v>0.18192262402136841</v>
      </c>
    </row>
    <row r="52" spans="1:27" ht="14">
      <c r="A52" s="268" t="s">
        <v>742</v>
      </c>
      <c r="B52" s="123">
        <v>116</v>
      </c>
      <c r="C52" s="269">
        <v>8.5045652173913022E-2</v>
      </c>
      <c r="D52" s="269">
        <v>0.13797099354120126</v>
      </c>
      <c r="E52" s="269">
        <v>0.27440895225758682</v>
      </c>
      <c r="F52" s="269">
        <v>0.20984581189172136</v>
      </c>
      <c r="G52" s="270">
        <v>1.0938250803149925</v>
      </c>
      <c r="H52" s="270">
        <v>1.2248168994320441</v>
      </c>
      <c r="I52" s="269">
        <v>0.11155412382626342</v>
      </c>
      <c r="J52" s="269">
        <v>0.32362033573649224</v>
      </c>
      <c r="K52" s="269">
        <v>5.5E-2</v>
      </c>
      <c r="L52" s="269">
        <v>0.17247652623442106</v>
      </c>
      <c r="M52" s="269">
        <v>9.9428312768754912E-2</v>
      </c>
      <c r="N52" s="270">
        <v>2.1608500691718713</v>
      </c>
      <c r="O52" s="270">
        <v>2.6683702336166513</v>
      </c>
      <c r="P52" s="270">
        <v>14.083078687600038</v>
      </c>
      <c r="Q52" s="270">
        <v>18.889167436267432</v>
      </c>
      <c r="R52" s="270">
        <v>4.0573852862411108</v>
      </c>
      <c r="S52" s="270">
        <v>43.773185758788792</v>
      </c>
      <c r="T52" s="269">
        <v>0.25954733960836424</v>
      </c>
      <c r="U52" s="269">
        <v>2.4915916926800095E-2</v>
      </c>
      <c r="V52" s="269">
        <v>0.10792630698907046</v>
      </c>
      <c r="W52" s="269">
        <v>1.4023558792324888</v>
      </c>
      <c r="X52" s="269">
        <v>0.15486472220663997</v>
      </c>
      <c r="Y52" s="269">
        <v>0.3670721468884211</v>
      </c>
      <c r="Z52" s="269">
        <v>0.36707214688842105</v>
      </c>
      <c r="AA52" s="271">
        <v>0.14150866099187387</v>
      </c>
    </row>
    <row r="53" spans="1:27" ht="14">
      <c r="A53" s="268" t="s">
        <v>743</v>
      </c>
      <c r="B53" s="123">
        <v>68</v>
      </c>
      <c r="C53" s="269">
        <v>5.8830769230769242E-2</v>
      </c>
      <c r="D53" s="269">
        <v>0.22890522631901319</v>
      </c>
      <c r="E53" s="269">
        <v>0.34724969889915558</v>
      </c>
      <c r="F53" s="269">
        <v>0.38407016996119214</v>
      </c>
      <c r="G53" s="270">
        <v>1.2191906966167014</v>
      </c>
      <c r="H53" s="270">
        <v>1.2900534643158847</v>
      </c>
      <c r="I53" s="269">
        <v>0.11542917578036356</v>
      </c>
      <c r="J53" s="269">
        <v>0.70056239501193862</v>
      </c>
      <c r="K53" s="269">
        <v>7.0099999999999996E-2</v>
      </c>
      <c r="L53" s="269">
        <v>0.17725898477475721</v>
      </c>
      <c r="M53" s="269">
        <v>0.10428770839268217</v>
      </c>
      <c r="N53" s="270">
        <v>1.5847983484975299</v>
      </c>
      <c r="O53" s="270">
        <v>2.060190198107211</v>
      </c>
      <c r="P53" s="270">
        <v>6.5793971374589546</v>
      </c>
      <c r="Q53" s="270">
        <v>8.8543889128364412</v>
      </c>
      <c r="R53" s="270">
        <v>2.7533885244207719</v>
      </c>
      <c r="S53" s="270">
        <v>17.597890904343</v>
      </c>
      <c r="T53" s="269">
        <v>0.12050846757809916</v>
      </c>
      <c r="U53" s="269">
        <v>8.4930771623781376E-2</v>
      </c>
      <c r="V53" s="269">
        <v>2.3387475892735522E-2</v>
      </c>
      <c r="W53" s="269">
        <v>0.30254133855159898</v>
      </c>
      <c r="X53" s="269">
        <v>0.21097592151322797</v>
      </c>
      <c r="Y53" s="269">
        <v>0.62501159406327877</v>
      </c>
      <c r="Z53" s="269">
        <v>0.62501159406327877</v>
      </c>
      <c r="AA53" s="271">
        <v>0.22858605943486224</v>
      </c>
    </row>
    <row r="54" spans="1:27" ht="14">
      <c r="A54" s="268" t="s">
        <v>744</v>
      </c>
      <c r="B54" s="123">
        <v>16</v>
      </c>
      <c r="C54" s="269">
        <v>0.15791928571428571</v>
      </c>
      <c r="D54" s="269">
        <v>5.9437639824243077E-2</v>
      </c>
      <c r="E54" s="269">
        <v>0.12191063223697689</v>
      </c>
      <c r="F54" s="269">
        <v>0.24228527607361969</v>
      </c>
      <c r="G54" s="270">
        <v>0.8448370751926576</v>
      </c>
      <c r="H54" s="270">
        <v>1.1770946700328646</v>
      </c>
      <c r="I54" s="269">
        <v>0.10871942339995216</v>
      </c>
      <c r="J54" s="269">
        <v>0.35220934553840333</v>
      </c>
      <c r="K54" s="269">
        <v>5.5E-2</v>
      </c>
      <c r="L54" s="269">
        <v>0.40048472944003649</v>
      </c>
      <c r="M54" s="269">
        <v>8.169894962414706E-2</v>
      </c>
      <c r="N54" s="270">
        <v>2.3804211822459824</v>
      </c>
      <c r="O54" s="270">
        <v>0.93288594172655359</v>
      </c>
      <c r="P54" s="270">
        <v>8.4487645169046903</v>
      </c>
      <c r="Q54" s="270">
        <v>14.906166393314605</v>
      </c>
      <c r="R54" s="270">
        <v>2.022459919957329</v>
      </c>
      <c r="S54" s="270">
        <v>23.352946188547765</v>
      </c>
      <c r="T54" s="269">
        <v>0.10580064791999493</v>
      </c>
      <c r="U54" s="269">
        <v>2.3993627737332053E-2</v>
      </c>
      <c r="V54" s="269">
        <v>5.7351213513274449E-2</v>
      </c>
      <c r="W54" s="269">
        <v>2.0750554367424625</v>
      </c>
      <c r="X54" s="269">
        <v>7.9602467166695279E-2</v>
      </c>
      <c r="Y54" s="269">
        <v>0.82958172172552991</v>
      </c>
      <c r="Z54" s="269">
        <v>0.82958172172552991</v>
      </c>
      <c r="AA54" s="271">
        <v>6.3433880163009132E-2</v>
      </c>
    </row>
    <row r="55" spans="1:27" ht="14">
      <c r="A55" s="268" t="s">
        <v>745</v>
      </c>
      <c r="B55" s="123">
        <v>4</v>
      </c>
      <c r="C55" s="269">
        <v>0.12122499999999999</v>
      </c>
      <c r="D55" s="269">
        <v>0.17323216393519394</v>
      </c>
      <c r="E55" s="269">
        <v>0.22371179665386631</v>
      </c>
      <c r="F55" s="269">
        <v>0.23128677128184674</v>
      </c>
      <c r="G55" s="270">
        <v>0.94626836990683305</v>
      </c>
      <c r="H55" s="270">
        <v>0.97748589274906783</v>
      </c>
      <c r="I55" s="269">
        <v>9.6862662029294638E-2</v>
      </c>
      <c r="J55" s="269">
        <v>0.30548944434643338</v>
      </c>
      <c r="K55" s="269">
        <v>5.5E-2</v>
      </c>
      <c r="L55" s="269">
        <v>0.10316970884560783</v>
      </c>
      <c r="M55" s="269">
        <v>9.1125119879603117E-2</v>
      </c>
      <c r="N55" s="270">
        <v>1.4955904353767258</v>
      </c>
      <c r="O55" s="270">
        <v>1.3937972898489077</v>
      </c>
      <c r="P55" s="270">
        <v>5.7320775498789676</v>
      </c>
      <c r="Q55" s="270">
        <v>7.9816868353676975</v>
      </c>
      <c r="R55" s="270">
        <v>2.2503250646526936</v>
      </c>
      <c r="S55" s="270">
        <v>6.7123160711345058</v>
      </c>
      <c r="T55" s="269">
        <v>3.1610616267447898E-2</v>
      </c>
      <c r="U55" s="269">
        <v>4.8060973431784809E-2</v>
      </c>
      <c r="V55" s="269">
        <v>-1.2355711407971395E-2</v>
      </c>
      <c r="W55" s="269">
        <v>-0.10405303090005764</v>
      </c>
      <c r="X55" s="269">
        <v>0.32415954257527113</v>
      </c>
      <c r="Y55" s="269">
        <v>0.26356755294941536</v>
      </c>
      <c r="Z55" s="269">
        <v>0.26356755294941536</v>
      </c>
      <c r="AA55" s="271">
        <v>0.17441627220965225</v>
      </c>
    </row>
    <row r="56" spans="1:27" ht="14">
      <c r="A56" s="268" t="s">
        <v>746</v>
      </c>
      <c r="B56" s="123">
        <v>174</v>
      </c>
      <c r="C56" s="269">
        <v>0.2956583720930232</v>
      </c>
      <c r="D56" s="269">
        <v>0.35545174432146454</v>
      </c>
      <c r="E56" s="269">
        <v>0.39824340316559603</v>
      </c>
      <c r="F56" s="269">
        <v>0.20955223008563117</v>
      </c>
      <c r="G56" s="270">
        <v>1.1361280842130776</v>
      </c>
      <c r="H56" s="270">
        <v>1.2574315521617736</v>
      </c>
      <c r="I56" s="269">
        <v>0.11349143419840936</v>
      </c>
      <c r="J56" s="269">
        <v>0.56976877370013901</v>
      </c>
      <c r="K56" s="269">
        <v>5.8800000000000005E-2</v>
      </c>
      <c r="L56" s="269">
        <v>0.16724493485833186</v>
      </c>
      <c r="M56" s="269">
        <v>0.10188606830617017</v>
      </c>
      <c r="N56" s="270">
        <v>1.1700439551307493</v>
      </c>
      <c r="O56" s="270">
        <v>2.1191896091279183</v>
      </c>
      <c r="P56" s="270">
        <v>4.2762475428828282</v>
      </c>
      <c r="Q56" s="270">
        <v>5.8693014187188091</v>
      </c>
      <c r="R56" s="270">
        <v>2.4310528245139333</v>
      </c>
      <c r="S56" s="270">
        <v>20.684944931020116</v>
      </c>
      <c r="T56" s="269">
        <v>-3.6044277362041313E-2</v>
      </c>
      <c r="U56" s="269">
        <v>0.18856742461529929</v>
      </c>
      <c r="V56" s="269">
        <v>0.1078629574354029</v>
      </c>
      <c r="W56" s="269">
        <v>0.44233129168815011</v>
      </c>
      <c r="X56" s="269">
        <v>0.47000099498595782</v>
      </c>
      <c r="Y56" s="269">
        <v>0.23146864253952529</v>
      </c>
      <c r="Z56" s="269">
        <v>0.23146864253952526</v>
      </c>
      <c r="AA56" s="271">
        <v>0.35679263203593281</v>
      </c>
    </row>
    <row r="57" spans="1:27" ht="14">
      <c r="A57" s="268" t="s">
        <v>747</v>
      </c>
      <c r="B57" s="123">
        <v>23</v>
      </c>
      <c r="C57" s="269">
        <v>0.21857272727272728</v>
      </c>
      <c r="D57" s="269">
        <v>0.10554569736383697</v>
      </c>
      <c r="E57" s="269">
        <v>7.1751043031635167E-2</v>
      </c>
      <c r="F57" s="269">
        <v>0.16732223134836754</v>
      </c>
      <c r="G57" s="270">
        <v>0.65648991865828199</v>
      </c>
      <c r="H57" s="270">
        <v>0.99125533132716515</v>
      </c>
      <c r="I57" s="269">
        <v>9.7680566680833608E-2</v>
      </c>
      <c r="J57" s="269">
        <v>0.33549336269635954</v>
      </c>
      <c r="K57" s="269">
        <v>5.5E-2</v>
      </c>
      <c r="L57" s="269">
        <v>0.41660661946754163</v>
      </c>
      <c r="M57" s="269">
        <v>7.4171219061293828E-2</v>
      </c>
      <c r="N57" s="270">
        <v>0.71203789238136128</v>
      </c>
      <c r="O57" s="270">
        <v>2.5992733148507301</v>
      </c>
      <c r="P57" s="270">
        <v>11.364603400921791</v>
      </c>
      <c r="Q57" s="270">
        <v>19.407040295183869</v>
      </c>
      <c r="R57" s="270">
        <v>2.7164260652684495</v>
      </c>
      <c r="S57" s="270">
        <v>17.526913954325732</v>
      </c>
      <c r="T57" s="269">
        <v>3.5242294739286945E-2</v>
      </c>
      <c r="U57" s="269">
        <v>7.9992412805326513E-2</v>
      </c>
      <c r="V57" s="269">
        <v>4.8183145588975365E-2</v>
      </c>
      <c r="W57" s="269">
        <v>0.67110751780546696</v>
      </c>
      <c r="X57" s="269">
        <v>4.0932050446910083E-2</v>
      </c>
      <c r="Y57" s="269">
        <v>3.1496776117177885</v>
      </c>
      <c r="Z57" s="269">
        <v>3.1496776117177885</v>
      </c>
      <c r="AA57" s="271">
        <v>0.10823727370000472</v>
      </c>
    </row>
    <row r="58" spans="1:27" ht="14">
      <c r="A58" s="268" t="s">
        <v>748</v>
      </c>
      <c r="B58" s="123">
        <v>101</v>
      </c>
      <c r="C58" s="269">
        <v>7.7213384615384614E-2</v>
      </c>
      <c r="D58" s="269">
        <v>7.2615491026189222E-2</v>
      </c>
      <c r="E58" s="269">
        <v>0.2808940923374969</v>
      </c>
      <c r="F58" s="269">
        <v>0.21083263277631181</v>
      </c>
      <c r="G58" s="270">
        <v>1.1869387038702228</v>
      </c>
      <c r="H58" s="270">
        <v>1.3751593545688363</v>
      </c>
      <c r="I58" s="269">
        <v>0.12048446566138887</v>
      </c>
      <c r="J58" s="269">
        <v>0.46898107338785378</v>
      </c>
      <c r="K58" s="269">
        <v>5.5E-2</v>
      </c>
      <c r="L58" s="269">
        <v>0.24587596268608092</v>
      </c>
      <c r="M58" s="269">
        <v>0.10100261513897765</v>
      </c>
      <c r="N58" s="270">
        <v>4.098572921606003</v>
      </c>
      <c r="O58" s="270">
        <v>0.57635942221663927</v>
      </c>
      <c r="P58" s="270">
        <v>5.8988963206205138</v>
      </c>
      <c r="Q58" s="270">
        <v>7.7833497505910376</v>
      </c>
      <c r="R58" s="270">
        <v>2.0668608085450391</v>
      </c>
      <c r="S58" s="270">
        <v>35.470030674274732</v>
      </c>
      <c r="T58" s="269">
        <v>5.2452832524179795E-2</v>
      </c>
      <c r="U58" s="269">
        <v>1.8953404395350631E-2</v>
      </c>
      <c r="V58" s="269">
        <v>2.8621639869896368E-3</v>
      </c>
      <c r="W58" s="269">
        <v>0.23846989683692524</v>
      </c>
      <c r="X58" s="269">
        <v>0.30821046000842239</v>
      </c>
      <c r="Y58" s="269">
        <v>0.17578397726915398</v>
      </c>
      <c r="Z58" s="269">
        <v>0.17578397726915396</v>
      </c>
      <c r="AA58" s="271">
        <v>7.374653437423348E-2</v>
      </c>
    </row>
    <row r="59" spans="1:27" ht="14">
      <c r="A59" s="268" t="s">
        <v>749</v>
      </c>
      <c r="B59" s="123">
        <v>25</v>
      </c>
      <c r="C59" s="269">
        <v>5.9018421052631581E-2</v>
      </c>
      <c r="D59" s="269">
        <v>9.4326190090127077E-2</v>
      </c>
      <c r="E59" s="269">
        <v>0.1604004979040459</v>
      </c>
      <c r="F59" s="269">
        <v>0.20377136598084747</v>
      </c>
      <c r="G59" s="270">
        <v>0.67049972190789686</v>
      </c>
      <c r="H59" s="270">
        <v>0.95242199691205232</v>
      </c>
      <c r="I59" s="269">
        <v>9.5373866616575903E-2</v>
      </c>
      <c r="J59" s="269">
        <v>0.24431384085324004</v>
      </c>
      <c r="K59" s="269">
        <v>4.7300000000000002E-2</v>
      </c>
      <c r="L59" s="269">
        <v>0.38258512094774455</v>
      </c>
      <c r="M59" s="269">
        <v>7.24574514874404E-2</v>
      </c>
      <c r="N59" s="270">
        <v>1.9517809054097339</v>
      </c>
      <c r="O59" s="270">
        <v>1.2479568457109567</v>
      </c>
      <c r="P59" s="270">
        <v>8.2417995740318624</v>
      </c>
      <c r="Q59" s="270">
        <v>12.954725986412068</v>
      </c>
      <c r="R59" s="270">
        <v>2.4964229215467095</v>
      </c>
      <c r="S59" s="270">
        <v>13.232355624196757</v>
      </c>
      <c r="T59" s="269">
        <v>0.10397534477232311</v>
      </c>
      <c r="U59" s="269">
        <v>5.7495724252900962E-2</v>
      </c>
      <c r="V59" s="269">
        <v>4.4288846553796668E-2</v>
      </c>
      <c r="W59" s="269">
        <v>0.86939175063028251</v>
      </c>
      <c r="X59" s="269">
        <v>0.19745548981610928</v>
      </c>
      <c r="Y59" s="269">
        <v>0.28641173896085093</v>
      </c>
      <c r="Z59" s="269">
        <v>0.28641173896085093</v>
      </c>
      <c r="AA59" s="271">
        <v>9.6302912918982811E-2</v>
      </c>
    </row>
    <row r="60" spans="1:27" ht="14">
      <c r="A60" s="268" t="s">
        <v>750</v>
      </c>
      <c r="B60" s="123">
        <v>7</v>
      </c>
      <c r="C60" s="269">
        <v>6.9949999999999998E-2</v>
      </c>
      <c r="D60" s="269">
        <v>0.18473924668549113</v>
      </c>
      <c r="E60" s="269">
        <v>0.4283275094215141</v>
      </c>
      <c r="F60" s="269">
        <v>0.25797346881174144</v>
      </c>
      <c r="G60" s="270">
        <v>1.1258403034857074</v>
      </c>
      <c r="H60" s="270">
        <v>1.3830066711394122</v>
      </c>
      <c r="I60" s="269">
        <v>0.1209505962656811</v>
      </c>
      <c r="J60" s="269">
        <v>0.42843597130920175</v>
      </c>
      <c r="K60" s="269">
        <v>5.5E-2</v>
      </c>
      <c r="L60" s="269">
        <v>0.30490399792922035</v>
      </c>
      <c r="M60" s="269">
        <v>9.6649565826932238E-2</v>
      </c>
      <c r="N60" s="270">
        <v>2.640287423267194</v>
      </c>
      <c r="O60" s="270">
        <v>0.77446083379170738</v>
      </c>
      <c r="P60" s="270">
        <v>3.4314540119535057</v>
      </c>
      <c r="Q60" s="270">
        <v>4.1600867348658133</v>
      </c>
      <c r="R60" s="270">
        <v>2.8493401569593408</v>
      </c>
      <c r="S60" s="270">
        <v>12.831132860096082</v>
      </c>
      <c r="T60" s="269">
        <v>7.955855971818733E-2</v>
      </c>
      <c r="U60" s="269">
        <v>4.8408856504616772E-2</v>
      </c>
      <c r="V60" s="269">
        <v>3.594806278218337E-2</v>
      </c>
      <c r="W60" s="269">
        <v>0.37226163421064296</v>
      </c>
      <c r="X60" s="269">
        <v>0.46826521479713606</v>
      </c>
      <c r="Y60" s="269">
        <v>7.8840487377558333E-2</v>
      </c>
      <c r="Z60" s="269">
        <v>7.8840487377558333E-2</v>
      </c>
      <c r="AA60" s="271">
        <v>0.18593819979693185</v>
      </c>
    </row>
    <row r="61" spans="1:27" ht="14">
      <c r="A61" s="268" t="s">
        <v>751</v>
      </c>
      <c r="B61" s="123">
        <v>48</v>
      </c>
      <c r="C61" s="269">
        <v>6.4126904761904746E-2</v>
      </c>
      <c r="D61" s="269">
        <v>0.15573872218414844</v>
      </c>
      <c r="E61" s="269">
        <v>6.0420809677153589E-2</v>
      </c>
      <c r="F61" s="269">
        <v>0.13472676053727245</v>
      </c>
      <c r="G61" s="270">
        <v>0.46402639019456771</v>
      </c>
      <c r="H61" s="270">
        <v>0.72500097471023861</v>
      </c>
      <c r="I61" s="269">
        <v>8.1865057897788168E-2</v>
      </c>
      <c r="J61" s="269">
        <v>0.1717812350329328</v>
      </c>
      <c r="K61" s="269">
        <v>4.7300000000000002E-2</v>
      </c>
      <c r="L61" s="269">
        <v>0.43552496662165086</v>
      </c>
      <c r="M61" s="269">
        <v>6.1661029480277525E-2</v>
      </c>
      <c r="N61" s="270">
        <v>0.43922516402299394</v>
      </c>
      <c r="O61" s="270">
        <v>3.7530377133084176</v>
      </c>
      <c r="P61" s="270">
        <v>12.972637040869596</v>
      </c>
      <c r="Q61" s="270">
        <v>23.94821694902156</v>
      </c>
      <c r="R61" s="270">
        <v>1.9823980732078421</v>
      </c>
      <c r="S61" s="270">
        <v>19.074322918507089</v>
      </c>
      <c r="T61" s="269">
        <v>6.578724389324328E-2</v>
      </c>
      <c r="U61" s="269">
        <v>0.29221902100116548</v>
      </c>
      <c r="V61" s="269">
        <v>0.1839600884056081</v>
      </c>
      <c r="W61" s="269">
        <v>1.4569117844566188</v>
      </c>
      <c r="X61" s="269">
        <v>9.3898042779040264E-2</v>
      </c>
      <c r="Y61" s="269">
        <v>0.60556891515405864</v>
      </c>
      <c r="Z61" s="269">
        <v>0.60556891515405864</v>
      </c>
      <c r="AA61" s="271">
        <v>0.1568331369296484</v>
      </c>
    </row>
    <row r="62" spans="1:27" ht="14">
      <c r="A62" s="268" t="s">
        <v>752</v>
      </c>
      <c r="B62" s="123">
        <v>74</v>
      </c>
      <c r="C62" s="269">
        <v>3.7385714285714321E-2</v>
      </c>
      <c r="D62" s="269">
        <v>0.10026540707071753</v>
      </c>
      <c r="E62" s="269">
        <v>5.282254269046003E-2</v>
      </c>
      <c r="F62" s="269">
        <v>0.44612559405051289</v>
      </c>
      <c r="G62" s="270">
        <v>1.1872086171220402</v>
      </c>
      <c r="H62" s="270">
        <v>1.2336190389708566</v>
      </c>
      <c r="I62" s="269">
        <v>0.11207697091486889</v>
      </c>
      <c r="J62" s="269">
        <v>0.72543314545868787</v>
      </c>
      <c r="K62" s="269">
        <v>7.0099999999999996E-2</v>
      </c>
      <c r="L62" s="269">
        <v>0.14034933783922693</v>
      </c>
      <c r="M62" s="269">
        <v>0.10372590869683809</v>
      </c>
      <c r="N62" s="270">
        <v>0.51744376843268447</v>
      </c>
      <c r="O62" s="270">
        <v>3.5531523553351589</v>
      </c>
      <c r="P62" s="270">
        <v>10.884098925641386</v>
      </c>
      <c r="Q62" s="270">
        <v>33.924611581302663</v>
      </c>
      <c r="R62" s="270">
        <v>1.6758914035578867</v>
      </c>
      <c r="S62" s="270">
        <v>14.432357858158962</v>
      </c>
      <c r="T62" s="269">
        <v>0.10747723875647383</v>
      </c>
      <c r="U62" s="269">
        <v>0.23691578941503644</v>
      </c>
      <c r="V62" s="269">
        <v>6.2998989653640855E-2</v>
      </c>
      <c r="W62" s="269">
        <v>1.1648256717549319</v>
      </c>
      <c r="X62" s="269">
        <v>3.6607071626089407E-2</v>
      </c>
      <c r="Y62" s="269">
        <v>1.6036342196424935</v>
      </c>
      <c r="Z62" s="269">
        <v>1.6036342196424935</v>
      </c>
      <c r="AA62" s="271">
        <v>0.10498432937504064</v>
      </c>
    </row>
    <row r="63" spans="1:27" ht="14">
      <c r="A63" s="268" t="s">
        <v>753</v>
      </c>
      <c r="B63" s="123">
        <v>20</v>
      </c>
      <c r="C63" s="269">
        <v>3.3178571428571425E-2</v>
      </c>
      <c r="D63" s="269">
        <v>7.7287873141753158E-2</v>
      </c>
      <c r="E63" s="269">
        <v>0.15253143934703767</v>
      </c>
      <c r="F63" s="269">
        <v>0.15298152239036389</v>
      </c>
      <c r="G63" s="270">
        <v>0.91415552689954038</v>
      </c>
      <c r="H63" s="270">
        <v>1.1148957766881691</v>
      </c>
      <c r="I63" s="269">
        <v>0.10502480913527724</v>
      </c>
      <c r="J63" s="269">
        <v>0.30919744401282184</v>
      </c>
      <c r="K63" s="269">
        <v>5.5E-2</v>
      </c>
      <c r="L63" s="269">
        <v>0.29664827548349576</v>
      </c>
      <c r="M63" s="269">
        <v>8.6106121986008144E-2</v>
      </c>
      <c r="N63" s="270">
        <v>2.1495360876073235</v>
      </c>
      <c r="O63" s="270">
        <v>1.1585137067311873</v>
      </c>
      <c r="P63" s="270">
        <v>8.3960946722323548</v>
      </c>
      <c r="Q63" s="270">
        <v>14.858834219149905</v>
      </c>
      <c r="R63" s="270">
        <v>1.5796672211897118</v>
      </c>
      <c r="S63" s="270">
        <v>19.59895929655136</v>
      </c>
      <c r="T63" s="269">
        <v>9.8783804806749545E-2</v>
      </c>
      <c r="U63" s="269">
        <v>3.4528062285865198E-2</v>
      </c>
      <c r="V63" s="269">
        <v>6.1126999345159062E-2</v>
      </c>
      <c r="W63" s="269">
        <v>1.2037354739181043</v>
      </c>
      <c r="X63" s="269">
        <v>5.1457490948492286E-2</v>
      </c>
      <c r="Y63" s="269">
        <v>0.52372759488470044</v>
      </c>
      <c r="Z63" s="269">
        <v>0.52372759488470044</v>
      </c>
      <c r="AA63" s="271">
        <v>7.8448776546115331E-2</v>
      </c>
    </row>
    <row r="64" spans="1:27" ht="14">
      <c r="A64" s="268" t="s">
        <v>754</v>
      </c>
      <c r="B64" s="123">
        <v>223</v>
      </c>
      <c r="C64" s="269">
        <v>9.5720324324324327E-2</v>
      </c>
      <c r="D64" s="269">
        <v>0.25462046773995528</v>
      </c>
      <c r="E64" s="269">
        <v>3.2919535377649287E-2</v>
      </c>
      <c r="F64" s="269">
        <v>4.2830130197032544E-2</v>
      </c>
      <c r="G64" s="270">
        <v>0.68555683323023653</v>
      </c>
      <c r="H64" s="270">
        <v>1.063376043005491</v>
      </c>
      <c r="I64" s="269">
        <v>0.10196453695452617</v>
      </c>
      <c r="J64" s="269">
        <v>0.21541532639566627</v>
      </c>
      <c r="K64" s="269">
        <v>4.7300000000000002E-2</v>
      </c>
      <c r="L64" s="269">
        <v>0.43607305258100248</v>
      </c>
      <c r="M64" s="269">
        <v>7.297024161006857E-2</v>
      </c>
      <c r="N64" s="270">
        <v>0.14684116326248878</v>
      </c>
      <c r="O64" s="270">
        <v>11.06237876186524</v>
      </c>
      <c r="P64" s="270">
        <v>19.889516018721697</v>
      </c>
      <c r="Q64" s="270">
        <v>43.36149682247148</v>
      </c>
      <c r="R64" s="270">
        <v>1.9278379217128667</v>
      </c>
      <c r="S64" s="270">
        <v>41.482551524936767</v>
      </c>
      <c r="T64" s="269">
        <v>1.1802755385535975</v>
      </c>
      <c r="U64" s="269">
        <v>3.0609471497529343E-2</v>
      </c>
      <c r="V64" s="269">
        <v>-6.9579443323791318E-2</v>
      </c>
      <c r="W64" s="269">
        <v>-0.3090305179736722</v>
      </c>
      <c r="X64" s="269">
        <v>8.8529626809054379E-2</v>
      </c>
      <c r="Y64" s="269">
        <v>1.0779848431093604</v>
      </c>
      <c r="Z64" s="269">
        <v>1.0779848431093604</v>
      </c>
      <c r="AA64" s="271">
        <v>0.23203055634695816</v>
      </c>
    </row>
    <row r="65" spans="1:27" ht="14">
      <c r="A65" s="268" t="s">
        <v>755</v>
      </c>
      <c r="B65" s="123">
        <v>18</v>
      </c>
      <c r="C65" s="269">
        <v>0.10161666666666665</v>
      </c>
      <c r="D65" s="269">
        <v>0.18643282544436918</v>
      </c>
      <c r="E65" s="269">
        <v>6.1246870475157367E-2</v>
      </c>
      <c r="F65" s="269">
        <v>0.22962895460275518</v>
      </c>
      <c r="G65" s="270">
        <v>0.88380482744065236</v>
      </c>
      <c r="H65" s="270">
        <v>1.5166924498761216</v>
      </c>
      <c r="I65" s="269">
        <v>0.12889153152264163</v>
      </c>
      <c r="J65" s="269">
        <v>0.51250635002105183</v>
      </c>
      <c r="K65" s="269">
        <v>5.8800000000000005E-2</v>
      </c>
      <c r="L65" s="269">
        <v>0.52953698868574195</v>
      </c>
      <c r="M65" s="269">
        <v>8.3991279254089821E-2</v>
      </c>
      <c r="N65" s="270">
        <v>0.37533699252084596</v>
      </c>
      <c r="O65" s="270">
        <v>2.8074579856808244</v>
      </c>
      <c r="P65" s="270">
        <v>10.539631090506099</v>
      </c>
      <c r="Q65" s="270">
        <v>15.458491482757813</v>
      </c>
      <c r="R65" s="270">
        <v>0.94227824319529518</v>
      </c>
      <c r="S65" s="270">
        <v>10.7244443912679</v>
      </c>
      <c r="T65" s="269">
        <v>6.8979327664156362E-2</v>
      </c>
      <c r="U65" s="269">
        <v>1.6656707603486576E-2</v>
      </c>
      <c r="V65" s="269">
        <v>-4.235974257333449E-2</v>
      </c>
      <c r="W65" s="269">
        <v>-0.52566876328210455</v>
      </c>
      <c r="X65" s="269">
        <v>0.10514161885746096</v>
      </c>
      <c r="Y65" s="269">
        <v>0</v>
      </c>
      <c r="Z65" s="269">
        <v>0</v>
      </c>
      <c r="AA65" s="271">
        <v>0.17482898999177635</v>
      </c>
    </row>
    <row r="66" spans="1:27" ht="14">
      <c r="A66" s="268" t="s">
        <v>756</v>
      </c>
      <c r="B66" s="123">
        <v>12</v>
      </c>
      <c r="C66" s="269">
        <v>8.7419999999999998E-2</v>
      </c>
      <c r="D66" s="269">
        <v>0.18574177746675996</v>
      </c>
      <c r="E66" s="269">
        <v>6.5124916516099793E-2</v>
      </c>
      <c r="F66" s="269">
        <v>0.22877349119949147</v>
      </c>
      <c r="G66" s="270">
        <v>0.6649391588559308</v>
      </c>
      <c r="H66" s="270">
        <v>0.78980297684164968</v>
      </c>
      <c r="I66" s="269">
        <v>8.5714296824393993E-2</v>
      </c>
      <c r="J66" s="269">
        <v>0.28661749273612586</v>
      </c>
      <c r="K66" s="269">
        <v>5.5E-2</v>
      </c>
      <c r="L66" s="269">
        <v>0.28478860416132579</v>
      </c>
      <c r="M66" s="269">
        <v>7.3051371796759967E-2</v>
      </c>
      <c r="N66" s="270">
        <v>0.38625209859805604</v>
      </c>
      <c r="O66" s="270">
        <v>4.0156438237906613</v>
      </c>
      <c r="P66" s="270">
        <v>14.89079423992054</v>
      </c>
      <c r="Q66" s="270">
        <v>21.390967318368396</v>
      </c>
      <c r="R66" s="270">
        <v>0.96600942934182954</v>
      </c>
      <c r="S66" s="270">
        <v>17.526867681340555</v>
      </c>
      <c r="T66" s="269">
        <v>2.0459245976207137</v>
      </c>
      <c r="U66" s="269">
        <v>1.8100944716585025E-2</v>
      </c>
      <c r="V66" s="269">
        <v>-3.3939818054584079E-4</v>
      </c>
      <c r="W66" s="269">
        <v>0.6677825293193983</v>
      </c>
      <c r="X66" s="269">
        <v>6.6811159787871804E-2</v>
      </c>
      <c r="Y66" s="269">
        <v>0.33199889563776919</v>
      </c>
      <c r="Z66" s="269">
        <v>0.33199889563776919</v>
      </c>
      <c r="AA66" s="271">
        <v>0.18604180906971937</v>
      </c>
    </row>
    <row r="67" spans="1:27" ht="14">
      <c r="A67" s="268" t="s">
        <v>757</v>
      </c>
      <c r="B67" s="123">
        <v>60</v>
      </c>
      <c r="C67" s="269">
        <v>0.16003758620689656</v>
      </c>
      <c r="D67" s="269">
        <v>1.1685762595962912E-2</v>
      </c>
      <c r="E67" s="269">
        <v>1.0758116120213667E-2</v>
      </c>
      <c r="F67" s="269">
        <v>0.2022882818442118</v>
      </c>
      <c r="G67" s="270">
        <v>0.80502060474331827</v>
      </c>
      <c r="H67" s="270">
        <v>1.3454843302112593</v>
      </c>
      <c r="I67" s="269">
        <v>0.11872176921454881</v>
      </c>
      <c r="J67" s="269">
        <v>0.44434220453063733</v>
      </c>
      <c r="K67" s="269">
        <v>5.5E-2</v>
      </c>
      <c r="L67" s="269">
        <v>0.5221196650429506</v>
      </c>
      <c r="M67" s="269">
        <v>7.8272235021963815E-2</v>
      </c>
      <c r="N67" s="270">
        <v>1.5689215564881624</v>
      </c>
      <c r="O67" s="270">
        <v>0.99731101203291117</v>
      </c>
      <c r="P67" s="270">
        <v>8.7971462659737867</v>
      </c>
      <c r="Q67" s="270">
        <v>159.94211887150664</v>
      </c>
      <c r="R67" s="270">
        <v>1.6465144649718912</v>
      </c>
      <c r="S67" s="270">
        <v>39.800177325074387</v>
      </c>
      <c r="T67" s="269">
        <v>0.15137872576266614</v>
      </c>
      <c r="U67" s="269">
        <v>1.1949056366529672E-2</v>
      </c>
      <c r="V67" s="269">
        <v>-9.7335503466809909E-4</v>
      </c>
      <c r="W67" s="269" t="s">
        <v>96</v>
      </c>
      <c r="X67" s="269">
        <v>-3.5766856752091167E-2</v>
      </c>
      <c r="Y67" s="269">
        <v>3.3508867332228652E-3</v>
      </c>
      <c r="Z67" s="269">
        <v>3.3508867332228132E-3</v>
      </c>
      <c r="AA67" s="271">
        <v>7.1283603499213786E-3</v>
      </c>
    </row>
    <row r="68" spans="1:27" ht="14">
      <c r="A68" s="268" t="s">
        <v>758</v>
      </c>
      <c r="B68" s="123">
        <v>57</v>
      </c>
      <c r="C68" s="269">
        <v>7.7886923076923062E-2</v>
      </c>
      <c r="D68" s="269">
        <v>9.1872618065840059E-2</v>
      </c>
      <c r="E68" s="269">
        <v>0.12254941456919057</v>
      </c>
      <c r="F68" s="269">
        <v>0.20045837235862293</v>
      </c>
      <c r="G68" s="270">
        <v>1.0754929270701692</v>
      </c>
      <c r="H68" s="270">
        <v>1.4179809441636479</v>
      </c>
      <c r="I68" s="269">
        <v>0.12302806808332069</v>
      </c>
      <c r="J68" s="269">
        <v>0.42131153923229786</v>
      </c>
      <c r="K68" s="269">
        <v>5.5E-2</v>
      </c>
      <c r="L68" s="269">
        <v>0.34236718555089074</v>
      </c>
      <c r="M68" s="269">
        <v>9.5029941073845062E-2</v>
      </c>
      <c r="N68" s="270">
        <v>1.5859899092296037</v>
      </c>
      <c r="O68" s="270">
        <v>1.7662464800785203</v>
      </c>
      <c r="P68" s="270">
        <v>9.6622797370029652</v>
      </c>
      <c r="Q68" s="270">
        <v>20.261567691401542</v>
      </c>
      <c r="R68" s="270">
        <v>3.2439902238762262</v>
      </c>
      <c r="S68" s="270">
        <v>18.79714703297693</v>
      </c>
      <c r="T68" s="269">
        <v>0.18853137911199377</v>
      </c>
      <c r="U68" s="269">
        <v>6.3165185357422896E-2</v>
      </c>
      <c r="V68" s="269">
        <v>8.4633752387295091E-2</v>
      </c>
      <c r="W68" s="269">
        <v>2.4253997212904026</v>
      </c>
      <c r="X68" s="269">
        <v>3.9523433869521209E-2</v>
      </c>
      <c r="Y68" s="269">
        <v>1.3633798616766255</v>
      </c>
      <c r="Z68" s="269">
        <v>1.3633798616766255</v>
      </c>
      <c r="AA68" s="271">
        <v>8.5155250515097439E-2</v>
      </c>
    </row>
    <row r="69" spans="1:27" ht="14">
      <c r="A69" s="268" t="s">
        <v>759</v>
      </c>
      <c r="B69" s="123">
        <v>1</v>
      </c>
      <c r="C69" s="269">
        <v>5.6299999999999996E-2</v>
      </c>
      <c r="D69" s="269">
        <v>4.6484423100603377E-2</v>
      </c>
      <c r="E69" s="269">
        <v>5.2526535195568026E-2</v>
      </c>
      <c r="F69" s="269">
        <v>6.4829821717990274E-2</v>
      </c>
      <c r="G69" s="270">
        <v>0.83160738080596275</v>
      </c>
      <c r="H69" s="270">
        <v>0.82924820341635141</v>
      </c>
      <c r="I69" s="269">
        <v>8.8057343282931272E-2</v>
      </c>
      <c r="J69" s="269">
        <v>0.1936761567443839</v>
      </c>
      <c r="K69" s="269">
        <v>4.7300000000000002E-2</v>
      </c>
      <c r="L69" s="269">
        <v>0.31081382917101813</v>
      </c>
      <c r="M69" s="269">
        <v>7.1714023820378447E-2</v>
      </c>
      <c r="N69" s="270">
        <v>1.2102032753146545</v>
      </c>
      <c r="O69" s="270">
        <v>0.63216265478481615</v>
      </c>
      <c r="P69" s="270">
        <v>12.075250898524033</v>
      </c>
      <c r="Q69" s="270">
        <v>13.620688310926171</v>
      </c>
      <c r="R69" s="270">
        <v>2.5371894202511358</v>
      </c>
      <c r="S69" s="270">
        <v>16.516000000000002</v>
      </c>
      <c r="T69" s="269">
        <v>-0.17934983376431474</v>
      </c>
      <c r="U69" s="269">
        <v>1.4160817633296391E-3</v>
      </c>
      <c r="V69" s="269">
        <v>-3.5894594261790392E-3</v>
      </c>
      <c r="W69" s="269">
        <v>5.9152910542786076E-2</v>
      </c>
      <c r="X69" s="269">
        <v>4.4625533566162202E-2</v>
      </c>
      <c r="Y69" s="269">
        <v>0.34956521739130436</v>
      </c>
      <c r="Z69" s="269">
        <v>0.34956521739130442</v>
      </c>
      <c r="AA69" s="271">
        <v>4.6411946324159792E-2</v>
      </c>
    </row>
    <row r="70" spans="1:27" ht="14">
      <c r="A70" s="268" t="s">
        <v>760</v>
      </c>
      <c r="B70" s="123">
        <v>70</v>
      </c>
      <c r="C70" s="269">
        <v>6.2767619047619044E-2</v>
      </c>
      <c r="D70" s="269">
        <v>0.15419795499898792</v>
      </c>
      <c r="E70" s="269">
        <v>0.18384754911547566</v>
      </c>
      <c r="F70" s="269">
        <v>0.21302882919614741</v>
      </c>
      <c r="G70" s="270">
        <v>1.1660017105464549</v>
      </c>
      <c r="H70" s="270">
        <v>1.4103978688180479</v>
      </c>
      <c r="I70" s="269">
        <v>0.12257763340779204</v>
      </c>
      <c r="J70" s="269">
        <v>0.41147053391609606</v>
      </c>
      <c r="K70" s="269">
        <v>5.5E-2</v>
      </c>
      <c r="L70" s="269">
        <v>0.23533040964915261</v>
      </c>
      <c r="M70" s="269">
        <v>0.10343876812214023</v>
      </c>
      <c r="N70" s="270">
        <v>1.5701942239956401</v>
      </c>
      <c r="O70" s="270">
        <v>4.0665383764474727</v>
      </c>
      <c r="P70" s="270">
        <v>16.789677683444001</v>
      </c>
      <c r="Q70" s="270">
        <v>31.709447042133828</v>
      </c>
      <c r="R70" s="270" t="s">
        <v>96</v>
      </c>
      <c r="S70" s="270">
        <v>32.060305059956086</v>
      </c>
      <c r="T70" s="269">
        <v>1.691510380042419E-2</v>
      </c>
      <c r="U70" s="269">
        <v>5.5110462367772506E-2</v>
      </c>
      <c r="V70" s="269">
        <v>4.1202702185160214E-2</v>
      </c>
      <c r="W70" s="269">
        <v>0.45041519247016731</v>
      </c>
      <c r="X70" s="269" t="s">
        <v>96</v>
      </c>
      <c r="Y70" s="269">
        <v>0.61859397079777145</v>
      </c>
      <c r="Z70" s="269">
        <v>0.61859397079777145</v>
      </c>
      <c r="AA70" s="271">
        <v>0.12802472049949576</v>
      </c>
    </row>
    <row r="71" spans="1:27" ht="14">
      <c r="A71" s="268" t="s">
        <v>761</v>
      </c>
      <c r="B71" s="123">
        <v>30</v>
      </c>
      <c r="C71" s="269">
        <v>0.17119444444444448</v>
      </c>
      <c r="D71" s="269">
        <v>6.1927720578008112E-2</v>
      </c>
      <c r="E71" s="269">
        <v>0.15601912407155186</v>
      </c>
      <c r="F71" s="269">
        <v>0.23558902670157125</v>
      </c>
      <c r="G71" s="270">
        <v>1.0827260845919955</v>
      </c>
      <c r="H71" s="270">
        <v>1.5201925121768585</v>
      </c>
      <c r="I71" s="269">
        <v>0.12909943522330541</v>
      </c>
      <c r="J71" s="269">
        <v>0.35710895966484529</v>
      </c>
      <c r="K71" s="269">
        <v>5.5E-2</v>
      </c>
      <c r="L71" s="269">
        <v>0.36502616498949741</v>
      </c>
      <c r="M71" s="269">
        <v>9.7032092787248961E-2</v>
      </c>
      <c r="N71" s="270">
        <v>3.2313109542113141</v>
      </c>
      <c r="O71" s="270">
        <v>0.90560565109919078</v>
      </c>
      <c r="P71" s="270">
        <v>9.7510306004997052</v>
      </c>
      <c r="Q71" s="270">
        <v>15.107260975672965</v>
      </c>
      <c r="R71" s="270">
        <v>6.0652224522249334</v>
      </c>
      <c r="S71" s="270">
        <v>10.001651614901713</v>
      </c>
      <c r="T71" s="269">
        <v>8.1386429198359977E-2</v>
      </c>
      <c r="U71" s="269">
        <v>1.7778313148109137E-2</v>
      </c>
      <c r="V71" s="269">
        <v>5.1259894461536532E-2</v>
      </c>
      <c r="W71" s="269">
        <v>1.3390635636870629</v>
      </c>
      <c r="X71" s="269">
        <v>0.43254080251611221</v>
      </c>
      <c r="Y71" s="269">
        <v>6.7007152043207063E-2</v>
      </c>
      <c r="Z71" s="269">
        <v>6.7007152043207063E-2</v>
      </c>
      <c r="AA71" s="271">
        <v>5.7364970955562075E-2</v>
      </c>
    </row>
    <row r="72" spans="1:27" ht="14">
      <c r="A72" s="268" t="s">
        <v>762</v>
      </c>
      <c r="B72" s="123">
        <v>15</v>
      </c>
      <c r="C72" s="269">
        <v>0.13023333333333334</v>
      </c>
      <c r="D72" s="269">
        <v>0.13849542000702966</v>
      </c>
      <c r="E72" s="269">
        <v>0.50284847286762124</v>
      </c>
      <c r="F72" s="269">
        <v>0.24916304003227943</v>
      </c>
      <c r="G72" s="270">
        <v>1.5670419621739333</v>
      </c>
      <c r="H72" s="270">
        <v>1.7891723510222548</v>
      </c>
      <c r="I72" s="269">
        <v>0.14507683765072193</v>
      </c>
      <c r="J72" s="269">
        <v>0.37546183716654358</v>
      </c>
      <c r="K72" s="269">
        <v>5.5E-2</v>
      </c>
      <c r="L72" s="269">
        <v>0.17500957285412982</v>
      </c>
      <c r="M72" s="269">
        <v>0.12690614714267401</v>
      </c>
      <c r="N72" s="270">
        <v>4.2038176025207861</v>
      </c>
      <c r="O72" s="270">
        <v>1.9563486558546059</v>
      </c>
      <c r="P72" s="270">
        <v>11.469128120171815</v>
      </c>
      <c r="Q72" s="270">
        <v>14.161032414237553</v>
      </c>
      <c r="R72" s="270" t="s">
        <v>96</v>
      </c>
      <c r="S72" s="270">
        <v>14.307930590731086</v>
      </c>
      <c r="T72" s="269">
        <v>0.10000462572456546</v>
      </c>
      <c r="U72" s="269">
        <v>2.2444677911148944E-2</v>
      </c>
      <c r="V72" s="269">
        <v>6.3132169216013083E-3</v>
      </c>
      <c r="W72" s="269">
        <v>0.41726625965420955</v>
      </c>
      <c r="X72" s="269">
        <v>4.7726960627988493E-3</v>
      </c>
      <c r="Y72" s="269">
        <v>0.41155081198269666</v>
      </c>
      <c r="Z72" s="269">
        <v>0.41155081198269672</v>
      </c>
      <c r="AA72" s="271">
        <v>0.13811055980817999</v>
      </c>
    </row>
    <row r="73" spans="1:27" ht="14">
      <c r="A73" s="268" t="s">
        <v>763</v>
      </c>
      <c r="B73" s="123">
        <v>69</v>
      </c>
      <c r="C73" s="269">
        <v>7.3269285714285717E-2</v>
      </c>
      <c r="D73" s="269">
        <v>0.11662138900914724</v>
      </c>
      <c r="E73" s="269">
        <v>0.21342632081347138</v>
      </c>
      <c r="F73" s="269">
        <v>0.23456802565441692</v>
      </c>
      <c r="G73" s="270">
        <v>1.00607436454125</v>
      </c>
      <c r="H73" s="270">
        <v>1.2752456934388758</v>
      </c>
      <c r="I73" s="269">
        <v>0.11454959419026922</v>
      </c>
      <c r="J73" s="269">
        <v>0.37083010776240061</v>
      </c>
      <c r="K73" s="269">
        <v>5.5E-2</v>
      </c>
      <c r="L73" s="269">
        <v>0.2834997671745757</v>
      </c>
      <c r="M73" s="269">
        <v>9.3769176303337004E-2</v>
      </c>
      <c r="N73" s="270">
        <v>2.0729280898718252</v>
      </c>
      <c r="O73" s="270">
        <v>1.4491371517415981</v>
      </c>
      <c r="P73" s="270">
        <v>9.4337028665467226</v>
      </c>
      <c r="Q73" s="270">
        <v>11.189698840895451</v>
      </c>
      <c r="R73" s="270">
        <v>3.3546996530954596</v>
      </c>
      <c r="S73" s="270">
        <v>27.139280463174906</v>
      </c>
      <c r="T73" s="269">
        <v>0.17141068041195093</v>
      </c>
      <c r="U73" s="269">
        <v>6.0647545579341045E-2</v>
      </c>
      <c r="V73" s="269">
        <v>7.9493645195904877E-2</v>
      </c>
      <c r="W73" s="269">
        <v>1.3260349839685297</v>
      </c>
      <c r="X73" s="269">
        <v>0.27374436051738033</v>
      </c>
      <c r="Y73" s="269">
        <v>0.21645782493310001</v>
      </c>
      <c r="Z73" s="269">
        <v>0.21645782493309995</v>
      </c>
      <c r="AA73" s="271">
        <v>0.11913571399654554</v>
      </c>
    </row>
    <row r="74" spans="1:27" ht="14">
      <c r="A74" s="268" t="s">
        <v>764</v>
      </c>
      <c r="B74" s="123">
        <v>15</v>
      </c>
      <c r="C74" s="269">
        <v>4.3181538461538473E-2</v>
      </c>
      <c r="D74" s="269">
        <v>4.3490132696043217E-2</v>
      </c>
      <c r="E74" s="269">
        <v>0.17887258680308168</v>
      </c>
      <c r="F74" s="269">
        <v>0.25407023785694749</v>
      </c>
      <c r="G74" s="270">
        <v>1.2201002971574864</v>
      </c>
      <c r="H74" s="270">
        <v>1.3632136186935628</v>
      </c>
      <c r="I74" s="269">
        <v>0.11977488895039763</v>
      </c>
      <c r="J74" s="269">
        <v>0.31528080319313112</v>
      </c>
      <c r="K74" s="269">
        <v>5.5E-2</v>
      </c>
      <c r="L74" s="269">
        <v>0.16645578370845249</v>
      </c>
      <c r="M74" s="269">
        <v>0.10670396701953999</v>
      </c>
      <c r="N74" s="270">
        <v>5.5117475233811613</v>
      </c>
      <c r="O74" s="270">
        <v>0.81313449985441677</v>
      </c>
      <c r="P74" s="270">
        <v>11.895592388704946</v>
      </c>
      <c r="Q74" s="270">
        <v>19.728979846455509</v>
      </c>
      <c r="R74" s="270">
        <v>5.4471986647594894</v>
      </c>
      <c r="S74" s="270">
        <v>18.550527865353317</v>
      </c>
      <c r="T74" s="269">
        <v>2.6165379645365121E-2</v>
      </c>
      <c r="U74" s="269">
        <v>2.8461865484092286E-2</v>
      </c>
      <c r="V74" s="269">
        <v>1.2638682392051338E-2</v>
      </c>
      <c r="W74" s="269">
        <v>0.98470208721765384</v>
      </c>
      <c r="X74" s="269">
        <v>0.18290105640630752</v>
      </c>
      <c r="Y74" s="269">
        <v>0.40597654479383538</v>
      </c>
      <c r="Z74" s="269">
        <v>0.40597654479383538</v>
      </c>
      <c r="AA74" s="271">
        <v>4.1215232930581755E-2</v>
      </c>
    </row>
    <row r="75" spans="1:27" ht="14">
      <c r="A75" s="268" t="s">
        <v>765</v>
      </c>
      <c r="B75" s="123">
        <v>13</v>
      </c>
      <c r="C75" s="269">
        <v>4.9611111111111106E-2</v>
      </c>
      <c r="D75" s="269">
        <v>3.3229364367785945E-2</v>
      </c>
      <c r="E75" s="269">
        <v>0.12766332763145424</v>
      </c>
      <c r="F75" s="269">
        <v>0.22297163025907965</v>
      </c>
      <c r="G75" s="270">
        <v>0.47317490770283238</v>
      </c>
      <c r="H75" s="270">
        <v>0.66756973306313983</v>
      </c>
      <c r="I75" s="269">
        <v>7.8453642143950508E-2</v>
      </c>
      <c r="J75" s="269">
        <v>0.28264661461127033</v>
      </c>
      <c r="K75" s="269">
        <v>5.5E-2</v>
      </c>
      <c r="L75" s="269">
        <v>0.39692761226145523</v>
      </c>
      <c r="M75" s="269">
        <v>6.3686489300322585E-2</v>
      </c>
      <c r="N75" s="270">
        <v>5.2344758552729687</v>
      </c>
      <c r="O75" s="270">
        <v>0.37471973967659333</v>
      </c>
      <c r="P75" s="270">
        <v>5.89476304542662</v>
      </c>
      <c r="Q75" s="270">
        <v>12.820375172626665</v>
      </c>
      <c r="R75" s="270">
        <v>2.7461328553855116</v>
      </c>
      <c r="S75" s="270">
        <v>16.752102075844263</v>
      </c>
      <c r="T75" s="269">
        <v>-5.8215488757404205E-3</v>
      </c>
      <c r="U75" s="269">
        <v>2.1644450260973638E-2</v>
      </c>
      <c r="V75" s="269">
        <v>2.3337952710874967E-3</v>
      </c>
      <c r="W75" s="269">
        <v>0.42410606599951739</v>
      </c>
      <c r="X75" s="269">
        <v>0.27975167006797569</v>
      </c>
      <c r="Y75" s="269">
        <v>0.19815214989312624</v>
      </c>
      <c r="Z75" s="269">
        <v>0.19815214989312624</v>
      </c>
      <c r="AA75" s="271">
        <v>2.9192633781895124E-2</v>
      </c>
    </row>
    <row r="76" spans="1:27" ht="14">
      <c r="A76" s="268" t="s">
        <v>766</v>
      </c>
      <c r="B76" s="123">
        <v>63</v>
      </c>
      <c r="C76" s="269">
        <v>0.20712521739130429</v>
      </c>
      <c r="D76" s="269">
        <v>2.3028824906177303E-2</v>
      </c>
      <c r="E76" s="269">
        <v>5.0939512756182574E-2</v>
      </c>
      <c r="F76" s="269">
        <v>4.4035702529034602E-3</v>
      </c>
      <c r="G76" s="270">
        <v>1.3559898443505161</v>
      </c>
      <c r="H76" s="270">
        <v>1.4871300694613425</v>
      </c>
      <c r="I76" s="269">
        <v>0.12713552612600376</v>
      </c>
      <c r="J76" s="269">
        <v>0.59410388760758681</v>
      </c>
      <c r="K76" s="269">
        <v>5.8800000000000005E-2</v>
      </c>
      <c r="L76" s="269">
        <v>0.16089394698680773</v>
      </c>
      <c r="M76" s="269">
        <v>0.11377561258746482</v>
      </c>
      <c r="N76" s="270">
        <v>1.3427580150233107</v>
      </c>
      <c r="O76" s="270">
        <v>1.8662255983788749</v>
      </c>
      <c r="P76" s="270">
        <v>16.070943107400783</v>
      </c>
      <c r="Q76" s="270">
        <v>98.640738304840809</v>
      </c>
      <c r="R76" s="270">
        <v>6.1619844288535095</v>
      </c>
      <c r="S76" s="270">
        <v>205.21167470141248</v>
      </c>
      <c r="T76" s="269">
        <v>-4.2848254664685798E-3</v>
      </c>
      <c r="U76" s="269">
        <v>0.11698649326936973</v>
      </c>
      <c r="V76" s="269">
        <v>8.251654433099144E-2</v>
      </c>
      <c r="W76" s="269">
        <v>7.0941697703296684</v>
      </c>
      <c r="X76" s="269">
        <v>2.5424242440325519E-2</v>
      </c>
      <c r="Y76" s="269">
        <v>0.13918756106739016</v>
      </c>
      <c r="Z76" s="269">
        <v>0.13918756106739016</v>
      </c>
      <c r="AA76" s="271">
        <v>3.8689183338772491E-2</v>
      </c>
    </row>
    <row r="77" spans="1:27" ht="14">
      <c r="A77" s="268" t="s">
        <v>767</v>
      </c>
      <c r="B77" s="123">
        <v>78</v>
      </c>
      <c r="C77" s="269">
        <v>0.13322980769230772</v>
      </c>
      <c r="D77" s="269">
        <v>5.4269454417329027E-2</v>
      </c>
      <c r="E77" s="269">
        <v>0.15715843531246571</v>
      </c>
      <c r="F77" s="269">
        <v>0.20574028224664132</v>
      </c>
      <c r="G77" s="270">
        <v>1.187876333197214</v>
      </c>
      <c r="H77" s="270">
        <v>1.4752073825450458</v>
      </c>
      <c r="I77" s="269">
        <v>0.12642731852317574</v>
      </c>
      <c r="J77" s="269">
        <v>0.38585905225789641</v>
      </c>
      <c r="K77" s="269">
        <v>5.5E-2</v>
      </c>
      <c r="L77" s="269">
        <v>0.28139429989154335</v>
      </c>
      <c r="M77" s="269">
        <v>0.10245890661070772</v>
      </c>
      <c r="N77" s="270">
        <v>3.2211003615831286</v>
      </c>
      <c r="O77" s="270">
        <v>0.96745501914780907</v>
      </c>
      <c r="P77" s="270">
        <v>8.3999023750456416</v>
      </c>
      <c r="Q77" s="270">
        <v>16.588661331446687</v>
      </c>
      <c r="R77" s="270">
        <v>4.4182366416657732</v>
      </c>
      <c r="S77" s="270">
        <v>19.968362936967932</v>
      </c>
      <c r="T77" s="269">
        <v>7.8075689362575099E-2</v>
      </c>
      <c r="U77" s="269">
        <v>2.5391764038313232E-2</v>
      </c>
      <c r="V77" s="269">
        <v>1.6007996870033885E-2</v>
      </c>
      <c r="W77" s="269">
        <v>0.88986707734601544</v>
      </c>
      <c r="X77" s="269">
        <v>0.24164994928738759</v>
      </c>
      <c r="Y77" s="269">
        <v>0.32402204137758905</v>
      </c>
      <c r="Z77" s="269">
        <v>0.32402204137758905</v>
      </c>
      <c r="AA77" s="271">
        <v>5.7406007478131293E-2</v>
      </c>
    </row>
    <row r="78" spans="1:27" ht="14">
      <c r="A78" s="268" t="s">
        <v>768</v>
      </c>
      <c r="B78" s="123">
        <v>3</v>
      </c>
      <c r="C78" s="269">
        <v>0.12423333333333333</v>
      </c>
      <c r="D78" s="269">
        <v>5.5477892133474836E-2</v>
      </c>
      <c r="E78" s="269">
        <v>9.6174544302176548E-2</v>
      </c>
      <c r="F78" s="269">
        <v>0</v>
      </c>
      <c r="G78" s="270">
        <v>0.26766554739644599</v>
      </c>
      <c r="H78" s="270">
        <v>0.83801497962970528</v>
      </c>
      <c r="I78" s="269">
        <v>8.8578089790004505E-2</v>
      </c>
      <c r="J78" s="269">
        <v>0.39785998397496214</v>
      </c>
      <c r="K78" s="269">
        <v>5.5E-2</v>
      </c>
      <c r="L78" s="269">
        <v>0.76762233709685423</v>
      </c>
      <c r="M78" s="269">
        <v>5.2247990895071483E-2</v>
      </c>
      <c r="N78" s="270">
        <v>1.5914803168514429</v>
      </c>
      <c r="O78" s="270">
        <v>0.54994654147614319</v>
      </c>
      <c r="P78" s="270">
        <v>4.8112747740259056</v>
      </c>
      <c r="Q78" s="270">
        <v>9.4223053989184908</v>
      </c>
      <c r="R78" s="270">
        <v>0.54937207352345419</v>
      </c>
      <c r="S78" s="270">
        <v>7.086078039072091</v>
      </c>
      <c r="T78" s="269">
        <v>0.13332431037672471</v>
      </c>
      <c r="U78" s="269">
        <v>5.2902454698591055E-2</v>
      </c>
      <c r="V78" s="269">
        <v>8.5634803945433807E-3</v>
      </c>
      <c r="W78" s="269">
        <v>1.0500968085452227</v>
      </c>
      <c r="X78" s="269">
        <v>0.1980977052337177</v>
      </c>
      <c r="Y78" s="269">
        <v>0</v>
      </c>
      <c r="Z78" s="269">
        <v>0</v>
      </c>
      <c r="AA78" s="271">
        <v>6.0430872618297028E-2</v>
      </c>
    </row>
    <row r="79" spans="1:27" ht="14">
      <c r="A79" s="268" t="s">
        <v>769</v>
      </c>
      <c r="B79" s="123">
        <v>68</v>
      </c>
      <c r="C79" s="269">
        <v>8.8798913043478242E-2</v>
      </c>
      <c r="D79" s="269">
        <v>0.25438540035080681</v>
      </c>
      <c r="E79" s="269">
        <v>0.1851707902340006</v>
      </c>
      <c r="F79" s="269">
        <v>0.10212775505839949</v>
      </c>
      <c r="G79" s="270">
        <v>1.5342672202060941</v>
      </c>
      <c r="H79" s="270">
        <v>1.6077462586340689</v>
      </c>
      <c r="I79" s="269">
        <v>0.13430012776286371</v>
      </c>
      <c r="J79" s="269">
        <v>0.38404265117692143</v>
      </c>
      <c r="K79" s="269">
        <v>5.5E-2</v>
      </c>
      <c r="L79" s="269">
        <v>0.10124985178257215</v>
      </c>
      <c r="M79" s="269">
        <v>0.12487881611852436</v>
      </c>
      <c r="N79" s="270">
        <v>0.72201005886116498</v>
      </c>
      <c r="O79" s="270">
        <v>4.9757982826069913</v>
      </c>
      <c r="P79" s="270">
        <v>12.655041430895425</v>
      </c>
      <c r="Q79" s="270">
        <v>19.336945230156992</v>
      </c>
      <c r="R79" s="270">
        <v>3.7932462671985561</v>
      </c>
      <c r="S79" s="270">
        <v>29.657290214296978</v>
      </c>
      <c r="T79" s="269">
        <v>0.2033162539524809</v>
      </c>
      <c r="U79" s="269">
        <v>0.16832492397226165</v>
      </c>
      <c r="V79" s="269">
        <v>9.4211405166161985E-2</v>
      </c>
      <c r="W79" s="269">
        <v>0.68561846994152498</v>
      </c>
      <c r="X79" s="269">
        <v>0.22766391058991867</v>
      </c>
      <c r="Y79" s="269">
        <v>0.32844198803414559</v>
      </c>
      <c r="Z79" s="269">
        <v>0.32844198803414559</v>
      </c>
      <c r="AA79" s="271">
        <v>0.27728175935892962</v>
      </c>
    </row>
    <row r="80" spans="1:27" ht="14">
      <c r="A80" s="268" t="s">
        <v>770</v>
      </c>
      <c r="B80" s="123">
        <v>30</v>
      </c>
      <c r="C80" s="269">
        <v>0.15696923076923081</v>
      </c>
      <c r="D80" s="269">
        <v>0.27299636853201725</v>
      </c>
      <c r="E80" s="269">
        <v>0.38166166267508272</v>
      </c>
      <c r="F80" s="269">
        <v>0.13503787754453553</v>
      </c>
      <c r="G80" s="270">
        <v>1.6892473610771204</v>
      </c>
      <c r="H80" s="270">
        <v>1.757142721715889</v>
      </c>
      <c r="I80" s="269">
        <v>0.1431742776699238</v>
      </c>
      <c r="J80" s="269">
        <v>0.41568723029676519</v>
      </c>
      <c r="K80" s="269">
        <v>5.5E-2</v>
      </c>
      <c r="L80" s="269">
        <v>0.10544019640189742</v>
      </c>
      <c r="M80" s="269">
        <v>0.13242736181428552</v>
      </c>
      <c r="N80" s="270">
        <v>1.5108753291051042</v>
      </c>
      <c r="O80" s="270">
        <v>3.6641302435732546</v>
      </c>
      <c r="P80" s="270">
        <v>11.777235010380455</v>
      </c>
      <c r="Q80" s="270">
        <v>13.342294844275649</v>
      </c>
      <c r="R80" s="270">
        <v>6.3977805113469159</v>
      </c>
      <c r="S80" s="270">
        <v>20.068843491664495</v>
      </c>
      <c r="T80" s="269">
        <v>0.3428701992540078</v>
      </c>
      <c r="U80" s="269">
        <v>4.4924997757117648E-2</v>
      </c>
      <c r="V80" s="269">
        <v>0.15241894968668626</v>
      </c>
      <c r="W80" s="269">
        <v>1.0589803717525832</v>
      </c>
      <c r="X80" s="269">
        <v>0.46515933713298008</v>
      </c>
      <c r="Y80" s="269">
        <v>0.14247023533039754</v>
      </c>
      <c r="Z80" s="269">
        <v>0.14247023533039749</v>
      </c>
      <c r="AA80" s="271">
        <v>0.28261961491576909</v>
      </c>
    </row>
    <row r="81" spans="1:27" ht="14">
      <c r="A81" s="268" t="s">
        <v>771</v>
      </c>
      <c r="B81" s="123">
        <v>8</v>
      </c>
      <c r="C81" s="269">
        <v>0.15536666666666668</v>
      </c>
      <c r="D81" s="269">
        <v>0.25504298331125996</v>
      </c>
      <c r="E81" s="269">
        <v>0.2879125341055872</v>
      </c>
      <c r="F81" s="269">
        <v>0.15555189720939572</v>
      </c>
      <c r="G81" s="270">
        <v>0.78033395563769492</v>
      </c>
      <c r="H81" s="270">
        <v>0.94373863184759688</v>
      </c>
      <c r="I81" s="269">
        <v>9.4858074731747261E-2</v>
      </c>
      <c r="J81" s="269">
        <v>0.4116087861322939</v>
      </c>
      <c r="K81" s="269">
        <v>5.5E-2</v>
      </c>
      <c r="L81" s="269">
        <v>0.28067166925935105</v>
      </c>
      <c r="M81" s="269">
        <v>7.9811806911007713E-2</v>
      </c>
      <c r="N81" s="270">
        <v>1.1661301455364754</v>
      </c>
      <c r="O81" s="270">
        <v>1.072671629219107</v>
      </c>
      <c r="P81" s="270">
        <v>3.2815362092121219</v>
      </c>
      <c r="Q81" s="270">
        <v>4.0638748800590418</v>
      </c>
      <c r="R81" s="270">
        <v>1.0608776649134781</v>
      </c>
      <c r="S81" s="270">
        <v>10.015502901810539</v>
      </c>
      <c r="T81" s="269">
        <v>9.3958615753230112E-2</v>
      </c>
      <c r="U81" s="269">
        <v>5.1803655272075054E-2</v>
      </c>
      <c r="V81" s="269">
        <v>1.5116725465492238E-3</v>
      </c>
      <c r="W81" s="269">
        <v>5.9835331655272899E-3</v>
      </c>
      <c r="X81" s="269">
        <v>0.352900093688783</v>
      </c>
      <c r="Y81" s="269">
        <v>0.12371482357484191</v>
      </c>
      <c r="Z81" s="269">
        <v>0.12371482357484187</v>
      </c>
      <c r="AA81" s="271">
        <v>0.2633054493508078</v>
      </c>
    </row>
    <row r="82" spans="1:27" ht="14">
      <c r="A82" s="268" t="s">
        <v>772</v>
      </c>
      <c r="B82" s="123">
        <v>13</v>
      </c>
      <c r="C82" s="269">
        <v>0.11900000000000001</v>
      </c>
      <c r="D82" s="269">
        <v>0.12855202477384006</v>
      </c>
      <c r="E82" s="269">
        <v>0.3342396344576759</v>
      </c>
      <c r="F82" s="269">
        <v>0.14205695165101007</v>
      </c>
      <c r="G82" s="270">
        <v>1.2886673829152329</v>
      </c>
      <c r="H82" s="270">
        <v>1.3276925338648697</v>
      </c>
      <c r="I82" s="269">
        <v>0.11766493651157327</v>
      </c>
      <c r="J82" s="269">
        <v>0.39374185918980237</v>
      </c>
      <c r="K82" s="269">
        <v>5.5E-2</v>
      </c>
      <c r="L82" s="269">
        <v>8.2687179007953762E-2</v>
      </c>
      <c r="M82" s="269">
        <v>0.11134640097735939</v>
      </c>
      <c r="N82" s="270">
        <v>2.9142709053503486</v>
      </c>
      <c r="O82" s="270">
        <v>3.2197253108411452</v>
      </c>
      <c r="P82" s="270">
        <v>20.228666883751565</v>
      </c>
      <c r="Q82" s="270">
        <v>25.052228696194703</v>
      </c>
      <c r="R82" s="270">
        <v>9.0441903847060985</v>
      </c>
      <c r="S82" s="270">
        <v>13.494158283376812</v>
      </c>
      <c r="T82" s="269">
        <v>0.24978584094939296</v>
      </c>
      <c r="U82" s="269">
        <v>8.4552047992059367E-3</v>
      </c>
      <c r="V82" s="269">
        <v>2.2399777105094363E-2</v>
      </c>
      <c r="W82" s="269">
        <v>0.48818130917890407</v>
      </c>
      <c r="X82" s="269">
        <v>0.36283302620850871</v>
      </c>
      <c r="Y82" s="269">
        <v>0.26914232272981153</v>
      </c>
      <c r="Z82" s="269">
        <v>0.26914232272981153</v>
      </c>
      <c r="AA82" s="271">
        <v>0.12841863962857086</v>
      </c>
    </row>
    <row r="83" spans="1:27" ht="14">
      <c r="A83" s="268" t="s">
        <v>773</v>
      </c>
      <c r="B83" s="123">
        <v>91</v>
      </c>
      <c r="C83" s="269">
        <v>0.30379758620689651</v>
      </c>
      <c r="D83" s="269">
        <v>0.25914280028922959</v>
      </c>
      <c r="E83" s="269">
        <v>0.21872362118463728</v>
      </c>
      <c r="F83" s="269">
        <v>0.15916868395647554</v>
      </c>
      <c r="G83" s="270">
        <v>1.3578802103729628</v>
      </c>
      <c r="H83" s="270">
        <v>1.363575730964357</v>
      </c>
      <c r="I83" s="269">
        <v>0.11979639841928282</v>
      </c>
      <c r="J83" s="269">
        <v>0.58709543871584413</v>
      </c>
      <c r="K83" s="269">
        <v>5.8800000000000005E-2</v>
      </c>
      <c r="L83" s="269">
        <v>4.5824628286418652E-2</v>
      </c>
      <c r="M83" s="269">
        <v>0.11632763909909853</v>
      </c>
      <c r="N83" s="270">
        <v>0.78139743738989276</v>
      </c>
      <c r="O83" s="270">
        <v>3.5922880547988676</v>
      </c>
      <c r="P83" s="270">
        <v>10.654085080406665</v>
      </c>
      <c r="Q83" s="270">
        <v>13.78633819467794</v>
      </c>
      <c r="R83" s="270">
        <v>3.7956325817017307</v>
      </c>
      <c r="S83" s="270">
        <v>105.43298269537888</v>
      </c>
      <c r="T83" s="269">
        <v>6.6824362083113348E-2</v>
      </c>
      <c r="U83" s="269">
        <v>0.13448757972934877</v>
      </c>
      <c r="V83" s="269">
        <v>0.14039023756413552</v>
      </c>
      <c r="W83" s="269">
        <v>0.67179783899472612</v>
      </c>
      <c r="X83" s="269">
        <v>0.22766341753018665</v>
      </c>
      <c r="Y83" s="269">
        <v>6.5514772970139145E-4</v>
      </c>
      <c r="Z83" s="269">
        <v>6.5514772970143298E-4</v>
      </c>
      <c r="AA83" s="271">
        <v>0.28970111829722173</v>
      </c>
    </row>
    <row r="84" spans="1:27" ht="14">
      <c r="A84" s="268" t="s">
        <v>774</v>
      </c>
      <c r="B84" s="123">
        <v>33</v>
      </c>
      <c r="C84" s="269">
        <v>0.25942999999999999</v>
      </c>
      <c r="D84" s="269">
        <v>-5.8531732843739352E-2</v>
      </c>
      <c r="E84" s="269">
        <v>-1.0250823148619595E-2</v>
      </c>
      <c r="F84" s="269">
        <v>0.19106183121096207</v>
      </c>
      <c r="G84" s="270">
        <v>1.416511407810549</v>
      </c>
      <c r="H84" s="270">
        <v>1.5513058877107246</v>
      </c>
      <c r="I84" s="269">
        <v>0.13094756973001703</v>
      </c>
      <c r="J84" s="269">
        <v>0.55243837546789154</v>
      </c>
      <c r="K84" s="269">
        <v>5.8800000000000005E-2</v>
      </c>
      <c r="L84" s="269">
        <v>0.15006072569661108</v>
      </c>
      <c r="M84" s="269">
        <v>0.11791516039134364</v>
      </c>
      <c r="N84" s="270">
        <v>0.66506973987158913</v>
      </c>
      <c r="O84" s="270">
        <v>6.3326128080935904</v>
      </c>
      <c r="P84" s="270">
        <v>14.835872625839691</v>
      </c>
      <c r="Q84" s="270" t="s">
        <v>96</v>
      </c>
      <c r="R84" s="270">
        <v>5.2093469544507194</v>
      </c>
      <c r="S84" s="270">
        <v>28.698253036649461</v>
      </c>
      <c r="T84" s="269">
        <v>0.11330412713427597</v>
      </c>
      <c r="U84" s="269">
        <v>6.4780861262625E-2</v>
      </c>
      <c r="V84" s="269">
        <v>0.11033018097918079</v>
      </c>
      <c r="W84" s="269" t="s">
        <v>96</v>
      </c>
      <c r="X84" s="269">
        <v>-0.15730842666696312</v>
      </c>
      <c r="Y84" s="269">
        <v>0</v>
      </c>
      <c r="Z84" s="269">
        <v>0</v>
      </c>
      <c r="AA84" s="271">
        <v>-1.670941277525544E-2</v>
      </c>
    </row>
    <row r="85" spans="1:27" ht="14">
      <c r="A85" s="268" t="s">
        <v>775</v>
      </c>
      <c r="B85" s="123">
        <v>390</v>
      </c>
      <c r="C85" s="269">
        <v>0.201011923076923</v>
      </c>
      <c r="D85" s="269">
        <v>0.21806980176649746</v>
      </c>
      <c r="E85" s="269">
        <v>0.22470721283664671</v>
      </c>
      <c r="F85" s="269">
        <v>0.17780321331389323</v>
      </c>
      <c r="G85" s="270">
        <v>1.4129709426977197</v>
      </c>
      <c r="H85" s="270">
        <v>1.4697712402478267</v>
      </c>
      <c r="I85" s="269">
        <v>0.1261044116707209</v>
      </c>
      <c r="J85" s="269">
        <v>0.52111210183577161</v>
      </c>
      <c r="K85" s="269">
        <v>5.8800000000000005E-2</v>
      </c>
      <c r="L85" s="269">
        <v>8.562961432885291E-2</v>
      </c>
      <c r="M85" s="269">
        <v>0.11908240552609259</v>
      </c>
      <c r="N85" s="270">
        <v>0.95920716659429495</v>
      </c>
      <c r="O85" s="270">
        <v>7.587550224240557</v>
      </c>
      <c r="P85" s="270">
        <v>21.327869033251581</v>
      </c>
      <c r="Q85" s="270">
        <v>31.832828872759528</v>
      </c>
      <c r="R85" s="270">
        <v>8.3878140324533863</v>
      </c>
      <c r="S85" s="270">
        <v>103.73573705984646</v>
      </c>
      <c r="T85" s="269">
        <v>0.13026992114930669</v>
      </c>
      <c r="U85" s="269">
        <v>8.1722212196603083E-2</v>
      </c>
      <c r="V85" s="269">
        <v>0.21305367709810255</v>
      </c>
      <c r="W85" s="269">
        <v>1.3763945807748532</v>
      </c>
      <c r="X85" s="269">
        <v>0.19683264162210642</v>
      </c>
      <c r="Y85" s="269">
        <v>0.34011176822892464</v>
      </c>
      <c r="Z85" s="269">
        <v>0.34011176822892464</v>
      </c>
      <c r="AA85" s="271">
        <v>0.24169896674237901</v>
      </c>
    </row>
    <row r="86" spans="1:27" ht="14">
      <c r="A86" s="268" t="s">
        <v>776</v>
      </c>
      <c r="B86" s="123">
        <v>28</v>
      </c>
      <c r="C86" s="269">
        <v>0.1520936</v>
      </c>
      <c r="D86" s="269">
        <v>0.19837279405275304</v>
      </c>
      <c r="E86" s="269">
        <v>0.48631538851966338</v>
      </c>
      <c r="F86" s="269">
        <v>0.20626448312357859</v>
      </c>
      <c r="G86" s="270">
        <v>1.2125474928571525</v>
      </c>
      <c r="H86" s="270">
        <v>1.3424843767995962</v>
      </c>
      <c r="I86" s="269">
        <v>0.11854357198189602</v>
      </c>
      <c r="J86" s="269">
        <v>0.38298957011173351</v>
      </c>
      <c r="K86" s="269">
        <v>5.5E-2</v>
      </c>
      <c r="L86" s="269">
        <v>0.22236540864885215</v>
      </c>
      <c r="M86" s="269">
        <v>0.10135615526221226</v>
      </c>
      <c r="N86" s="270">
        <v>2.8748481776829053</v>
      </c>
      <c r="O86" s="270">
        <v>0.67632769160090278</v>
      </c>
      <c r="P86" s="270">
        <v>2.9604690976503054</v>
      </c>
      <c r="Q86" s="270">
        <v>3.3903648016728862</v>
      </c>
      <c r="R86" s="270">
        <v>1.5077570630625767</v>
      </c>
      <c r="S86" s="270">
        <v>12.795287192941224</v>
      </c>
      <c r="T86" s="269">
        <v>0.19440238903246351</v>
      </c>
      <c r="U86" s="269">
        <v>4.0528385149315387E-2</v>
      </c>
      <c r="V86" s="269">
        <v>5.1297962917674897E-2</v>
      </c>
      <c r="W86" s="269">
        <v>0.48702789906679572</v>
      </c>
      <c r="X86" s="269">
        <v>0.53748067941265398</v>
      </c>
      <c r="Y86" s="269">
        <v>5.2465192388391764E-2</v>
      </c>
      <c r="Z86" s="269">
        <v>5.2465192388391757E-2</v>
      </c>
      <c r="AA86" s="271">
        <v>0.19890523188577286</v>
      </c>
    </row>
    <row r="87" spans="1:27" ht="14">
      <c r="A87" s="268" t="s">
        <v>777</v>
      </c>
      <c r="B87" s="123">
        <v>16</v>
      </c>
      <c r="C87" s="269">
        <v>0.1849777777777778</v>
      </c>
      <c r="D87" s="269">
        <v>0.14045963573882486</v>
      </c>
      <c r="E87" s="269">
        <v>6.1518831942779746E-2</v>
      </c>
      <c r="F87" s="269">
        <v>4.7446371619555242E-2</v>
      </c>
      <c r="G87" s="270">
        <v>0.71135842360803681</v>
      </c>
      <c r="H87" s="270">
        <v>1.0309737102652559</v>
      </c>
      <c r="I87" s="269">
        <v>0.10003983838975619</v>
      </c>
      <c r="J87" s="269">
        <v>0.51921047688999544</v>
      </c>
      <c r="K87" s="269">
        <v>5.8800000000000005E-2</v>
      </c>
      <c r="L87" s="269">
        <v>0.39450630773069012</v>
      </c>
      <c r="M87" s="269">
        <v>7.7971219291561963E-2</v>
      </c>
      <c r="N87" s="270">
        <v>0.52145758522578434</v>
      </c>
      <c r="O87" s="270">
        <v>3.1769575920264543</v>
      </c>
      <c r="P87" s="270">
        <v>8.7408928619052606</v>
      </c>
      <c r="Q87" s="270">
        <v>25.662492041051511</v>
      </c>
      <c r="R87" s="270">
        <v>2.1879318941731314</v>
      </c>
      <c r="S87" s="270">
        <v>30.246217685474839</v>
      </c>
      <c r="T87" s="269">
        <v>6.1437877786718699E-2</v>
      </c>
      <c r="U87" s="269">
        <v>0.17161754624729897</v>
      </c>
      <c r="V87" s="269">
        <v>1.0400480070954753E-2</v>
      </c>
      <c r="W87" s="269">
        <v>0.62186778246157948</v>
      </c>
      <c r="X87" s="269">
        <v>2.9708054224260538E-2</v>
      </c>
      <c r="Y87" s="269">
        <v>6.2773294962541096E-2</v>
      </c>
      <c r="Z87" s="269">
        <v>6.2773294962541137E-2</v>
      </c>
      <c r="AA87" s="271">
        <v>0.1227109614976522</v>
      </c>
    </row>
    <row r="88" spans="1:27" ht="14">
      <c r="A88" s="268" t="s">
        <v>778</v>
      </c>
      <c r="B88" s="123">
        <v>79</v>
      </c>
      <c r="C88" s="269">
        <v>3.5115849056603768E-2</v>
      </c>
      <c r="D88" s="269">
        <v>0.18340619780161901</v>
      </c>
      <c r="E88" s="269">
        <v>0.25986621816079664</v>
      </c>
      <c r="F88" s="269">
        <v>0.18446632886124401</v>
      </c>
      <c r="G88" s="270">
        <v>1.1784895771242725</v>
      </c>
      <c r="H88" s="270">
        <v>1.2331194872073334</v>
      </c>
      <c r="I88" s="269">
        <v>0.11204729754011561</v>
      </c>
      <c r="J88" s="269">
        <v>0.41348753948301459</v>
      </c>
      <c r="K88" s="269">
        <v>5.5E-2</v>
      </c>
      <c r="L88" s="269">
        <v>0.10457107348559717</v>
      </c>
      <c r="M88" s="269">
        <v>0.10464394813646649</v>
      </c>
      <c r="N88" s="270">
        <v>1.4179419448565018</v>
      </c>
      <c r="O88" s="270">
        <v>3.5614434610706187</v>
      </c>
      <c r="P88" s="270">
        <v>14.699355157441362</v>
      </c>
      <c r="Q88" s="270">
        <v>19.000536879308321</v>
      </c>
      <c r="R88" s="270">
        <v>5.2013339028049375</v>
      </c>
      <c r="S88" s="270">
        <v>36.727247846578237</v>
      </c>
      <c r="T88" s="269">
        <v>0.23107855060632893</v>
      </c>
      <c r="U88" s="269">
        <v>2.4601984851124619E-2</v>
      </c>
      <c r="V88" s="269">
        <v>3.5153674659288023E-2</v>
      </c>
      <c r="W88" s="269">
        <v>0.49937335390514059</v>
      </c>
      <c r="X88" s="269">
        <v>0.20129140471295251</v>
      </c>
      <c r="Y88" s="269">
        <v>0.51065304447136584</v>
      </c>
      <c r="Z88" s="269">
        <v>0.51065304447136584</v>
      </c>
      <c r="AA88" s="271">
        <v>0.19082942960445631</v>
      </c>
    </row>
    <row r="89" spans="1:27" ht="14">
      <c r="A89" s="268" t="s">
        <v>779</v>
      </c>
      <c r="B89" s="123">
        <v>49</v>
      </c>
      <c r="C89" s="269">
        <v>0.1681304347826087</v>
      </c>
      <c r="D89" s="269">
        <v>0.19983455140225229</v>
      </c>
      <c r="E89" s="269">
        <v>0.12376739217567063</v>
      </c>
      <c r="F89" s="269">
        <v>0.22104818421663627</v>
      </c>
      <c r="G89" s="270">
        <v>0.47390612503545576</v>
      </c>
      <c r="H89" s="270">
        <v>0.88226816528565966</v>
      </c>
      <c r="I89" s="269">
        <v>9.1206729017968183E-2</v>
      </c>
      <c r="J89" s="269">
        <v>0.55371695621592376</v>
      </c>
      <c r="K89" s="269">
        <v>5.8800000000000005E-2</v>
      </c>
      <c r="L89" s="269">
        <v>0.5406894051251091</v>
      </c>
      <c r="M89" s="269">
        <v>6.5736619727853246E-2</v>
      </c>
      <c r="N89" s="270">
        <v>0.66172943264450124</v>
      </c>
      <c r="O89" s="270">
        <v>2.1752246611284507</v>
      </c>
      <c r="P89" s="270">
        <v>5.9843541152342832</v>
      </c>
      <c r="Q89" s="270">
        <v>10.877670675991812</v>
      </c>
      <c r="R89" s="270">
        <v>1.2872958829659149</v>
      </c>
      <c r="S89" s="270">
        <v>145.85411391978104</v>
      </c>
      <c r="T89" s="269">
        <v>3.6739098538658686E-3</v>
      </c>
      <c r="U89" s="269">
        <v>0.15170847980907021</v>
      </c>
      <c r="V89" s="269">
        <v>5.7617506731433427E-2</v>
      </c>
      <c r="W89" s="269">
        <v>0.36159994195800516</v>
      </c>
      <c r="X89" s="269">
        <v>0.15757991803815463</v>
      </c>
      <c r="Y89" s="269">
        <v>0.51908621139657796</v>
      </c>
      <c r="Z89" s="269">
        <v>0.51908621139657796</v>
      </c>
      <c r="AA89" s="271">
        <v>0.20007496687469906</v>
      </c>
    </row>
    <row r="90" spans="1:27" ht="14">
      <c r="A90" s="268" t="s">
        <v>780</v>
      </c>
      <c r="B90" s="123">
        <v>15</v>
      </c>
      <c r="C90" s="269">
        <v>5.765E-2</v>
      </c>
      <c r="D90" s="269">
        <v>0.43764657386660305</v>
      </c>
      <c r="E90" s="269">
        <v>0.70880191137676474</v>
      </c>
      <c r="F90" s="269">
        <v>0.25215257842606509</v>
      </c>
      <c r="G90" s="270">
        <v>1.7442504521558875</v>
      </c>
      <c r="H90" s="270">
        <v>2.0004565028386407</v>
      </c>
      <c r="I90" s="269">
        <v>0.15762711626861525</v>
      </c>
      <c r="J90" s="269">
        <v>0.44059235658259677</v>
      </c>
      <c r="K90" s="269">
        <v>5.5E-2</v>
      </c>
      <c r="L90" s="269">
        <v>0.19390853485149315</v>
      </c>
      <c r="M90" s="269">
        <v>0.1350606001627262</v>
      </c>
      <c r="N90" s="270">
        <v>1.7836862713219102</v>
      </c>
      <c r="O90" s="270">
        <v>5.0465098709256733</v>
      </c>
      <c r="P90" s="270">
        <v>10.761389721102821</v>
      </c>
      <c r="Q90" s="270">
        <v>11.467667597500895</v>
      </c>
      <c r="R90" s="270" t="s">
        <v>96</v>
      </c>
      <c r="S90" s="270">
        <v>13.550731442270219</v>
      </c>
      <c r="T90" s="269">
        <v>0.11365806683826973</v>
      </c>
      <c r="U90" s="269">
        <v>2.2929900257818856E-2</v>
      </c>
      <c r="V90" s="269">
        <v>2.1105974212593085E-2</v>
      </c>
      <c r="W90" s="269">
        <v>7.8906399841948902E-2</v>
      </c>
      <c r="X90" s="269" t="s">
        <v>96</v>
      </c>
      <c r="Y90" s="269">
        <v>1.0717329039722374</v>
      </c>
      <c r="Z90" s="269">
        <v>1.0717329039722374</v>
      </c>
      <c r="AA90" s="271">
        <v>0.44061190099685843</v>
      </c>
    </row>
    <row r="91" spans="1:27" ht="14">
      <c r="A91" s="268" t="s">
        <v>781</v>
      </c>
      <c r="B91" s="123">
        <v>18</v>
      </c>
      <c r="C91" s="269">
        <v>0.14991818181818178</v>
      </c>
      <c r="D91" s="269">
        <v>9.3520310959021982E-2</v>
      </c>
      <c r="E91" s="269">
        <v>0.24195399230782733</v>
      </c>
      <c r="F91" s="269">
        <v>0.22166954631975314</v>
      </c>
      <c r="G91" s="270">
        <v>0.92459381899211512</v>
      </c>
      <c r="H91" s="270">
        <v>1.058265749430396</v>
      </c>
      <c r="I91" s="269">
        <v>0.10166098551616552</v>
      </c>
      <c r="J91" s="269">
        <v>0.28046286808958065</v>
      </c>
      <c r="K91" s="269">
        <v>5.5E-2</v>
      </c>
      <c r="L91" s="269">
        <v>0.22785975576835596</v>
      </c>
      <c r="M91" s="269">
        <v>8.7895753110726366E-2</v>
      </c>
      <c r="N91" s="270">
        <v>3.0857818119673657</v>
      </c>
      <c r="O91" s="270">
        <v>1.0825416705307049</v>
      </c>
      <c r="P91" s="270">
        <v>7.6537113434500652</v>
      </c>
      <c r="Q91" s="270">
        <v>11.544187954700289</v>
      </c>
      <c r="R91" s="270">
        <v>4.2524702951679947</v>
      </c>
      <c r="S91" s="270">
        <v>23.851971943925097</v>
      </c>
      <c r="T91" s="269">
        <v>7.2192914926226481E-2</v>
      </c>
      <c r="U91" s="269">
        <v>4.7303289099368033E-2</v>
      </c>
      <c r="V91" s="269">
        <v>2.3385069645266855E-2</v>
      </c>
      <c r="W91" s="269">
        <v>0.50479787757270056</v>
      </c>
      <c r="X91" s="269">
        <v>0.36781742659330763</v>
      </c>
      <c r="Y91" s="269">
        <v>0.3344890410678481</v>
      </c>
      <c r="Z91" s="269">
        <v>0.33448904106784805</v>
      </c>
      <c r="AA91" s="271">
        <v>9.3773219525382645E-2</v>
      </c>
    </row>
    <row r="92" spans="1:27" ht="14">
      <c r="A92" s="268" t="s">
        <v>782</v>
      </c>
      <c r="B92" s="123">
        <v>4</v>
      </c>
      <c r="C92" s="269">
        <v>3.783333333333333E-2</v>
      </c>
      <c r="D92" s="269">
        <v>0.40063130015646781</v>
      </c>
      <c r="E92" s="269">
        <v>0.16937779933759034</v>
      </c>
      <c r="F92" s="269">
        <v>0.2228821337940716</v>
      </c>
      <c r="G92" s="270">
        <v>0.93238153388768741</v>
      </c>
      <c r="H92" s="270">
        <v>1.1078308621714459</v>
      </c>
      <c r="I92" s="269">
        <v>0.10460515321298389</v>
      </c>
      <c r="J92" s="269">
        <v>0.16341269092106181</v>
      </c>
      <c r="K92" s="269">
        <v>4.7300000000000002E-2</v>
      </c>
      <c r="L92" s="269">
        <v>0.21538599902572655</v>
      </c>
      <c r="M92" s="269">
        <v>8.9715486100403807E-2</v>
      </c>
      <c r="N92" s="270">
        <v>0.50933785320283187</v>
      </c>
      <c r="O92" s="270">
        <v>6.3236145780689155</v>
      </c>
      <c r="P92" s="270">
        <v>12.476631341363998</v>
      </c>
      <c r="Q92" s="270">
        <v>15.865279366688831</v>
      </c>
      <c r="R92" s="270">
        <v>6.7532256135296347</v>
      </c>
      <c r="S92" s="270">
        <v>17.861577963998506</v>
      </c>
      <c r="T92" s="269">
        <v>1.3241792225468774E-2</v>
      </c>
      <c r="U92" s="269">
        <v>0.14796776026105116</v>
      </c>
      <c r="V92" s="269">
        <v>5.5810927929796944E-2</v>
      </c>
      <c r="W92" s="269">
        <v>0.18857241896280746</v>
      </c>
      <c r="X92" s="269">
        <v>0.33555328592204903</v>
      </c>
      <c r="Y92" s="269">
        <v>0.35879470923219348</v>
      </c>
      <c r="Z92" s="269">
        <v>0.35879470923219348</v>
      </c>
      <c r="AA92" s="271">
        <v>0.39858198723850696</v>
      </c>
    </row>
    <row r="93" spans="1:27" ht="14">
      <c r="A93" s="268" t="s">
        <v>783</v>
      </c>
      <c r="B93" s="123">
        <v>35</v>
      </c>
      <c r="C93" s="269">
        <v>0.14159818181818185</v>
      </c>
      <c r="D93" s="269">
        <v>8.9289086406886917E-2</v>
      </c>
      <c r="E93" s="269">
        <v>0.13529236520773816</v>
      </c>
      <c r="F93" s="269">
        <v>0.24436980579597808</v>
      </c>
      <c r="G93" s="270">
        <v>1.232855746839977</v>
      </c>
      <c r="H93" s="270">
        <v>1.5451244708853058</v>
      </c>
      <c r="I93" s="269">
        <v>0.13058039357058715</v>
      </c>
      <c r="J93" s="269">
        <v>0.41171324567018758</v>
      </c>
      <c r="K93" s="269">
        <v>5.5E-2</v>
      </c>
      <c r="L93" s="269">
        <v>0.30513857374628695</v>
      </c>
      <c r="M93" s="269">
        <v>0.10332224468426371</v>
      </c>
      <c r="N93" s="270">
        <v>1.6609808041341676</v>
      </c>
      <c r="O93" s="270">
        <v>1.4513374895378339</v>
      </c>
      <c r="P93" s="270">
        <v>6.3383734793169006</v>
      </c>
      <c r="Q93" s="270">
        <v>11.6361932152168</v>
      </c>
      <c r="R93" s="270">
        <v>3.5261511856041166</v>
      </c>
      <c r="S93" s="270">
        <v>10.280924299605571</v>
      </c>
      <c r="T93" s="269">
        <v>5.4419109231104372E-2</v>
      </c>
      <c r="U93" s="269">
        <v>0.12294170091825792</v>
      </c>
      <c r="V93" s="269">
        <v>0.11041328797291604</v>
      </c>
      <c r="W93" s="269">
        <v>1.9266562984152134</v>
      </c>
      <c r="X93" s="269">
        <v>4.05361647492955E-2</v>
      </c>
      <c r="Y93" s="269">
        <v>0.35595744670464841</v>
      </c>
      <c r="Z93" s="269">
        <v>0.35595744670464846</v>
      </c>
      <c r="AA93" s="271">
        <v>9.5020379305350858E-2</v>
      </c>
    </row>
    <row r="94" spans="1:27" ht="14">
      <c r="A94" s="268" t="s">
        <v>784</v>
      </c>
      <c r="B94" s="123">
        <v>15</v>
      </c>
      <c r="C94" s="269">
        <v>4.0473333333333326E-2</v>
      </c>
      <c r="D94" s="269">
        <v>0.18191380915780603</v>
      </c>
      <c r="E94" s="269">
        <v>5.8204550746344036E-2</v>
      </c>
      <c r="F94" s="269">
        <v>0.16649618768328447</v>
      </c>
      <c r="G94" s="270">
        <v>0.40946178198765182</v>
      </c>
      <c r="H94" s="270">
        <v>0.63513941960164833</v>
      </c>
      <c r="I94" s="269">
        <v>7.6527281524337909E-2</v>
      </c>
      <c r="J94" s="269">
        <v>0.1497076220101746</v>
      </c>
      <c r="K94" s="269">
        <v>4.7300000000000002E-2</v>
      </c>
      <c r="L94" s="269">
        <v>0.42586480270208965</v>
      </c>
      <c r="M94" s="269">
        <v>5.9044559752505103E-2</v>
      </c>
      <c r="N94" s="270">
        <v>0.37229545825458882</v>
      </c>
      <c r="O94" s="270">
        <v>4.283399946079026</v>
      </c>
      <c r="P94" s="270">
        <v>13.745257053013487</v>
      </c>
      <c r="Q94" s="270">
        <v>23.7623070921024</v>
      </c>
      <c r="R94" s="270">
        <v>1.9179993201105874</v>
      </c>
      <c r="S94" s="270">
        <v>20.529372149088115</v>
      </c>
      <c r="T94" s="269">
        <v>8.922966654204853E-2</v>
      </c>
      <c r="U94" s="269">
        <v>0.32903516939936395</v>
      </c>
      <c r="V94" s="269">
        <v>0.19971639703486291</v>
      </c>
      <c r="W94" s="269">
        <v>1.5034787791370685</v>
      </c>
      <c r="X94" s="269">
        <v>0.11241118642718625</v>
      </c>
      <c r="Y94" s="269">
        <v>0.59281009443694932</v>
      </c>
      <c r="Z94" s="269">
        <v>0.59281009443694932</v>
      </c>
      <c r="AA94" s="271">
        <v>0.18013952427816951</v>
      </c>
    </row>
    <row r="95" spans="1:27" ht="14">
      <c r="A95" s="268" t="s">
        <v>785</v>
      </c>
      <c r="B95" s="123">
        <v>16</v>
      </c>
      <c r="C95" s="269">
        <v>0.14351818181818179</v>
      </c>
      <c r="D95" s="269">
        <v>0.29510813036713346</v>
      </c>
      <c r="E95" s="269">
        <v>6.9067801827997419E-2</v>
      </c>
      <c r="F95" s="269">
        <v>0.18061405935116764</v>
      </c>
      <c r="G95" s="270">
        <v>0.87252087534243938</v>
      </c>
      <c r="H95" s="270">
        <v>1.1524153536245123</v>
      </c>
      <c r="I95" s="269">
        <v>0.10725347200529603</v>
      </c>
      <c r="J95" s="269">
        <v>0.27961318235637356</v>
      </c>
      <c r="K95" s="269">
        <v>5.5E-2</v>
      </c>
      <c r="L95" s="269">
        <v>0.30263279217507999</v>
      </c>
      <c r="M95" s="269">
        <v>8.7278656979083574E-2</v>
      </c>
      <c r="N95" s="270">
        <v>0.25686429661316262</v>
      </c>
      <c r="O95" s="270">
        <v>9.1829445772175315</v>
      </c>
      <c r="P95" s="270">
        <v>20.002976875109358</v>
      </c>
      <c r="Q95" s="270">
        <v>31.139459378884858</v>
      </c>
      <c r="R95" s="270">
        <v>3.0872029616902905</v>
      </c>
      <c r="S95" s="270">
        <v>35.131453767610019</v>
      </c>
      <c r="T95" s="269">
        <v>0.11821847966647889</v>
      </c>
      <c r="U95" s="269">
        <v>0.50557117431877918</v>
      </c>
      <c r="V95" s="269">
        <v>0.40921399435778089</v>
      </c>
      <c r="W95" s="269">
        <v>1.7868875303324088</v>
      </c>
      <c r="X95" s="269">
        <v>0.16474700015176275</v>
      </c>
      <c r="Y95" s="269">
        <v>0.45388865484163082</v>
      </c>
      <c r="Z95" s="269">
        <v>0.34685422173962976</v>
      </c>
      <c r="AA95" s="271">
        <v>0.2936978061206455</v>
      </c>
    </row>
  </sheetData>
  <phoneticPr fontId="4"/>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5"/>
  <sheetViews>
    <sheetView workbookViewId="0">
      <selection activeCell="O113" sqref="O113"/>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306" customFormat="1" ht="84">
      <c r="A1" s="265" t="s">
        <v>94</v>
      </c>
      <c r="B1" s="212" t="s">
        <v>171</v>
      </c>
      <c r="C1" s="266" t="s">
        <v>159</v>
      </c>
      <c r="D1" s="266" t="s">
        <v>638</v>
      </c>
      <c r="E1" s="266" t="s">
        <v>178</v>
      </c>
      <c r="F1" s="212" t="s">
        <v>160</v>
      </c>
      <c r="G1" s="212" t="s">
        <v>208</v>
      </c>
      <c r="H1" s="212" t="s">
        <v>161</v>
      </c>
      <c r="I1" s="212" t="s">
        <v>162</v>
      </c>
      <c r="J1" s="212" t="s">
        <v>163</v>
      </c>
      <c r="K1" s="212" t="s">
        <v>164</v>
      </c>
      <c r="L1" s="212" t="s">
        <v>165</v>
      </c>
      <c r="M1" s="212" t="s">
        <v>144</v>
      </c>
      <c r="N1" s="267" t="s">
        <v>97</v>
      </c>
      <c r="O1" s="212" t="s">
        <v>166</v>
      </c>
      <c r="P1" s="212" t="s">
        <v>167</v>
      </c>
      <c r="Q1" s="212" t="s">
        <v>168</v>
      </c>
      <c r="R1" s="212" t="s">
        <v>169</v>
      </c>
      <c r="S1" s="212" t="s">
        <v>170</v>
      </c>
      <c r="T1" s="212" t="s">
        <v>494</v>
      </c>
      <c r="U1" s="212" t="s">
        <v>495</v>
      </c>
      <c r="V1" s="212" t="s">
        <v>496</v>
      </c>
      <c r="W1" s="212" t="s">
        <v>497</v>
      </c>
      <c r="X1" s="265" t="s">
        <v>481</v>
      </c>
      <c r="Y1" s="265" t="s">
        <v>498</v>
      </c>
      <c r="Z1" s="265" t="s">
        <v>499</v>
      </c>
      <c r="AA1" s="212" t="s">
        <v>645</v>
      </c>
    </row>
    <row r="2" spans="1:27" s="237" customFormat="1">
      <c r="A2" s="268" t="s">
        <v>95</v>
      </c>
      <c r="B2" s="123">
        <v>362</v>
      </c>
      <c r="C2" s="269">
        <v>7.349679425837323E-2</v>
      </c>
      <c r="D2" s="269">
        <v>9.0308890940185002E-2</v>
      </c>
      <c r="E2" s="269">
        <v>0.21338723126336392</v>
      </c>
      <c r="F2" s="269">
        <v>0.25072105287374769</v>
      </c>
      <c r="G2" s="270">
        <v>1.1743473424289956</v>
      </c>
      <c r="H2" s="270">
        <v>1.2935834925393561</v>
      </c>
      <c r="I2" s="269">
        <v>0.14202796270464063</v>
      </c>
      <c r="J2" s="269">
        <v>0.39695739619251297</v>
      </c>
      <c r="K2" s="269">
        <v>6.9500000000000006E-2</v>
      </c>
      <c r="L2" s="269">
        <v>0.26559116619465917</v>
      </c>
      <c r="M2" s="269">
        <v>0.11821144332952692</v>
      </c>
      <c r="N2" s="270">
        <v>2.7111386724556512</v>
      </c>
      <c r="O2" s="270">
        <v>1.5118171161470773</v>
      </c>
      <c r="P2" s="270">
        <v>10.549458319666552</v>
      </c>
      <c r="Q2" s="270">
        <v>15.504367980070299</v>
      </c>
      <c r="R2" s="270">
        <v>2.3354620711493479</v>
      </c>
      <c r="S2" s="270">
        <v>39.759159058984224</v>
      </c>
      <c r="T2" s="269">
        <v>-2.6059629574481019E-2</v>
      </c>
      <c r="U2" s="269">
        <v>2.1484748482409471E-2</v>
      </c>
      <c r="V2" s="269">
        <v>7.2159828874774857E-3</v>
      </c>
      <c r="W2" s="269">
        <v>0.27774109940881886</v>
      </c>
      <c r="X2" s="269">
        <v>0.10200864604262225</v>
      </c>
      <c r="Y2" s="269">
        <v>0.44451143385934094</v>
      </c>
      <c r="Z2" s="269">
        <v>0.444511433859341</v>
      </c>
      <c r="AA2" s="271">
        <v>9.2224502832059602E-2</v>
      </c>
    </row>
    <row r="3" spans="1:27" s="237" customFormat="1">
      <c r="A3" s="268" t="s">
        <v>695</v>
      </c>
      <c r="B3" s="123">
        <v>278</v>
      </c>
      <c r="C3" s="269">
        <v>7.3714201183431957E-2</v>
      </c>
      <c r="D3" s="269">
        <v>8.0244040953254395E-2</v>
      </c>
      <c r="E3" s="269">
        <v>0.12143702063274998</v>
      </c>
      <c r="F3" s="269">
        <v>0.16363578286229677</v>
      </c>
      <c r="G3" s="270">
        <v>1.0573692747052328</v>
      </c>
      <c r="H3" s="270">
        <v>1.1580552633554024</v>
      </c>
      <c r="I3" s="269">
        <v>0.13121281001576113</v>
      </c>
      <c r="J3" s="269">
        <v>0.36229340257411924</v>
      </c>
      <c r="K3" s="269">
        <v>6.9500000000000006E-2</v>
      </c>
      <c r="L3" s="269">
        <v>0.18855316790308613</v>
      </c>
      <c r="M3" s="269">
        <v>0.11634379756383052</v>
      </c>
      <c r="N3" s="270">
        <v>1.6921275153858071</v>
      </c>
      <c r="O3" s="270">
        <v>2.2626356260667349</v>
      </c>
      <c r="P3" s="270">
        <v>15.266315053274221</v>
      </c>
      <c r="Q3" s="270">
        <v>24.545448469832731</v>
      </c>
      <c r="R3" s="270">
        <v>4.3573233797524988</v>
      </c>
      <c r="S3" s="270">
        <v>69.873885510145371</v>
      </c>
      <c r="T3" s="269">
        <v>0.42343101384561821</v>
      </c>
      <c r="U3" s="269">
        <v>3.3915170439337512E-2</v>
      </c>
      <c r="V3" s="269">
        <v>9.3530759960407574E-3</v>
      </c>
      <c r="W3" s="269">
        <v>0.41378426559560244</v>
      </c>
      <c r="X3" s="269">
        <v>8.0355181939871512E-2</v>
      </c>
      <c r="Y3" s="269">
        <v>0.72951493462206618</v>
      </c>
      <c r="Z3" s="269">
        <v>0.72951493462206618</v>
      </c>
      <c r="AA3" s="271">
        <v>7.9981930247242136E-2</v>
      </c>
    </row>
    <row r="4" spans="1:27" s="237" customFormat="1">
      <c r="A4" s="268" t="s">
        <v>696</v>
      </c>
      <c r="B4" s="123">
        <v>155</v>
      </c>
      <c r="C4" s="269">
        <v>-2.4202561983471073E-2</v>
      </c>
      <c r="D4" s="269">
        <v>1.2353378911390047E-2</v>
      </c>
      <c r="E4" s="269">
        <v>9.0355252665947575E-3</v>
      </c>
      <c r="F4" s="269">
        <v>0.1308370077254517</v>
      </c>
      <c r="G4" s="270">
        <v>0.76161422717292737</v>
      </c>
      <c r="H4" s="270">
        <v>1.2354206917515256</v>
      </c>
      <c r="I4" s="269">
        <v>0.13738657120177172</v>
      </c>
      <c r="J4" s="269">
        <v>0.30863311861967929</v>
      </c>
      <c r="K4" s="269">
        <v>6.9500000000000006E-2</v>
      </c>
      <c r="L4" s="269">
        <v>0.52376822281143809</v>
      </c>
      <c r="M4" s="269">
        <v>9.2849395821210656E-2</v>
      </c>
      <c r="N4" s="270">
        <v>0.80542277986245103</v>
      </c>
      <c r="O4" s="270">
        <v>1.9367510184926524</v>
      </c>
      <c r="P4" s="270">
        <v>10.980475195113629</v>
      </c>
      <c r="Q4" s="270">
        <v>106.6657342055652</v>
      </c>
      <c r="R4" s="270">
        <v>2.9382894788056628</v>
      </c>
      <c r="S4" s="270">
        <v>75.856092154903067</v>
      </c>
      <c r="T4" s="269">
        <v>-3.5817592352555154E-2</v>
      </c>
      <c r="U4" s="269">
        <v>9.6693065490875751E-2</v>
      </c>
      <c r="V4" s="269">
        <v>3.2559147510088392E-2</v>
      </c>
      <c r="W4" s="269">
        <v>9.5547125985183889</v>
      </c>
      <c r="X4" s="269">
        <v>-9.3242946827625517E-2</v>
      </c>
      <c r="Y4" s="269">
        <v>4.4191751889956421E-3</v>
      </c>
      <c r="Z4" s="269">
        <v>4.4191751889955944E-3</v>
      </c>
      <c r="AA4" s="271">
        <v>1.2274593703366197E-2</v>
      </c>
    </row>
    <row r="5" spans="1:27" s="237" customFormat="1">
      <c r="A5" s="268" t="s">
        <v>697</v>
      </c>
      <c r="B5" s="123">
        <v>1146</v>
      </c>
      <c r="C5" s="269">
        <v>4.6189893238434081E-2</v>
      </c>
      <c r="D5" s="269">
        <v>0.14743627276755109</v>
      </c>
      <c r="E5" s="269">
        <v>0.20093422274465472</v>
      </c>
      <c r="F5" s="269">
        <v>0.23781863623580107</v>
      </c>
      <c r="G5" s="270">
        <v>0.84193602052433447</v>
      </c>
      <c r="H5" s="270">
        <v>0.90237888995411852</v>
      </c>
      <c r="I5" s="269">
        <v>0.11080983541833865</v>
      </c>
      <c r="J5" s="269">
        <v>0.34781354412233134</v>
      </c>
      <c r="K5" s="269">
        <v>6.9500000000000006E-2</v>
      </c>
      <c r="L5" s="269">
        <v>0.15361852401854517</v>
      </c>
      <c r="M5" s="269">
        <v>0.10182999002758587</v>
      </c>
      <c r="N5" s="270">
        <v>1.5806190152148958</v>
      </c>
      <c r="O5" s="270">
        <v>2.3572313228368644</v>
      </c>
      <c r="P5" s="270">
        <v>12.584665934703455</v>
      </c>
      <c r="Q5" s="270">
        <v>15.486602949046972</v>
      </c>
      <c r="R5" s="270">
        <v>3.6309023837854668</v>
      </c>
      <c r="S5" s="270">
        <v>73.56324390422597</v>
      </c>
      <c r="T5" s="269">
        <v>0.21493944316933722</v>
      </c>
      <c r="U5" s="269">
        <v>3.6609584078790343E-2</v>
      </c>
      <c r="V5" s="269">
        <v>1.6666737691856361E-2</v>
      </c>
      <c r="W5" s="269">
        <v>0.4898760232758958</v>
      </c>
      <c r="X5" s="269">
        <v>0.15307722601657631</v>
      </c>
      <c r="Y5" s="269">
        <v>0.4288308576857397</v>
      </c>
      <c r="Z5" s="269">
        <v>0.4288308576857397</v>
      </c>
      <c r="AA5" s="271">
        <v>0.14943657631895677</v>
      </c>
    </row>
    <row r="6" spans="1:27" s="237" customFormat="1">
      <c r="A6" s="268" t="s">
        <v>506</v>
      </c>
      <c r="B6" s="123">
        <v>154</v>
      </c>
      <c r="C6" s="269">
        <v>8.2065959595959595E-2</v>
      </c>
      <c r="D6" s="269">
        <v>6.584576381061448E-2</v>
      </c>
      <c r="E6" s="269">
        <v>5.3357693453791086E-2</v>
      </c>
      <c r="F6" s="269">
        <v>0.21365745874896358</v>
      </c>
      <c r="G6" s="270">
        <v>1.0338355926371079</v>
      </c>
      <c r="H6" s="270">
        <v>1.3526231349119202</v>
      </c>
      <c r="I6" s="269">
        <v>0.14673932616597124</v>
      </c>
      <c r="J6" s="269">
        <v>0.33896789399772925</v>
      </c>
      <c r="K6" s="269">
        <v>6.9500000000000006E-2</v>
      </c>
      <c r="L6" s="269">
        <v>0.42427592940792425</v>
      </c>
      <c r="M6" s="269">
        <v>0.10669405268100901</v>
      </c>
      <c r="N6" s="270">
        <v>0.92471336879470623</v>
      </c>
      <c r="O6" s="270">
        <v>1.082392518093318</v>
      </c>
      <c r="P6" s="270">
        <v>9.2030884541139262</v>
      </c>
      <c r="Q6" s="270">
        <v>15.835554573844876</v>
      </c>
      <c r="R6" s="270">
        <v>1.2924319609024459</v>
      </c>
      <c r="S6" s="270">
        <v>27.781838175350082</v>
      </c>
      <c r="T6" s="269">
        <v>7.9713074350257086E-3</v>
      </c>
      <c r="U6" s="269">
        <v>6.0423265071670167E-2</v>
      </c>
      <c r="V6" s="269">
        <v>2.7560794421056058E-2</v>
      </c>
      <c r="W6" s="269">
        <v>0.501947218801582</v>
      </c>
      <c r="X6" s="269">
        <v>0.11518174528970851</v>
      </c>
      <c r="Y6" s="269">
        <v>0.22505595545281412</v>
      </c>
      <c r="Z6" s="269">
        <v>0.22505595545281409</v>
      </c>
      <c r="AA6" s="271">
        <v>6.5170323760650503E-2</v>
      </c>
    </row>
    <row r="7" spans="1:27" s="237" customFormat="1">
      <c r="A7" s="268" t="s">
        <v>698</v>
      </c>
      <c r="B7" s="123">
        <v>746</v>
      </c>
      <c r="C7" s="269">
        <v>5.157986111111109E-2</v>
      </c>
      <c r="D7" s="269">
        <v>3.6479009561434891E-2</v>
      </c>
      <c r="E7" s="269">
        <v>4.222860068434426E-2</v>
      </c>
      <c r="F7" s="269">
        <v>0.25746757422962119</v>
      </c>
      <c r="G7" s="270">
        <v>1.2875467841381958</v>
      </c>
      <c r="H7" s="270">
        <v>1.4130101599580891</v>
      </c>
      <c r="I7" s="269">
        <v>0.1515582107646555</v>
      </c>
      <c r="J7" s="269">
        <v>0.31499751482799093</v>
      </c>
      <c r="K7" s="269">
        <v>6.9500000000000006E-2</v>
      </c>
      <c r="L7" s="269">
        <v>0.26055904721279227</v>
      </c>
      <c r="M7" s="269">
        <v>0.12570974732398635</v>
      </c>
      <c r="N7" s="270">
        <v>1.4689858860581844</v>
      </c>
      <c r="O7" s="270">
        <v>0.8305830591776443</v>
      </c>
      <c r="P7" s="270">
        <v>9.4666196581639355</v>
      </c>
      <c r="Q7" s="270">
        <v>21.860840601324096</v>
      </c>
      <c r="R7" s="270">
        <v>1.3917099071259258</v>
      </c>
      <c r="S7" s="270">
        <v>39.301868735316567</v>
      </c>
      <c r="T7" s="269">
        <v>0.13142619927912766</v>
      </c>
      <c r="U7" s="269">
        <v>5.1411946122316261E-2</v>
      </c>
      <c r="V7" s="269">
        <v>3.1668608532252063E-2</v>
      </c>
      <c r="W7" s="269">
        <v>2.0647634316505332</v>
      </c>
      <c r="X7" s="269">
        <v>5.2512079188338168E-2</v>
      </c>
      <c r="Y7" s="269">
        <v>0.51852413385931106</v>
      </c>
      <c r="Z7" s="269">
        <v>0.51852413385931106</v>
      </c>
      <c r="AA7" s="271">
        <v>3.4943488463797939E-2</v>
      </c>
    </row>
    <row r="8" spans="1:27" s="237" customFormat="1">
      <c r="A8" s="268" t="s">
        <v>699</v>
      </c>
      <c r="B8" s="123">
        <v>596</v>
      </c>
      <c r="C8" s="269">
        <v>0.10534848197343455</v>
      </c>
      <c r="D8" s="269">
        <v>4.1764766200202448E-5</v>
      </c>
      <c r="E8" s="269">
        <v>4.1684616383614826E-5</v>
      </c>
      <c r="F8" s="269">
        <v>0.18677332609619868</v>
      </c>
      <c r="G8" s="270">
        <v>0.43761147216067758</v>
      </c>
      <c r="H8" s="270">
        <v>0.87521547410293199</v>
      </c>
      <c r="I8" s="269">
        <v>0.10864219483341397</v>
      </c>
      <c r="J8" s="269">
        <v>0.21675380851065218</v>
      </c>
      <c r="K8" s="269">
        <v>6.1800000000000001E-2</v>
      </c>
      <c r="L8" s="269">
        <v>0.75025597377956421</v>
      </c>
      <c r="M8" s="269">
        <v>6.2060110743097238E-2</v>
      </c>
      <c r="N8" s="270">
        <v>0.14023331329651406</v>
      </c>
      <c r="O8" s="270">
        <v>6.6890452219127399</v>
      </c>
      <c r="P8" s="270" t="s">
        <v>96</v>
      </c>
      <c r="Q8" s="270" t="s">
        <v>96</v>
      </c>
      <c r="R8" s="270">
        <v>0.81285190398027118</v>
      </c>
      <c r="S8" s="270">
        <v>13.739133910974902</v>
      </c>
      <c r="T8" s="269" t="s">
        <v>96</v>
      </c>
      <c r="U8" s="269">
        <v>3.2404484108969081E-2</v>
      </c>
      <c r="V8" s="269">
        <v>3.4360841059937627E-2</v>
      </c>
      <c r="W8" s="269">
        <v>84.189822596779209</v>
      </c>
      <c r="X8" s="269">
        <v>1.033504286307702E-2</v>
      </c>
      <c r="Y8" s="269">
        <v>0.33483400470597052</v>
      </c>
      <c r="Z8" s="269">
        <v>0.33483400470597058</v>
      </c>
      <c r="AA8" s="271">
        <v>3.7602747649597004E-4</v>
      </c>
    </row>
    <row r="9" spans="1:27" s="237" customFormat="1">
      <c r="A9" s="268" t="s">
        <v>700</v>
      </c>
      <c r="B9" s="123">
        <v>800</v>
      </c>
      <c r="C9" s="269">
        <v>9.0058796992481246E-2</v>
      </c>
      <c r="D9" s="269">
        <v>1.0047331251049651E-4</v>
      </c>
      <c r="E9" s="269">
        <v>-3.6680349455871644E-5</v>
      </c>
      <c r="F9" s="269">
        <v>0.19825798888305474</v>
      </c>
      <c r="G9" s="270">
        <v>0.35775658622823059</v>
      </c>
      <c r="H9" s="270">
        <v>0.56387028942928497</v>
      </c>
      <c r="I9" s="269">
        <v>8.3796849096456932E-2</v>
      </c>
      <c r="J9" s="269">
        <v>0.17830180346656344</v>
      </c>
      <c r="K9" s="269">
        <v>6.1800000000000001E-2</v>
      </c>
      <c r="L9" s="269">
        <v>0.6591944805456077</v>
      </c>
      <c r="M9" s="269">
        <v>5.9246528980610717E-2</v>
      </c>
      <c r="N9" s="270">
        <v>0.19352947870025708</v>
      </c>
      <c r="O9" s="270">
        <v>5.5045747643571437</v>
      </c>
      <c r="P9" s="270" t="s">
        <v>96</v>
      </c>
      <c r="Q9" s="270" t="s">
        <v>96</v>
      </c>
      <c r="R9" s="270">
        <v>0.89188417325568681</v>
      </c>
      <c r="S9" s="270">
        <v>20.711981486924902</v>
      </c>
      <c r="T9" s="269" t="s">
        <v>96</v>
      </c>
      <c r="U9" s="269">
        <v>3.158023938571787E-2</v>
      </c>
      <c r="V9" s="269">
        <v>-1.3115480793971833E-2</v>
      </c>
      <c r="W9" s="269" t="s">
        <v>96</v>
      </c>
      <c r="X9" s="269">
        <v>9.0436939806665881E-2</v>
      </c>
      <c r="Y9" s="269">
        <v>0.27524500019645759</v>
      </c>
      <c r="Z9" s="269">
        <v>0.27524500019645759</v>
      </c>
      <c r="AA9" s="271">
        <v>-2.5409848459255068E-4</v>
      </c>
    </row>
    <row r="10" spans="1:27" s="237" customFormat="1">
      <c r="A10" s="268" t="s">
        <v>701</v>
      </c>
      <c r="B10" s="123">
        <v>220</v>
      </c>
      <c r="C10" s="269">
        <v>9.1329397590361447E-2</v>
      </c>
      <c r="D10" s="269">
        <v>0.21975004183319735</v>
      </c>
      <c r="E10" s="269">
        <v>0.13930925191772361</v>
      </c>
      <c r="F10" s="269">
        <v>0.23813766776644182</v>
      </c>
      <c r="G10" s="270">
        <v>0.81071819316509697</v>
      </c>
      <c r="H10" s="270">
        <v>0.87215644318047292</v>
      </c>
      <c r="I10" s="269">
        <v>0.10839808416580174</v>
      </c>
      <c r="J10" s="269">
        <v>0.28571957625212252</v>
      </c>
      <c r="K10" s="269">
        <v>6.9500000000000006E-2</v>
      </c>
      <c r="L10" s="269">
        <v>0.14071582488908002</v>
      </c>
      <c r="M10" s="269">
        <v>0.10051184388279663</v>
      </c>
      <c r="N10" s="270">
        <v>0.76562332653538567</v>
      </c>
      <c r="O10" s="270">
        <v>4.3322948155441683</v>
      </c>
      <c r="P10" s="270">
        <v>16.172276414424015</v>
      </c>
      <c r="Q10" s="270">
        <v>19.503078091482607</v>
      </c>
      <c r="R10" s="270">
        <v>3.5736745890053765</v>
      </c>
      <c r="S10" s="270">
        <v>69.351610119440252</v>
      </c>
      <c r="T10" s="269">
        <v>8.6871480757296365E-2</v>
      </c>
      <c r="U10" s="269">
        <v>4.5801360272714885E-2</v>
      </c>
      <c r="V10" s="269">
        <v>9.4143632278324684E-3</v>
      </c>
      <c r="W10" s="269">
        <v>1.6495762907882471E-2</v>
      </c>
      <c r="X10" s="269">
        <v>0.14498308042811484</v>
      </c>
      <c r="Y10" s="269">
        <v>0.41804095988813733</v>
      </c>
      <c r="Z10" s="269">
        <v>0.41804095988813739</v>
      </c>
      <c r="AA10" s="271">
        <v>0.21965850488954478</v>
      </c>
    </row>
    <row r="11" spans="1:27" s="237" customFormat="1">
      <c r="A11" s="268" t="s">
        <v>702</v>
      </c>
      <c r="B11" s="123">
        <v>100</v>
      </c>
      <c r="C11" s="269">
        <v>9.0173050847457623E-2</v>
      </c>
      <c r="D11" s="269">
        <v>0.16549489068571271</v>
      </c>
      <c r="E11" s="269">
        <v>0.22610954818560502</v>
      </c>
      <c r="F11" s="269">
        <v>0.19967869658810308</v>
      </c>
      <c r="G11" s="270">
        <v>0.79471832647132434</v>
      </c>
      <c r="H11" s="270">
        <v>0.85590019190367983</v>
      </c>
      <c r="I11" s="269">
        <v>0.10710083531391365</v>
      </c>
      <c r="J11" s="269">
        <v>0.31052361417890234</v>
      </c>
      <c r="K11" s="269">
        <v>6.9500000000000006E-2</v>
      </c>
      <c r="L11" s="269">
        <v>0.13328497731995359</v>
      </c>
      <c r="M11" s="269">
        <v>9.9803951260501497E-2</v>
      </c>
      <c r="N11" s="270">
        <v>1.5704645257815757</v>
      </c>
      <c r="O11" s="270">
        <v>3.9033785429845778</v>
      </c>
      <c r="P11" s="270">
        <v>18.728439522644482</v>
      </c>
      <c r="Q11" s="270">
        <v>23.265881943355328</v>
      </c>
      <c r="R11" s="270">
        <v>6.6110537061224148</v>
      </c>
      <c r="S11" s="270">
        <v>44.957599605279952</v>
      </c>
      <c r="T11" s="269">
        <v>-6.4905246010984075E-2</v>
      </c>
      <c r="U11" s="269">
        <v>4.5824689476554596E-2</v>
      </c>
      <c r="V11" s="269">
        <v>4.1904157836908283E-2</v>
      </c>
      <c r="W11" s="269">
        <v>0.25833730543349975</v>
      </c>
      <c r="X11" s="269">
        <v>0.24708930327847395</v>
      </c>
      <c r="Y11" s="269">
        <v>0.54691572779078046</v>
      </c>
      <c r="Z11" s="269">
        <v>0.54691572779078046</v>
      </c>
      <c r="AA11" s="271">
        <v>0.16620550043419383</v>
      </c>
    </row>
    <row r="12" spans="1:27" s="237" customFormat="1">
      <c r="A12" s="268" t="s">
        <v>703</v>
      </c>
      <c r="B12" s="123">
        <v>135</v>
      </c>
      <c r="C12" s="269">
        <v>4.4277545454545458E-2</v>
      </c>
      <c r="D12" s="269">
        <v>0.1308431874962574</v>
      </c>
      <c r="E12" s="269">
        <v>0.1088653110194383</v>
      </c>
      <c r="F12" s="269">
        <v>0.23766054151835447</v>
      </c>
      <c r="G12" s="270">
        <v>0.74442956673736649</v>
      </c>
      <c r="H12" s="270">
        <v>1.0569743272387224</v>
      </c>
      <c r="I12" s="269">
        <v>0.12314655131365004</v>
      </c>
      <c r="J12" s="269">
        <v>0.34716622042674328</v>
      </c>
      <c r="K12" s="269">
        <v>6.9500000000000006E-2</v>
      </c>
      <c r="L12" s="269">
        <v>0.44641195523530475</v>
      </c>
      <c r="M12" s="269">
        <v>9.1544066309812211E-2</v>
      </c>
      <c r="N12" s="270">
        <v>0.99150565006743141</v>
      </c>
      <c r="O12" s="270">
        <v>1.2237022060163452</v>
      </c>
      <c r="P12" s="270">
        <v>6.4697537039324544</v>
      </c>
      <c r="Q12" s="270">
        <v>9.086302445486572</v>
      </c>
      <c r="R12" s="270">
        <v>0.81219028797507353</v>
      </c>
      <c r="S12" s="270">
        <v>22.857740397461747</v>
      </c>
      <c r="T12" s="269">
        <v>0.11378712797946409</v>
      </c>
      <c r="U12" s="269">
        <v>3.5670956658719617E-2</v>
      </c>
      <c r="V12" s="269">
        <v>1.7539067116144117E-2</v>
      </c>
      <c r="W12" s="269">
        <v>1.3085560327270698</v>
      </c>
      <c r="X12" s="269">
        <v>0.2978111577675327</v>
      </c>
      <c r="Y12" s="269">
        <v>0.10093323840372377</v>
      </c>
      <c r="Z12" s="269">
        <v>0.10093323840372381</v>
      </c>
      <c r="AA12" s="271">
        <v>0.13150372291132204</v>
      </c>
    </row>
    <row r="13" spans="1:27" s="237" customFormat="1">
      <c r="A13" s="268" t="s">
        <v>704</v>
      </c>
      <c r="B13" s="123">
        <v>592</v>
      </c>
      <c r="C13" s="269">
        <v>0.10401919621749414</v>
      </c>
      <c r="D13" s="269">
        <v>7.2690501748205122E-3</v>
      </c>
      <c r="E13" s="269">
        <v>1.1237028657450701E-3</v>
      </c>
      <c r="F13" s="269">
        <v>0.20234958105745021</v>
      </c>
      <c r="G13" s="270">
        <v>0.4509503326169772</v>
      </c>
      <c r="H13" s="270">
        <v>0.99146242776310933</v>
      </c>
      <c r="I13" s="269">
        <v>0.11791870173549612</v>
      </c>
      <c r="J13" s="269">
        <v>0.34987613722148397</v>
      </c>
      <c r="K13" s="269">
        <v>6.9500000000000006E-2</v>
      </c>
      <c r="L13" s="269">
        <v>0.70577788318489221</v>
      </c>
      <c r="M13" s="269">
        <v>7.164483235522795E-2</v>
      </c>
      <c r="N13" s="270">
        <v>0.19322010265558867</v>
      </c>
      <c r="O13" s="270">
        <v>5.3692439869910435</v>
      </c>
      <c r="P13" s="270">
        <v>197.28291344916556</v>
      </c>
      <c r="Q13" s="270" t="s">
        <v>96</v>
      </c>
      <c r="R13" s="270">
        <v>1.2161813550455391</v>
      </c>
      <c r="S13" s="270">
        <v>60.949595545922598</v>
      </c>
      <c r="T13" s="269" t="s">
        <v>96</v>
      </c>
      <c r="U13" s="269">
        <v>2.8564235872633317E-2</v>
      </c>
      <c r="V13" s="269">
        <v>-5.0229492121968318E-3</v>
      </c>
      <c r="W13" s="269">
        <v>-39.913584925845541</v>
      </c>
      <c r="X13" s="269">
        <v>9.2032782861292586E-2</v>
      </c>
      <c r="Y13" s="269">
        <v>0.5223993223618727</v>
      </c>
      <c r="Z13" s="269">
        <v>0.5223993223618727</v>
      </c>
      <c r="AA13" s="271">
        <v>6.8733754072739317E-3</v>
      </c>
    </row>
    <row r="14" spans="1:27" s="237" customFormat="1">
      <c r="A14" s="268" t="s">
        <v>705</v>
      </c>
      <c r="B14" s="123">
        <v>454</v>
      </c>
      <c r="C14" s="269">
        <v>7.6625747126436813E-2</v>
      </c>
      <c r="D14" s="269">
        <v>0.10740162701009311</v>
      </c>
      <c r="E14" s="269">
        <v>0.16368297461942438</v>
      </c>
      <c r="F14" s="269">
        <v>0.21641513739428239</v>
      </c>
      <c r="G14" s="270">
        <v>0.99755173182959556</v>
      </c>
      <c r="H14" s="270">
        <v>1.1065292223300869</v>
      </c>
      <c r="I14" s="269">
        <v>0.12710103194194095</v>
      </c>
      <c r="J14" s="269">
        <v>0.29868072216447483</v>
      </c>
      <c r="K14" s="269">
        <v>6.9500000000000006E-2</v>
      </c>
      <c r="L14" s="269">
        <v>0.20177093676880761</v>
      </c>
      <c r="M14" s="269">
        <v>0.11201932390615539</v>
      </c>
      <c r="N14" s="270">
        <v>1.851184271800939</v>
      </c>
      <c r="O14" s="270">
        <v>1.4390645957182182</v>
      </c>
      <c r="P14" s="270">
        <v>9.6623300164160995</v>
      </c>
      <c r="Q14" s="270">
        <v>13.03055848596199</v>
      </c>
      <c r="R14" s="270">
        <v>2.4062797893398473</v>
      </c>
      <c r="S14" s="270">
        <v>42.279983498123997</v>
      </c>
      <c r="T14" s="269">
        <v>0.17342708024407452</v>
      </c>
      <c r="U14" s="269">
        <v>3.8306836462944818E-2</v>
      </c>
      <c r="V14" s="269">
        <v>4.0279969081317146E-2</v>
      </c>
      <c r="W14" s="269">
        <v>0.86926825996365231</v>
      </c>
      <c r="X14" s="269">
        <v>0.15118080309483573</v>
      </c>
      <c r="Y14" s="269">
        <v>0.30296802718936278</v>
      </c>
      <c r="Z14" s="269">
        <v>0.30296802718936278</v>
      </c>
      <c r="AA14" s="271">
        <v>0.10756044602739526</v>
      </c>
    </row>
    <row r="15" spans="1:27" s="237" customFormat="1">
      <c r="A15" s="268" t="s">
        <v>706</v>
      </c>
      <c r="B15" s="123">
        <v>961</v>
      </c>
      <c r="C15" s="269">
        <v>7.7030524590164018E-2</v>
      </c>
      <c r="D15" s="269">
        <v>8.5210415426435954E-2</v>
      </c>
      <c r="E15" s="269">
        <v>0.19491986939558359</v>
      </c>
      <c r="F15" s="269">
        <v>0.24146672103341693</v>
      </c>
      <c r="G15" s="270">
        <v>0.99674884417931131</v>
      </c>
      <c r="H15" s="270">
        <v>1.0942430346454961</v>
      </c>
      <c r="I15" s="269">
        <v>0.12612059416471058</v>
      </c>
      <c r="J15" s="269">
        <v>0.35508042862954164</v>
      </c>
      <c r="K15" s="269">
        <v>6.9500000000000006E-2</v>
      </c>
      <c r="L15" s="269">
        <v>0.18870553380788824</v>
      </c>
      <c r="M15" s="269">
        <v>0.11220049568260584</v>
      </c>
      <c r="N15" s="270">
        <v>2.6318315409345043</v>
      </c>
      <c r="O15" s="270">
        <v>1.796327021989877</v>
      </c>
      <c r="P15" s="270">
        <v>13.458680230874046</v>
      </c>
      <c r="Q15" s="270">
        <v>20.232652391500991</v>
      </c>
      <c r="R15" s="270">
        <v>3.5572441534696142</v>
      </c>
      <c r="S15" s="270">
        <v>43.809952874708898</v>
      </c>
      <c r="T15" s="269">
        <v>9.7639902516069341E-2</v>
      </c>
      <c r="U15" s="269">
        <v>2.6116173242196936E-2</v>
      </c>
      <c r="V15" s="269">
        <v>4.3555397829954337E-2</v>
      </c>
      <c r="W15" s="269">
        <v>0.86727780133182975</v>
      </c>
      <c r="X15" s="269">
        <v>0.10173941306387643</v>
      </c>
      <c r="Y15" s="269">
        <v>0.54671438017820373</v>
      </c>
      <c r="Z15" s="269">
        <v>0.54671438017820373</v>
      </c>
      <c r="AA15" s="271">
        <v>8.8319091504811681E-2</v>
      </c>
    </row>
    <row r="16" spans="1:27" s="237" customFormat="1">
      <c r="A16" s="268" t="s">
        <v>707</v>
      </c>
      <c r="B16" s="123">
        <v>54</v>
      </c>
      <c r="C16" s="269">
        <v>4.2067906976744174E-2</v>
      </c>
      <c r="D16" s="269">
        <v>0.19268732296056873</v>
      </c>
      <c r="E16" s="269">
        <v>0.12652466179683763</v>
      </c>
      <c r="F16" s="269">
        <v>0.28390681894041569</v>
      </c>
      <c r="G16" s="270">
        <v>0.60543299464722078</v>
      </c>
      <c r="H16" s="270">
        <v>1.0239833762823261</v>
      </c>
      <c r="I16" s="269">
        <v>0.12051387342732961</v>
      </c>
      <c r="J16" s="269">
        <v>0.26282180998895055</v>
      </c>
      <c r="K16" s="269">
        <v>6.9500000000000006E-2</v>
      </c>
      <c r="L16" s="269">
        <v>0.49450981804764355</v>
      </c>
      <c r="M16" s="269">
        <v>8.680831989906676E-2</v>
      </c>
      <c r="N16" s="270">
        <v>0.76919568734944921</v>
      </c>
      <c r="O16" s="270">
        <v>2.4944078285796922</v>
      </c>
      <c r="P16" s="270">
        <v>7.497175384132114</v>
      </c>
      <c r="Q16" s="270">
        <v>12.940344181786392</v>
      </c>
      <c r="R16" s="270">
        <v>1.929850102641772</v>
      </c>
      <c r="S16" s="270">
        <v>29.820184879857429</v>
      </c>
      <c r="T16" s="269">
        <v>1.5449065581484419E-2</v>
      </c>
      <c r="U16" s="269">
        <v>0.11558223276503958</v>
      </c>
      <c r="V16" s="269">
        <v>1.1541357856634741E-3</v>
      </c>
      <c r="W16" s="269">
        <v>6.1135959638478815E-2</v>
      </c>
      <c r="X16" s="269">
        <v>0.10901267306081759</v>
      </c>
      <c r="Y16" s="269">
        <v>0.35370332420360845</v>
      </c>
      <c r="Z16" s="269">
        <v>0.3537033242036085</v>
      </c>
      <c r="AA16" s="271">
        <v>0.1895508363242917</v>
      </c>
    </row>
    <row r="17" spans="1:27" s="237" customFormat="1">
      <c r="A17" s="268" t="s">
        <v>708</v>
      </c>
      <c r="B17" s="123">
        <v>879</v>
      </c>
      <c r="C17" s="269">
        <v>0.1238678778625954</v>
      </c>
      <c r="D17" s="269">
        <v>0.10020419212665564</v>
      </c>
      <c r="E17" s="269">
        <v>0.10745139617308558</v>
      </c>
      <c r="F17" s="269">
        <v>0.18832514749498638</v>
      </c>
      <c r="G17" s="270">
        <v>0.98778658397913077</v>
      </c>
      <c r="H17" s="270">
        <v>1.1399114789559386</v>
      </c>
      <c r="I17" s="269">
        <v>0.1297649360206839</v>
      </c>
      <c r="J17" s="269">
        <v>0.32649437388083069</v>
      </c>
      <c r="K17" s="269">
        <v>6.9500000000000006E-2</v>
      </c>
      <c r="L17" s="269">
        <v>0.27051844186953267</v>
      </c>
      <c r="M17" s="269">
        <v>0.10882394490616107</v>
      </c>
      <c r="N17" s="270">
        <v>1.2655741833436442</v>
      </c>
      <c r="O17" s="270">
        <v>1.2364855715506904</v>
      </c>
      <c r="P17" s="270">
        <v>8.3058673712892102</v>
      </c>
      <c r="Q17" s="270">
        <v>11.916917872618122</v>
      </c>
      <c r="R17" s="270">
        <v>1.5633404186346405</v>
      </c>
      <c r="S17" s="270">
        <v>32.461182204024411</v>
      </c>
      <c r="T17" s="269">
        <v>0.1304677165424474</v>
      </c>
      <c r="U17" s="269">
        <v>7.741641993492572E-2</v>
      </c>
      <c r="V17" s="269">
        <v>6.290271963579111E-2</v>
      </c>
      <c r="W17" s="269">
        <v>1.1979557665164933</v>
      </c>
      <c r="X17" s="269">
        <v>0.13015440695282732</v>
      </c>
      <c r="Y17" s="269">
        <v>0.46416333241579638</v>
      </c>
      <c r="Z17" s="269">
        <v>0.46416333241579633</v>
      </c>
      <c r="AA17" s="271">
        <v>0.10069812557358715</v>
      </c>
    </row>
    <row r="18" spans="1:27" s="237" customFormat="1">
      <c r="A18" s="268" t="s">
        <v>709</v>
      </c>
      <c r="B18" s="123">
        <v>68</v>
      </c>
      <c r="C18" s="269">
        <v>7.925883333333332E-2</v>
      </c>
      <c r="D18" s="269">
        <v>0.10208853535516443</v>
      </c>
      <c r="E18" s="269">
        <v>8.8860578023872136E-2</v>
      </c>
      <c r="F18" s="269">
        <v>0.22109460004677506</v>
      </c>
      <c r="G18" s="270">
        <v>0.94195069531991238</v>
      </c>
      <c r="H18" s="270">
        <v>1.1958248741877604</v>
      </c>
      <c r="I18" s="269">
        <v>0.13422682496018329</v>
      </c>
      <c r="J18" s="269">
        <v>0.24921264970970231</v>
      </c>
      <c r="K18" s="269">
        <v>6.1800000000000001E-2</v>
      </c>
      <c r="L18" s="269">
        <v>0.34287939688821434</v>
      </c>
      <c r="M18" s="269">
        <v>0.10416559904158584</v>
      </c>
      <c r="N18" s="270">
        <v>1.1466338195851349</v>
      </c>
      <c r="O18" s="270">
        <v>0.94296723858016984</v>
      </c>
      <c r="P18" s="270">
        <v>6.171064177804876</v>
      </c>
      <c r="Q18" s="270">
        <v>9.1620621978144303</v>
      </c>
      <c r="R18" s="270">
        <v>1.1245367981194994</v>
      </c>
      <c r="S18" s="270">
        <v>13.508795487736551</v>
      </c>
      <c r="T18" s="269">
        <v>0.17217232791268849</v>
      </c>
      <c r="U18" s="269">
        <v>5.4474924436255449E-2</v>
      </c>
      <c r="V18" s="269">
        <v>1.968897467248543E-2</v>
      </c>
      <c r="W18" s="269">
        <v>0.80238917598445381</v>
      </c>
      <c r="X18" s="269">
        <v>0.13650087385165174</v>
      </c>
      <c r="Y18" s="269">
        <v>0.29292289982848024</v>
      </c>
      <c r="Z18" s="269">
        <v>0.2929228998284803</v>
      </c>
      <c r="AA18" s="271">
        <v>9.9179563288606054E-2</v>
      </c>
    </row>
    <row r="19" spans="1:27" s="237" customFormat="1">
      <c r="A19" s="268" t="s">
        <v>710</v>
      </c>
      <c r="B19" s="123">
        <v>922</v>
      </c>
      <c r="C19" s="269">
        <v>0.12358691813804168</v>
      </c>
      <c r="D19" s="269">
        <v>0.1547255582981597</v>
      </c>
      <c r="E19" s="269">
        <v>0.17150009967531879</v>
      </c>
      <c r="F19" s="269">
        <v>0.2172107878596366</v>
      </c>
      <c r="G19" s="270">
        <v>1.0212013193407876</v>
      </c>
      <c r="H19" s="270">
        <v>1.1068628177675968</v>
      </c>
      <c r="I19" s="269">
        <v>0.12712765285785421</v>
      </c>
      <c r="J19" s="269">
        <v>0.34149187496630518</v>
      </c>
      <c r="K19" s="269">
        <v>6.9500000000000006E-2</v>
      </c>
      <c r="L19" s="269">
        <v>0.17459079391537816</v>
      </c>
      <c r="M19" s="269">
        <v>0.11407292254822643</v>
      </c>
      <c r="N19" s="270">
        <v>1.3054375504666331</v>
      </c>
      <c r="O19" s="270">
        <v>2.0157117635380177</v>
      </c>
      <c r="P19" s="270">
        <v>9.4794719480770766</v>
      </c>
      <c r="Q19" s="270">
        <v>12.823605641607234</v>
      </c>
      <c r="R19" s="270">
        <v>2.4990688320644274</v>
      </c>
      <c r="S19" s="270">
        <v>33.689947719856896</v>
      </c>
      <c r="T19" s="269">
        <v>0.18447765882815129</v>
      </c>
      <c r="U19" s="269">
        <v>6.7444849888795691E-2</v>
      </c>
      <c r="V19" s="269">
        <v>4.9838107270292677E-2</v>
      </c>
      <c r="W19" s="269">
        <v>0.75738103516745536</v>
      </c>
      <c r="X19" s="269">
        <v>0.15901047052663181</v>
      </c>
      <c r="Y19" s="269">
        <v>0.33805283025981031</v>
      </c>
      <c r="Z19" s="269">
        <v>0.33805283025981026</v>
      </c>
      <c r="AA19" s="271">
        <v>0.15610820572687148</v>
      </c>
    </row>
    <row r="20" spans="1:27" s="237" customFormat="1">
      <c r="A20" s="268" t="s">
        <v>711</v>
      </c>
      <c r="B20" s="123">
        <v>212</v>
      </c>
      <c r="C20" s="269">
        <v>0.19073247787610623</v>
      </c>
      <c r="D20" s="269">
        <v>0.29123799344815227</v>
      </c>
      <c r="E20" s="269">
        <v>0.38609852291856595</v>
      </c>
      <c r="F20" s="269">
        <v>0.23084834706391377</v>
      </c>
      <c r="G20" s="270">
        <v>1.3528350871710502</v>
      </c>
      <c r="H20" s="270">
        <v>1.2119612126219459</v>
      </c>
      <c r="I20" s="269">
        <v>0.13551450476723126</v>
      </c>
      <c r="J20" s="269">
        <v>0.58726950301818248</v>
      </c>
      <c r="K20" s="269">
        <v>7.3300000000000004E-2</v>
      </c>
      <c r="L20" s="269">
        <v>0.19555045254951162</v>
      </c>
      <c r="M20" s="269">
        <v>0.11981226986085283</v>
      </c>
      <c r="N20" s="270">
        <v>1.4608803604303342</v>
      </c>
      <c r="O20" s="270">
        <v>1.0881834921399869</v>
      </c>
      <c r="P20" s="270">
        <v>3.0088957590727219</v>
      </c>
      <c r="Q20" s="270">
        <v>3.6010760403633757</v>
      </c>
      <c r="R20" s="270">
        <v>1.4159269251330795</v>
      </c>
      <c r="S20" s="270">
        <v>19.361296059901157</v>
      </c>
      <c r="T20" s="269">
        <v>-8.2957586387662659E-3</v>
      </c>
      <c r="U20" s="269">
        <v>5.8582103434174478E-2</v>
      </c>
      <c r="V20" s="269">
        <v>3.6084716364272768E-2</v>
      </c>
      <c r="W20" s="269">
        <v>0.14301394578319884</v>
      </c>
      <c r="X20" s="269">
        <v>0.31438462941240891</v>
      </c>
      <c r="Y20" s="269">
        <v>0.40895723661895989</v>
      </c>
      <c r="Z20" s="269">
        <v>0.40895723661895989</v>
      </c>
      <c r="AA20" s="271">
        <v>0.29207983405329863</v>
      </c>
    </row>
    <row r="21" spans="1:27" s="237" customFormat="1">
      <c r="A21" s="268" t="s">
        <v>712</v>
      </c>
      <c r="B21" s="123">
        <v>1105</v>
      </c>
      <c r="C21" s="269">
        <v>9.3645663956639702E-2</v>
      </c>
      <c r="D21" s="269">
        <v>7.3176266927285696E-2</v>
      </c>
      <c r="E21" s="269">
        <v>0.2025293235529626</v>
      </c>
      <c r="F21" s="269">
        <v>0.23035511343444337</v>
      </c>
      <c r="G21" s="270">
        <v>1.0374271307252976</v>
      </c>
      <c r="H21" s="270">
        <v>1.0882471920280821</v>
      </c>
      <c r="I21" s="269">
        <v>0.12564212592384094</v>
      </c>
      <c r="J21" s="269">
        <v>0.33786373564723465</v>
      </c>
      <c r="K21" s="269">
        <v>6.9500000000000006E-2</v>
      </c>
      <c r="L21" s="269">
        <v>0.14049829938709574</v>
      </c>
      <c r="M21" s="269">
        <v>0.11534531804067875</v>
      </c>
      <c r="N21" s="270">
        <v>3.2818741479491207</v>
      </c>
      <c r="O21" s="270">
        <v>1.3095675699093319</v>
      </c>
      <c r="P21" s="270">
        <v>12.706719019755342</v>
      </c>
      <c r="Q21" s="270">
        <v>17.227484749698625</v>
      </c>
      <c r="R21" s="270">
        <v>3.5785994531817509</v>
      </c>
      <c r="S21" s="270">
        <v>49.676816960710156</v>
      </c>
      <c r="T21" s="269">
        <v>0.1651626702816448</v>
      </c>
      <c r="U21" s="269">
        <v>1.3489169924479476E-2</v>
      </c>
      <c r="V21" s="269">
        <v>9.8915425769399018E-3</v>
      </c>
      <c r="W21" s="269">
        <v>0.6566015328288205</v>
      </c>
      <c r="X21" s="269">
        <v>0.13814920572691777</v>
      </c>
      <c r="Y21" s="269">
        <v>0.52194735385474622</v>
      </c>
      <c r="Z21" s="269">
        <v>0.52194735385474622</v>
      </c>
      <c r="AA21" s="271">
        <v>7.4067576123768242E-2</v>
      </c>
    </row>
    <row r="22" spans="1:27" s="237" customFormat="1">
      <c r="A22" s="268" t="s">
        <v>713</v>
      </c>
      <c r="B22" s="123">
        <v>333</v>
      </c>
      <c r="C22" s="269">
        <v>4.3304879999999969E-2</v>
      </c>
      <c r="D22" s="269">
        <v>0.13717096964949019</v>
      </c>
      <c r="E22" s="269">
        <v>0.20720316942953626</v>
      </c>
      <c r="F22" s="269">
        <v>0.18704179253161829</v>
      </c>
      <c r="G22" s="270">
        <v>1.2200041411476166</v>
      </c>
      <c r="H22" s="270">
        <v>1.2620051937696362</v>
      </c>
      <c r="I22" s="269">
        <v>0.13950801446281696</v>
      </c>
      <c r="J22" s="269">
        <v>0.3292446932773343</v>
      </c>
      <c r="K22" s="269">
        <v>6.9500000000000006E-2</v>
      </c>
      <c r="L22" s="269">
        <v>0.105922132128553</v>
      </c>
      <c r="M22" s="269">
        <v>0.13027651250009889</v>
      </c>
      <c r="N22" s="270">
        <v>1.7356503868390247</v>
      </c>
      <c r="O22" s="270">
        <v>2.0056137769058395</v>
      </c>
      <c r="P22" s="270">
        <v>11.199448015099572</v>
      </c>
      <c r="Q22" s="270">
        <v>14.509835707476681</v>
      </c>
      <c r="R22" s="270">
        <v>5.2021822039572259</v>
      </c>
      <c r="S22" s="270">
        <v>34.159140796002291</v>
      </c>
      <c r="T22" s="269">
        <v>3.2155484356610434E-2</v>
      </c>
      <c r="U22" s="269">
        <v>4.3997628967966884E-2</v>
      </c>
      <c r="V22" s="269">
        <v>3.2027334541902312E-2</v>
      </c>
      <c r="W22" s="269">
        <v>0.48420479578077191</v>
      </c>
      <c r="X22" s="269">
        <v>0.27940376674380923</v>
      </c>
      <c r="Y22" s="269">
        <v>0.22650677990976426</v>
      </c>
      <c r="Z22" s="269">
        <v>0.2265067799097642</v>
      </c>
      <c r="AA22" s="271">
        <v>0.13869019321666459</v>
      </c>
    </row>
    <row r="23" spans="1:27" s="237" customFormat="1">
      <c r="A23" s="268" t="s">
        <v>714</v>
      </c>
      <c r="B23" s="123">
        <v>790</v>
      </c>
      <c r="C23" s="269">
        <v>8.988834162520723E-2</v>
      </c>
      <c r="D23" s="269">
        <v>7.9238137222403707E-2</v>
      </c>
      <c r="E23" s="269">
        <v>7.1457740481812526E-2</v>
      </c>
      <c r="F23" s="269">
        <v>0.22086636569910459</v>
      </c>
      <c r="G23" s="270">
        <v>0.93727399630888553</v>
      </c>
      <c r="H23" s="270">
        <v>1.1168579550772775</v>
      </c>
      <c r="I23" s="269">
        <v>0.12792526481516675</v>
      </c>
      <c r="J23" s="269">
        <v>0.30150511958275444</v>
      </c>
      <c r="K23" s="269">
        <v>6.9500000000000006E-2</v>
      </c>
      <c r="L23" s="269">
        <v>0.31133232518566467</v>
      </c>
      <c r="M23" s="269">
        <v>0.1043975961893531</v>
      </c>
      <c r="N23" s="270">
        <v>1.0671627220556099</v>
      </c>
      <c r="O23" s="270">
        <v>1.3587154692875165</v>
      </c>
      <c r="P23" s="270">
        <v>10.009606294953084</v>
      </c>
      <c r="Q23" s="270">
        <v>16.066971457506867</v>
      </c>
      <c r="R23" s="270">
        <v>1.4169331425544049</v>
      </c>
      <c r="S23" s="270">
        <v>42.499008672488294</v>
      </c>
      <c r="T23" s="269">
        <v>0.18043639079001042</v>
      </c>
      <c r="U23" s="269">
        <v>5.8090137590028013E-2</v>
      </c>
      <c r="V23" s="269">
        <v>3.8623609957872958E-2</v>
      </c>
      <c r="W23" s="269">
        <v>1.075371172802579</v>
      </c>
      <c r="X23" s="269">
        <v>8.0922460272459681E-2</v>
      </c>
      <c r="Y23" s="269">
        <v>0.51446026350372742</v>
      </c>
      <c r="Z23" s="269">
        <v>0.51446026350372742</v>
      </c>
      <c r="AA23" s="271">
        <v>7.8728013983956763E-2</v>
      </c>
    </row>
    <row r="24" spans="1:27" s="237" customFormat="1">
      <c r="A24" s="268" t="s">
        <v>715</v>
      </c>
      <c r="B24" s="123">
        <v>314</v>
      </c>
      <c r="C24" s="269">
        <v>9.8170408163265194E-2</v>
      </c>
      <c r="D24" s="269">
        <v>9.3403961215025449E-2</v>
      </c>
      <c r="E24" s="269">
        <v>6.2952807030606794E-2</v>
      </c>
      <c r="F24" s="269">
        <v>0.1715193352239163</v>
      </c>
      <c r="G24" s="270">
        <v>0.73470874506873063</v>
      </c>
      <c r="H24" s="270">
        <v>0.9639252546213195</v>
      </c>
      <c r="I24" s="269">
        <v>0.1157212353187813</v>
      </c>
      <c r="J24" s="269">
        <v>0.27349373371508195</v>
      </c>
      <c r="K24" s="269">
        <v>6.9500000000000006E-2</v>
      </c>
      <c r="L24" s="269">
        <v>0.35858198888340026</v>
      </c>
      <c r="M24" s="269">
        <v>9.2999011551826355E-2</v>
      </c>
      <c r="N24" s="270">
        <v>0.7840641464318554</v>
      </c>
      <c r="O24" s="270">
        <v>1.8829530097500131</v>
      </c>
      <c r="P24" s="270">
        <v>13.155686802482316</v>
      </c>
      <c r="Q24" s="270">
        <v>19.330338827982725</v>
      </c>
      <c r="R24" s="270">
        <v>1.2135055453841528</v>
      </c>
      <c r="S24" s="270">
        <v>19.426843095216764</v>
      </c>
      <c r="T24" s="269">
        <v>-0.11650945036047462</v>
      </c>
      <c r="U24" s="269">
        <v>4.2463043866979938E-2</v>
      </c>
      <c r="V24" s="269">
        <v>7.6312329361308776E-3</v>
      </c>
      <c r="W24" s="269">
        <v>0.49580074819389314</v>
      </c>
      <c r="X24" s="269">
        <v>5.8112853136737509E-2</v>
      </c>
      <c r="Y24" s="269">
        <v>0.39840140166419818</v>
      </c>
      <c r="Z24" s="269">
        <v>0.39840140166419813</v>
      </c>
      <c r="AA24" s="271">
        <v>9.2864484379383411E-2</v>
      </c>
    </row>
    <row r="25" spans="1:27" s="237" customFormat="1">
      <c r="A25" s="268" t="s">
        <v>716</v>
      </c>
      <c r="B25" s="123">
        <v>1267</v>
      </c>
      <c r="C25" s="269">
        <v>0.26030372043010735</v>
      </c>
      <c r="D25" s="269">
        <v>8.2283347542430024E-2</v>
      </c>
      <c r="E25" s="269">
        <v>4.6526913392921442E-2</v>
      </c>
      <c r="F25" s="269">
        <v>0.14795873564922327</v>
      </c>
      <c r="G25" s="270">
        <v>1.2526532845890637</v>
      </c>
      <c r="H25" s="270">
        <v>1.268267613064147</v>
      </c>
      <c r="I25" s="269">
        <v>0.14000775552251893</v>
      </c>
      <c r="J25" s="269">
        <v>0.51694194640882407</v>
      </c>
      <c r="K25" s="269">
        <v>7.3300000000000004E-2</v>
      </c>
      <c r="L25" s="269">
        <v>0.1139572454338612</v>
      </c>
      <c r="M25" s="269">
        <v>0.13034522204961971</v>
      </c>
      <c r="N25" s="270">
        <v>0.45983261646900347</v>
      </c>
      <c r="O25" s="270">
        <v>6.5588146508950045</v>
      </c>
      <c r="P25" s="270">
        <v>12.966365172864815</v>
      </c>
      <c r="Q25" s="270">
        <v>61.864204347414478</v>
      </c>
      <c r="R25" s="270">
        <v>5.0769214630631092</v>
      </c>
      <c r="S25" s="270">
        <v>126.61097345829106</v>
      </c>
      <c r="T25" s="269">
        <v>0.18476756001476305</v>
      </c>
      <c r="U25" s="269">
        <v>5.5489500531842963E-2</v>
      </c>
      <c r="V25" s="269">
        <v>2.8951510522702298E-2</v>
      </c>
      <c r="W25" s="269">
        <v>1.8806559490214771</v>
      </c>
      <c r="X25" s="269">
        <v>-1.0637065540967156E-2</v>
      </c>
      <c r="Y25" s="269">
        <v>2.2318145787477788E-3</v>
      </c>
      <c r="Z25" s="269">
        <v>2.2318145787477706E-3</v>
      </c>
      <c r="AA25" s="271">
        <v>0.1031871099641556</v>
      </c>
    </row>
    <row r="26" spans="1:27" s="237" customFormat="1">
      <c r="A26" s="268" t="s">
        <v>717</v>
      </c>
      <c r="B26" s="123">
        <v>1352</v>
      </c>
      <c r="C26" s="269">
        <v>0.17139170469798656</v>
      </c>
      <c r="D26" s="269">
        <v>0.21497248584763778</v>
      </c>
      <c r="E26" s="269">
        <v>0.13957128286220502</v>
      </c>
      <c r="F26" s="269">
        <v>0.14063075584878457</v>
      </c>
      <c r="G26" s="270">
        <v>0.99546354279818405</v>
      </c>
      <c r="H26" s="270">
        <v>1.0635869533243638</v>
      </c>
      <c r="I26" s="269">
        <v>0.12367423887528423</v>
      </c>
      <c r="J26" s="269">
        <v>0.44281720798926644</v>
      </c>
      <c r="K26" s="269">
        <v>6.9500000000000006E-2</v>
      </c>
      <c r="L26" s="269">
        <v>0.13152916490130936</v>
      </c>
      <c r="M26" s="269">
        <v>0.11429359345066391</v>
      </c>
      <c r="N26" s="270">
        <v>0.71487767283195569</v>
      </c>
      <c r="O26" s="270">
        <v>3.9802709254480027</v>
      </c>
      <c r="P26" s="270">
        <v>12.690853000619033</v>
      </c>
      <c r="Q26" s="270">
        <v>17.540563493912831</v>
      </c>
      <c r="R26" s="270">
        <v>3.8038786986767983</v>
      </c>
      <c r="S26" s="270">
        <v>128.87688628734568</v>
      </c>
      <c r="T26" s="269">
        <v>0.14897338338600832</v>
      </c>
      <c r="U26" s="269">
        <v>4.6616068018540166E-2</v>
      </c>
      <c r="V26" s="269">
        <v>2.0118063231931719E-2</v>
      </c>
      <c r="W26" s="269">
        <v>0.22118800607153283</v>
      </c>
      <c r="X26" s="269">
        <v>0.16122384369938733</v>
      </c>
      <c r="Y26" s="269">
        <v>0.50405839541139608</v>
      </c>
      <c r="Z26" s="269">
        <v>0.50405839541139608</v>
      </c>
      <c r="AA26" s="271">
        <v>0.21693380846895721</v>
      </c>
    </row>
    <row r="27" spans="1:27" s="237" customFormat="1">
      <c r="A27" s="268" t="s">
        <v>718</v>
      </c>
      <c r="B27" s="123">
        <v>251</v>
      </c>
      <c r="C27" s="269">
        <v>7.2462666666666703E-2</v>
      </c>
      <c r="D27" s="269">
        <v>8.5232409536615497E-2</v>
      </c>
      <c r="E27" s="269">
        <v>6.2603191520413867E-2</v>
      </c>
      <c r="F27" s="269">
        <v>0.2024249848906487</v>
      </c>
      <c r="G27" s="270">
        <v>0.79172170997592162</v>
      </c>
      <c r="H27" s="270">
        <v>0.87876725882387718</v>
      </c>
      <c r="I27" s="269">
        <v>0.1089256272541454</v>
      </c>
      <c r="J27" s="269">
        <v>0.34117555150021905</v>
      </c>
      <c r="K27" s="269">
        <v>6.9500000000000006E-2</v>
      </c>
      <c r="L27" s="269">
        <v>0.24741750017757028</v>
      </c>
      <c r="M27" s="269">
        <v>9.4928903254072494E-2</v>
      </c>
      <c r="N27" s="270">
        <v>0.85141497410935729</v>
      </c>
      <c r="O27" s="270">
        <v>2.3696146946244649</v>
      </c>
      <c r="P27" s="270">
        <v>10.001464516545653</v>
      </c>
      <c r="Q27" s="270">
        <v>21.79913089310736</v>
      </c>
      <c r="R27" s="270">
        <v>1.8555344291477101</v>
      </c>
      <c r="S27" s="270">
        <v>179.05357682042421</v>
      </c>
      <c r="T27" s="269">
        <v>7.3828679958868092E-3</v>
      </c>
      <c r="U27" s="269">
        <v>7.2712302169298734E-2</v>
      </c>
      <c r="V27" s="269">
        <v>9.4070086977542544E-2</v>
      </c>
      <c r="W27" s="269">
        <v>1.9475349905213291</v>
      </c>
      <c r="X27" s="269">
        <v>3.679776661145092E-2</v>
      </c>
      <c r="Y27" s="269">
        <v>0.71826245482073359</v>
      </c>
      <c r="Z27" s="269">
        <v>0.71826245482073359</v>
      </c>
      <c r="AA27" s="271">
        <v>8.4808026383120336E-2</v>
      </c>
    </row>
    <row r="28" spans="1:27" s="237" customFormat="1">
      <c r="A28" s="268" t="s">
        <v>719</v>
      </c>
      <c r="B28" s="123">
        <v>1045</v>
      </c>
      <c r="C28" s="269">
        <v>0.12176879483500726</v>
      </c>
      <c r="D28" s="269">
        <v>6.6581915586067367E-2</v>
      </c>
      <c r="E28" s="269">
        <v>9.6069628831003812E-2</v>
      </c>
      <c r="F28" s="269">
        <v>0.18113802271357199</v>
      </c>
      <c r="G28" s="270">
        <v>1.1023236899495159</v>
      </c>
      <c r="H28" s="270">
        <v>1.1360186851537797</v>
      </c>
      <c r="I28" s="269">
        <v>0.12945429107527162</v>
      </c>
      <c r="J28" s="269">
        <v>0.37245108102966507</v>
      </c>
      <c r="K28" s="269">
        <v>6.9500000000000006E-2</v>
      </c>
      <c r="L28" s="269">
        <v>0.14301741508197188</v>
      </c>
      <c r="M28" s="269">
        <v>0.11842765679971393</v>
      </c>
      <c r="N28" s="270">
        <v>1.5879625149016394</v>
      </c>
      <c r="O28" s="270">
        <v>2.0277017833186979</v>
      </c>
      <c r="P28" s="270">
        <v>16.767282753897025</v>
      </c>
      <c r="Q28" s="270">
        <v>27.675072347786415</v>
      </c>
      <c r="R28" s="270">
        <v>2.833909558497774</v>
      </c>
      <c r="S28" s="270">
        <v>40.84984806066813</v>
      </c>
      <c r="T28" s="269">
        <v>0.22452763237582904</v>
      </c>
      <c r="U28" s="269">
        <v>6.7817033533334778E-2</v>
      </c>
      <c r="V28" s="269">
        <v>6.501200066309834E-2</v>
      </c>
      <c r="W28" s="269">
        <v>2.0550213941805726</v>
      </c>
      <c r="X28" s="269">
        <v>9.0067755168144137E-2</v>
      </c>
      <c r="Y28" s="269">
        <v>0.44354143830219317</v>
      </c>
      <c r="Z28" s="269">
        <v>0.44354143830219317</v>
      </c>
      <c r="AA28" s="271">
        <v>6.8354825796984889E-2</v>
      </c>
    </row>
    <row r="29" spans="1:27" s="237" customFormat="1">
      <c r="A29" s="268" t="s">
        <v>720</v>
      </c>
      <c r="B29" s="123">
        <v>134</v>
      </c>
      <c r="C29" s="269">
        <v>2.8733333333333326E-2</v>
      </c>
      <c r="D29" s="269">
        <v>5.1856753090923656E-2</v>
      </c>
      <c r="E29" s="269">
        <v>6.0197219290322748E-2</v>
      </c>
      <c r="F29" s="269">
        <v>0.21975619593622803</v>
      </c>
      <c r="G29" s="270">
        <v>1.0955088212486108</v>
      </c>
      <c r="H29" s="270">
        <v>1.2725160060597946</v>
      </c>
      <c r="I29" s="269">
        <v>0.14034677728357159</v>
      </c>
      <c r="J29" s="269">
        <v>0.34632531120576865</v>
      </c>
      <c r="K29" s="269">
        <v>6.9500000000000006E-2</v>
      </c>
      <c r="L29" s="269">
        <v>0.30715094709946367</v>
      </c>
      <c r="M29" s="269">
        <v>0.11331981990584189</v>
      </c>
      <c r="N29" s="270">
        <v>1.288634554510691</v>
      </c>
      <c r="O29" s="270">
        <v>0.80368322443778739</v>
      </c>
      <c r="P29" s="270">
        <v>7.497978347029389</v>
      </c>
      <c r="Q29" s="270">
        <v>14.970393372901015</v>
      </c>
      <c r="R29" s="270">
        <v>1.2983108781883297</v>
      </c>
      <c r="S29" s="270">
        <v>52.425310221176993</v>
      </c>
      <c r="T29" s="269">
        <v>5.5377331814515686E-2</v>
      </c>
      <c r="U29" s="269">
        <v>5.1123632718818701E-2</v>
      </c>
      <c r="V29" s="269">
        <v>3.5786919353448146E-2</v>
      </c>
      <c r="W29" s="269">
        <v>1.6572731380834365</v>
      </c>
      <c r="X29" s="269">
        <v>7.8509104048175279E-2</v>
      </c>
      <c r="Y29" s="269">
        <v>0.30310692992960891</v>
      </c>
      <c r="Z29" s="269">
        <v>0.30310692992960897</v>
      </c>
      <c r="AA29" s="271">
        <v>5.323691462491336E-2</v>
      </c>
    </row>
    <row r="30" spans="1:27" s="237" customFormat="1">
      <c r="A30" s="268" t="s">
        <v>721</v>
      </c>
      <c r="B30" s="123">
        <v>1457</v>
      </c>
      <c r="C30" s="269">
        <v>7.440767161410021E-2</v>
      </c>
      <c r="D30" s="269">
        <v>6.9719039704346605E-2</v>
      </c>
      <c r="E30" s="269">
        <v>8.7206934187178925E-2</v>
      </c>
      <c r="F30" s="269">
        <v>0.19110084825797172</v>
      </c>
      <c r="G30" s="270">
        <v>1.2905124151341338</v>
      </c>
      <c r="H30" s="270">
        <v>1.2955238162109064</v>
      </c>
      <c r="I30" s="269">
        <v>0.14218280053363033</v>
      </c>
      <c r="J30" s="269">
        <v>0.33176265991369114</v>
      </c>
      <c r="K30" s="269">
        <v>6.9500000000000006E-2</v>
      </c>
      <c r="L30" s="269">
        <v>0.16342124700338245</v>
      </c>
      <c r="M30" s="269">
        <v>0.12750292313104281</v>
      </c>
      <c r="N30" s="270">
        <v>1.4384315985614258</v>
      </c>
      <c r="O30" s="270">
        <v>1.3776033874896974</v>
      </c>
      <c r="P30" s="270">
        <v>11.273965737803852</v>
      </c>
      <c r="Q30" s="270">
        <v>18.870401996910637</v>
      </c>
      <c r="R30" s="270">
        <v>2.1250670536108807</v>
      </c>
      <c r="S30" s="270">
        <v>84.528011171204724</v>
      </c>
      <c r="T30" s="269">
        <v>0.20074499185210051</v>
      </c>
      <c r="U30" s="269">
        <v>6.1756662263336107E-2</v>
      </c>
      <c r="V30" s="269">
        <v>4.9651604052128297E-2</v>
      </c>
      <c r="W30" s="269">
        <v>1.6115539785648181</v>
      </c>
      <c r="X30" s="269">
        <v>9.5623518017835266E-2</v>
      </c>
      <c r="Y30" s="269">
        <v>0.39313439546655421</v>
      </c>
      <c r="Z30" s="269">
        <v>0.39313439546655427</v>
      </c>
      <c r="AA30" s="271">
        <v>6.9325465814361706E-2</v>
      </c>
    </row>
    <row r="31" spans="1:27" s="237" customFormat="1">
      <c r="A31" s="268" t="s">
        <v>722</v>
      </c>
      <c r="B31" s="123">
        <v>1269</v>
      </c>
      <c r="C31" s="269">
        <v>7.8894370546318357E-2</v>
      </c>
      <c r="D31" s="269">
        <v>4.8271950394670499E-2</v>
      </c>
      <c r="E31" s="269">
        <v>7.3014665776993379E-2</v>
      </c>
      <c r="F31" s="269">
        <v>0.22469302350152401</v>
      </c>
      <c r="G31" s="270">
        <v>0.73013745206540159</v>
      </c>
      <c r="H31" s="270">
        <v>1.0295667164846354</v>
      </c>
      <c r="I31" s="269">
        <v>0.12095942397547391</v>
      </c>
      <c r="J31" s="269">
        <v>0.32279385986263293</v>
      </c>
      <c r="K31" s="269">
        <v>6.9500000000000006E-2</v>
      </c>
      <c r="L31" s="269">
        <v>0.51038470427563054</v>
      </c>
      <c r="M31" s="269">
        <v>8.5944443582693902E-2</v>
      </c>
      <c r="N31" s="270">
        <v>1.7980446299653665</v>
      </c>
      <c r="O31" s="270">
        <v>0.59716246513510773</v>
      </c>
      <c r="P31" s="270">
        <v>8.5602218776639774</v>
      </c>
      <c r="Q31" s="270">
        <v>11.84183341894872</v>
      </c>
      <c r="R31" s="270">
        <v>0.92438488649154593</v>
      </c>
      <c r="S31" s="270">
        <v>30.799850738194948</v>
      </c>
      <c r="T31" s="269">
        <v>0.15956663775102348</v>
      </c>
      <c r="U31" s="269">
        <v>3.1913552747535108E-2</v>
      </c>
      <c r="V31" s="269">
        <v>2.5650645849841693E-2</v>
      </c>
      <c r="W31" s="269">
        <v>1.7330707134271515</v>
      </c>
      <c r="X31" s="269">
        <v>9.1449190767282085E-2</v>
      </c>
      <c r="Y31" s="269">
        <v>0.59131516172456033</v>
      </c>
      <c r="Z31" s="269">
        <v>0.59131516172456033</v>
      </c>
      <c r="AA31" s="271">
        <v>4.8306809979186786E-2</v>
      </c>
    </row>
    <row r="32" spans="1:27" s="237" customFormat="1">
      <c r="A32" s="268" t="s">
        <v>723</v>
      </c>
      <c r="B32" s="123">
        <v>752</v>
      </c>
      <c r="C32" s="269">
        <v>0.10592681498829039</v>
      </c>
      <c r="D32" s="269">
        <v>7.9870349681843311E-2</v>
      </c>
      <c r="E32" s="269">
        <v>9.6512626423388009E-2</v>
      </c>
      <c r="F32" s="269">
        <v>0.22879350569990112</v>
      </c>
      <c r="G32" s="270">
        <v>1.1016400810257481</v>
      </c>
      <c r="H32" s="270">
        <v>1.2013486787553214</v>
      </c>
      <c r="I32" s="269">
        <v>0.13466762456467463</v>
      </c>
      <c r="J32" s="269">
        <v>0.42673745588286965</v>
      </c>
      <c r="K32" s="269">
        <v>6.9500000000000006E-2</v>
      </c>
      <c r="L32" s="269">
        <v>0.20884276813170335</v>
      </c>
      <c r="M32" s="269">
        <v>0.11747709245060305</v>
      </c>
      <c r="N32" s="270">
        <v>1.2759768911988971</v>
      </c>
      <c r="O32" s="270">
        <v>2.8990443634193923</v>
      </c>
      <c r="P32" s="270">
        <v>16.734255201777739</v>
      </c>
      <c r="Q32" s="270">
        <v>33.753289488727212</v>
      </c>
      <c r="R32" s="270">
        <v>2.2420184466493001</v>
      </c>
      <c r="S32" s="270">
        <v>214.52307445927008</v>
      </c>
      <c r="T32" s="269">
        <v>4.1236187325067709E-2</v>
      </c>
      <c r="U32" s="269">
        <v>3.7769343593673718E-2</v>
      </c>
      <c r="V32" s="269">
        <v>1.8753776279506335E-2</v>
      </c>
      <c r="W32" s="269">
        <v>0.5072249381554339</v>
      </c>
      <c r="X32" s="269">
        <v>5.3343812988993114E-2</v>
      </c>
      <c r="Y32" s="269">
        <v>0.36913257422099616</v>
      </c>
      <c r="Z32" s="269">
        <v>0.3691325742209961</v>
      </c>
      <c r="AA32" s="271">
        <v>8.2532590737816963E-2</v>
      </c>
    </row>
    <row r="33" spans="1:27" s="237" customFormat="1">
      <c r="A33" s="268" t="s">
        <v>724</v>
      </c>
      <c r="B33" s="123">
        <v>370</v>
      </c>
      <c r="C33" s="269">
        <v>8.3761952380952381E-2</v>
      </c>
      <c r="D33" s="269">
        <v>0.1067977168535225</v>
      </c>
      <c r="E33" s="269">
        <v>0.10618091123311392</v>
      </c>
      <c r="F33" s="269">
        <v>0.21853416170180501</v>
      </c>
      <c r="G33" s="270">
        <v>0.89640526150774003</v>
      </c>
      <c r="H33" s="270">
        <v>1.0880867288276126</v>
      </c>
      <c r="I33" s="269">
        <v>0.12562932096044349</v>
      </c>
      <c r="J33" s="269">
        <v>0.38236707668331305</v>
      </c>
      <c r="K33" s="269">
        <v>6.9500000000000006E-2</v>
      </c>
      <c r="L33" s="269">
        <v>0.27226072626110814</v>
      </c>
      <c r="M33" s="269">
        <v>0.10567942414999154</v>
      </c>
      <c r="N33" s="270">
        <v>1.1302069098777168</v>
      </c>
      <c r="O33" s="270">
        <v>2.6398509115640278</v>
      </c>
      <c r="P33" s="270">
        <v>13.452443116927057</v>
      </c>
      <c r="Q33" s="270">
        <v>23.234878408858599</v>
      </c>
      <c r="R33" s="270">
        <v>2.8428385265315317</v>
      </c>
      <c r="S33" s="270">
        <v>42.624997180350128</v>
      </c>
      <c r="T33" s="269">
        <v>0.13276798839253917</v>
      </c>
      <c r="U33" s="269">
        <v>8.4562068190636414E-2</v>
      </c>
      <c r="V33" s="269">
        <v>8.77448543218802E-2</v>
      </c>
      <c r="W33" s="269">
        <v>1.6514979421321525</v>
      </c>
      <c r="X33" s="269">
        <v>9.1371725037155543E-2</v>
      </c>
      <c r="Y33" s="269">
        <v>0.55849304447529791</v>
      </c>
      <c r="Z33" s="269">
        <v>0.55849304447529791</v>
      </c>
      <c r="AA33" s="271">
        <v>0.1076269103567748</v>
      </c>
    </row>
    <row r="34" spans="1:27" s="237" customFormat="1">
      <c r="A34" s="268" t="s">
        <v>725</v>
      </c>
      <c r="B34" s="123">
        <v>426</v>
      </c>
      <c r="C34" s="269">
        <v>0.1273559602649007</v>
      </c>
      <c r="D34" s="269">
        <v>7.4276728290765592E-2</v>
      </c>
      <c r="E34" s="269">
        <v>0.10276535855905174</v>
      </c>
      <c r="F34" s="269">
        <v>0.20630778097962557</v>
      </c>
      <c r="G34" s="270">
        <v>0.65968878267504505</v>
      </c>
      <c r="H34" s="270">
        <v>0.84191689518664237</v>
      </c>
      <c r="I34" s="269">
        <v>0.10598496823589405</v>
      </c>
      <c r="J34" s="269">
        <v>0.34158621718358206</v>
      </c>
      <c r="K34" s="269">
        <v>6.9500000000000006E-2</v>
      </c>
      <c r="L34" s="269">
        <v>0.31714825367380384</v>
      </c>
      <c r="M34" s="269">
        <v>8.8976111318933793E-2</v>
      </c>
      <c r="N34" s="270">
        <v>1.5664988491796712</v>
      </c>
      <c r="O34" s="270">
        <v>1.1363326568143441</v>
      </c>
      <c r="P34" s="270">
        <v>10.531883443049173</v>
      </c>
      <c r="Q34" s="270">
        <v>14.629414005607046</v>
      </c>
      <c r="R34" s="270">
        <v>2.1504493343657427</v>
      </c>
      <c r="S34" s="270">
        <v>41.537477508611232</v>
      </c>
      <c r="T34" s="269">
        <v>0.16352430082262925</v>
      </c>
      <c r="U34" s="269">
        <v>4.2599519305417305E-2</v>
      </c>
      <c r="V34" s="269">
        <v>3.452772940859547E-2</v>
      </c>
      <c r="W34" s="269">
        <v>1.3044537684733635</v>
      </c>
      <c r="X34" s="269">
        <v>0.14362550060321239</v>
      </c>
      <c r="Y34" s="269">
        <v>0.32007015569173347</v>
      </c>
      <c r="Z34" s="269">
        <v>0.32007015569173347</v>
      </c>
      <c r="AA34" s="271">
        <v>7.5083908473903282E-2</v>
      </c>
    </row>
    <row r="35" spans="1:27" s="237" customFormat="1">
      <c r="A35" s="268" t="s">
        <v>726</v>
      </c>
      <c r="B35" s="123">
        <v>1089</v>
      </c>
      <c r="C35" s="269">
        <v>0.104697216066482</v>
      </c>
      <c r="D35" s="269">
        <v>0.10651653844559901</v>
      </c>
      <c r="E35" s="269">
        <v>5.9327452725637733E-3</v>
      </c>
      <c r="F35" s="269">
        <v>0.21700378492815886</v>
      </c>
      <c r="G35" s="270">
        <v>0.15539901285715607</v>
      </c>
      <c r="H35" s="270">
        <v>0.88179367642992346</v>
      </c>
      <c r="I35" s="269">
        <v>0.1091671353791079</v>
      </c>
      <c r="J35" s="269">
        <v>0.33123687849243361</v>
      </c>
      <c r="K35" s="269">
        <v>6.9500000000000006E-2</v>
      </c>
      <c r="L35" s="269">
        <v>0.8719326375242562</v>
      </c>
      <c r="M35" s="269">
        <v>5.9630213578402848E-2</v>
      </c>
      <c r="N35" s="270">
        <v>6.4711238201554208E-2</v>
      </c>
      <c r="O35" s="270">
        <v>16.535097333814399</v>
      </c>
      <c r="P35" s="270">
        <v>63.304970355623297</v>
      </c>
      <c r="Q35" s="270">
        <v>74.383314735904918</v>
      </c>
      <c r="R35" s="270">
        <v>1.2380098214278055</v>
      </c>
      <c r="S35" s="270">
        <v>153.15694290299754</v>
      </c>
      <c r="T35" s="269" t="s">
        <v>96</v>
      </c>
      <c r="U35" s="269">
        <v>4.450338862807543E-2</v>
      </c>
      <c r="V35" s="269">
        <v>4.1852132738418361E-2</v>
      </c>
      <c r="W35" s="269">
        <v>0.49278863336413131</v>
      </c>
      <c r="X35" s="269">
        <v>0.14209285342615216</v>
      </c>
      <c r="Y35" s="269">
        <v>0.22864298056819313</v>
      </c>
      <c r="Z35" s="269">
        <v>0.2286429805681931</v>
      </c>
      <c r="AA35" s="271">
        <v>0.1082415050730236</v>
      </c>
    </row>
    <row r="36" spans="1:27" s="237" customFormat="1">
      <c r="A36" s="268" t="s">
        <v>727</v>
      </c>
      <c r="B36" s="123">
        <v>1397</v>
      </c>
      <c r="C36" s="269">
        <v>9.7076004119464404E-2</v>
      </c>
      <c r="D36" s="269">
        <v>8.3213972000600517E-2</v>
      </c>
      <c r="E36" s="269">
        <v>0.1178757677853427</v>
      </c>
      <c r="F36" s="269">
        <v>0.20488868426604323</v>
      </c>
      <c r="G36" s="270">
        <v>0.69180804648805327</v>
      </c>
      <c r="H36" s="270">
        <v>0.79603809344606158</v>
      </c>
      <c r="I36" s="269">
        <v>0.10232383985699571</v>
      </c>
      <c r="J36" s="269">
        <v>0.29170887891196889</v>
      </c>
      <c r="K36" s="269">
        <v>6.9500000000000006E-2</v>
      </c>
      <c r="L36" s="269">
        <v>0.22476528833524001</v>
      </c>
      <c r="M36" s="269">
        <v>9.1092433061323225E-2</v>
      </c>
      <c r="N36" s="270">
        <v>1.6660267682211776</v>
      </c>
      <c r="O36" s="270">
        <v>1.5542804803457522</v>
      </c>
      <c r="P36" s="270">
        <v>13.042858477382078</v>
      </c>
      <c r="Q36" s="270">
        <v>18.28801310021742</v>
      </c>
      <c r="R36" s="270">
        <v>2.4990667838755436</v>
      </c>
      <c r="S36" s="270">
        <v>45.071976673902732</v>
      </c>
      <c r="T36" s="269">
        <v>0.10811631257226161</v>
      </c>
      <c r="U36" s="269">
        <v>4.5122297393227907E-2</v>
      </c>
      <c r="V36" s="269">
        <v>3.3295072764184648E-2</v>
      </c>
      <c r="W36" s="269">
        <v>0.79410782944645997</v>
      </c>
      <c r="X36" s="269">
        <v>0.11636452300326208</v>
      </c>
      <c r="Y36" s="269">
        <v>0.51559701498212285</v>
      </c>
      <c r="Z36" s="269">
        <v>0.51559701498212285</v>
      </c>
      <c r="AA36" s="271">
        <v>8.3445314652687952E-2</v>
      </c>
    </row>
    <row r="37" spans="1:27" s="237" customFormat="1">
      <c r="A37" s="268" t="s">
        <v>728</v>
      </c>
      <c r="B37" s="123">
        <v>169</v>
      </c>
      <c r="C37" s="269">
        <v>6.2875454545454554E-2</v>
      </c>
      <c r="D37" s="269">
        <v>2.5794362646047259E-2</v>
      </c>
      <c r="E37" s="269">
        <v>0.11488938343353311</v>
      </c>
      <c r="F37" s="269">
        <v>0.23204263164290403</v>
      </c>
      <c r="G37" s="270">
        <v>0.48470614104865478</v>
      </c>
      <c r="H37" s="270">
        <v>0.68839747956966135</v>
      </c>
      <c r="I37" s="269">
        <v>9.3734118869658975E-2</v>
      </c>
      <c r="J37" s="269">
        <v>0.31458186609200384</v>
      </c>
      <c r="K37" s="269">
        <v>6.9500000000000006E-2</v>
      </c>
      <c r="L37" s="269">
        <v>0.40467275546799308</v>
      </c>
      <c r="M37" s="269">
        <v>7.6988853780545402E-2</v>
      </c>
      <c r="N37" s="270">
        <v>5.3695862056734871</v>
      </c>
      <c r="O37" s="270">
        <v>0.44390287260227929</v>
      </c>
      <c r="P37" s="270">
        <v>10.933264747622454</v>
      </c>
      <c r="Q37" s="270">
        <v>17.076573138249429</v>
      </c>
      <c r="R37" s="270">
        <v>2.1616053317977144</v>
      </c>
      <c r="S37" s="270">
        <v>45.479220835055926</v>
      </c>
      <c r="T37" s="269">
        <v>5.7725076685344177E-2</v>
      </c>
      <c r="U37" s="269">
        <v>1.1896848371563511E-2</v>
      </c>
      <c r="V37" s="269">
        <v>5.7544623637667347E-3</v>
      </c>
      <c r="W37" s="269">
        <v>0.85072534702466673</v>
      </c>
      <c r="X37" s="269">
        <v>0.1313375950156184</v>
      </c>
      <c r="Y37" s="269">
        <v>0.41004672915186663</v>
      </c>
      <c r="Z37" s="269">
        <v>0.41004672915186657</v>
      </c>
      <c r="AA37" s="271">
        <v>2.5686424038396192E-2</v>
      </c>
    </row>
    <row r="38" spans="1:27" s="237" customFormat="1">
      <c r="A38" s="268" t="s">
        <v>729</v>
      </c>
      <c r="B38" s="123">
        <v>362</v>
      </c>
      <c r="C38" s="269">
        <v>9.0344183266932332E-2</v>
      </c>
      <c r="D38" s="269">
        <v>7.5874881186540372E-2</v>
      </c>
      <c r="E38" s="269">
        <v>0.14641279471865409</v>
      </c>
      <c r="F38" s="269">
        <v>0.19416481758070114</v>
      </c>
      <c r="G38" s="270">
        <v>1.0884231491124254</v>
      </c>
      <c r="H38" s="270">
        <v>1.0821054084407624</v>
      </c>
      <c r="I38" s="269">
        <v>0.12515201159357284</v>
      </c>
      <c r="J38" s="269">
        <v>0.30125928200266844</v>
      </c>
      <c r="K38" s="269">
        <v>6.9500000000000006E-2</v>
      </c>
      <c r="L38" s="269">
        <v>0.2042984087234449</v>
      </c>
      <c r="M38" s="269">
        <v>0.11027956517121806</v>
      </c>
      <c r="N38" s="270">
        <v>2.2818130755137274</v>
      </c>
      <c r="O38" s="270">
        <v>1.0212678274664981</v>
      </c>
      <c r="P38" s="270">
        <v>9.5672766676184544</v>
      </c>
      <c r="Q38" s="270">
        <v>12.903663047759149</v>
      </c>
      <c r="R38" s="270">
        <v>2.2027094370991782</v>
      </c>
      <c r="S38" s="270">
        <v>53.507688395259152</v>
      </c>
      <c r="T38" s="269">
        <v>7.338773485684795E-2</v>
      </c>
      <c r="U38" s="269">
        <v>3.2153880570860299E-2</v>
      </c>
      <c r="V38" s="269">
        <v>1.9103425361702391E-2</v>
      </c>
      <c r="W38" s="269">
        <v>0.80371735502561836</v>
      </c>
      <c r="X38" s="269">
        <v>0.1353404441072435</v>
      </c>
      <c r="Y38" s="269">
        <v>0.52638382360021452</v>
      </c>
      <c r="Z38" s="269">
        <v>0.52638382360021452</v>
      </c>
      <c r="AA38" s="271">
        <v>7.5655724846872219E-2</v>
      </c>
    </row>
    <row r="39" spans="1:27" s="237" customFormat="1">
      <c r="A39" s="268" t="s">
        <v>507</v>
      </c>
      <c r="B39" s="123">
        <v>248</v>
      </c>
      <c r="C39" s="269">
        <v>0.15748204724409451</v>
      </c>
      <c r="D39" s="269">
        <v>0.32890130702989834</v>
      </c>
      <c r="E39" s="269">
        <v>6.7353380013681546E-2</v>
      </c>
      <c r="F39" s="269">
        <v>0.16194245636985027</v>
      </c>
      <c r="G39" s="270">
        <v>0.73909035032579629</v>
      </c>
      <c r="H39" s="270">
        <v>1.0336423067859184</v>
      </c>
      <c r="I39" s="269">
        <v>0.12128465608151628</v>
      </c>
      <c r="J39" s="269">
        <v>0.36974872492744715</v>
      </c>
      <c r="K39" s="269">
        <v>6.9500000000000006E-2</v>
      </c>
      <c r="L39" s="269">
        <v>0.38391147299077572</v>
      </c>
      <c r="M39" s="269">
        <v>9.4821520740056342E-2</v>
      </c>
      <c r="N39" s="270">
        <v>0.2293780785175985</v>
      </c>
      <c r="O39" s="270">
        <v>7.5246539792933156</v>
      </c>
      <c r="P39" s="270">
        <v>14.030011705053287</v>
      </c>
      <c r="Q39" s="270">
        <v>22.59081317615253</v>
      </c>
      <c r="R39" s="270">
        <v>1.9232200976937126</v>
      </c>
      <c r="S39" s="270">
        <v>47.369779187704324</v>
      </c>
      <c r="T39" s="269">
        <v>0.11304862660232423</v>
      </c>
      <c r="U39" s="269">
        <v>0.38572529576171299</v>
      </c>
      <c r="V39" s="269">
        <v>0.24846525569738823</v>
      </c>
      <c r="W39" s="269">
        <v>1.171130427953877</v>
      </c>
      <c r="X39" s="269">
        <v>0.19282714525293054</v>
      </c>
      <c r="Y39" s="269">
        <v>0.35813487987426063</v>
      </c>
      <c r="Z39" s="269">
        <v>0.35813487987426063</v>
      </c>
      <c r="AA39" s="271">
        <v>0.32759318005707233</v>
      </c>
    </row>
    <row r="40" spans="1:27" s="237" customFormat="1">
      <c r="A40" s="268" t="s">
        <v>730</v>
      </c>
      <c r="B40" s="123">
        <v>896</v>
      </c>
      <c r="C40" s="269">
        <v>0.15152649797570858</v>
      </c>
      <c r="D40" s="269">
        <v>0.15096971096104425</v>
      </c>
      <c r="E40" s="269">
        <v>0.1352276726043494</v>
      </c>
      <c r="F40" s="269">
        <v>0.18304340165470476</v>
      </c>
      <c r="G40" s="270">
        <v>1.0775359783236322</v>
      </c>
      <c r="H40" s="270">
        <v>1.1305011645147018</v>
      </c>
      <c r="I40" s="269">
        <v>0.1290139929282732</v>
      </c>
      <c r="J40" s="269">
        <v>0.43161496413982586</v>
      </c>
      <c r="K40" s="269">
        <v>6.9500000000000006E-2</v>
      </c>
      <c r="L40" s="269">
        <v>0.11619162184556213</v>
      </c>
      <c r="M40" s="269">
        <v>0.12010678468633545</v>
      </c>
      <c r="N40" s="270">
        <v>0.95057028731285942</v>
      </c>
      <c r="O40" s="270">
        <v>4.401980924665958</v>
      </c>
      <c r="P40" s="270">
        <v>17.54319683749446</v>
      </c>
      <c r="Q40" s="270">
        <v>27.465650956358477</v>
      </c>
      <c r="R40" s="270">
        <v>3.6045967641993903</v>
      </c>
      <c r="S40" s="270">
        <v>55.299306422827527</v>
      </c>
      <c r="T40" s="269">
        <v>0.24351064396568506</v>
      </c>
      <c r="U40" s="269">
        <v>5.6535573190572848E-2</v>
      </c>
      <c r="V40" s="269">
        <v>0.10326654607578553</v>
      </c>
      <c r="W40" s="269">
        <v>1.1082463831838485</v>
      </c>
      <c r="X40" s="269">
        <v>7.8992341195298507E-2</v>
      </c>
      <c r="Y40" s="269">
        <v>0.47892134430038719</v>
      </c>
      <c r="Z40" s="269">
        <v>0.47892134430038724</v>
      </c>
      <c r="AA40" s="271">
        <v>0.15422910964795478</v>
      </c>
    </row>
    <row r="41" spans="1:27" s="237" customFormat="1">
      <c r="A41" s="268" t="s">
        <v>731</v>
      </c>
      <c r="B41" s="123">
        <v>460</v>
      </c>
      <c r="C41" s="269">
        <v>0.14661127906976745</v>
      </c>
      <c r="D41" s="269">
        <v>4.2303371055602383E-2</v>
      </c>
      <c r="E41" s="269">
        <v>0.24286107738383947</v>
      </c>
      <c r="F41" s="269">
        <v>0.22635668993878802</v>
      </c>
      <c r="G41" s="270">
        <v>0.92055004436243304</v>
      </c>
      <c r="H41" s="270">
        <v>1.0131363720531945</v>
      </c>
      <c r="I41" s="269">
        <v>0.11964828248984492</v>
      </c>
      <c r="J41" s="269">
        <v>0.38241271592555787</v>
      </c>
      <c r="K41" s="269">
        <v>6.9500000000000006E-2</v>
      </c>
      <c r="L41" s="269">
        <v>0.21480632072052405</v>
      </c>
      <c r="M41" s="269">
        <v>0.105193120444886</v>
      </c>
      <c r="N41" s="270">
        <v>6.7790063689414541</v>
      </c>
      <c r="O41" s="270">
        <v>0.68587290219167485</v>
      </c>
      <c r="P41" s="270">
        <v>11.670725837391533</v>
      </c>
      <c r="Q41" s="270">
        <v>15.975037197614578</v>
      </c>
      <c r="R41" s="270">
        <v>2.8275940639627919</v>
      </c>
      <c r="S41" s="270">
        <v>41.59070570653649</v>
      </c>
      <c r="T41" s="269">
        <v>-3.4790745486122918E-2</v>
      </c>
      <c r="U41" s="269">
        <v>1.1193000384593066E-2</v>
      </c>
      <c r="V41" s="269">
        <v>1.147731795337012E-2</v>
      </c>
      <c r="W41" s="269">
        <v>0.46684760161861932</v>
      </c>
      <c r="X41" s="269">
        <v>0.10886237618760991</v>
      </c>
      <c r="Y41" s="269">
        <v>0.37539624729138682</v>
      </c>
      <c r="Z41" s="269">
        <v>0.37539624729138676</v>
      </c>
      <c r="AA41" s="271">
        <v>4.1825760899788428E-2</v>
      </c>
    </row>
    <row r="42" spans="1:27" s="237" customFormat="1">
      <c r="A42" s="268" t="s">
        <v>732</v>
      </c>
      <c r="B42" s="123">
        <v>447</v>
      </c>
      <c r="C42" s="269">
        <v>0.20462864035087733</v>
      </c>
      <c r="D42" s="269">
        <v>0.16006819885448872</v>
      </c>
      <c r="E42" s="269">
        <v>0.16356639499180595</v>
      </c>
      <c r="F42" s="269">
        <v>0.16972013476926534</v>
      </c>
      <c r="G42" s="270">
        <v>1.2736117177372563</v>
      </c>
      <c r="H42" s="270">
        <v>1.3377797757878629</v>
      </c>
      <c r="I42" s="269">
        <v>0.14555482610787146</v>
      </c>
      <c r="J42" s="269">
        <v>0.45081477143098153</v>
      </c>
      <c r="K42" s="269">
        <v>6.9500000000000006E-2</v>
      </c>
      <c r="L42" s="269">
        <v>0.10660654390272724</v>
      </c>
      <c r="M42" s="269">
        <v>0.13561904545992257</v>
      </c>
      <c r="N42" s="270">
        <v>1.0682277315056228</v>
      </c>
      <c r="O42" s="270">
        <v>5.5013594716637444</v>
      </c>
      <c r="P42" s="270">
        <v>20.992704781338507</v>
      </c>
      <c r="Q42" s="270">
        <v>33.022761124162685</v>
      </c>
      <c r="R42" s="270">
        <v>4.3589307174771452</v>
      </c>
      <c r="S42" s="270">
        <v>52.052376257643353</v>
      </c>
      <c r="T42" s="269">
        <v>0.22881100885747016</v>
      </c>
      <c r="U42" s="269">
        <v>7.3463697611661272E-2</v>
      </c>
      <c r="V42" s="269">
        <v>0.14879751394370175</v>
      </c>
      <c r="W42" s="269">
        <v>1.4410021525209946</v>
      </c>
      <c r="X42" s="269">
        <v>3.5050016747700995E-2</v>
      </c>
      <c r="Y42" s="269">
        <v>0.35753705040317413</v>
      </c>
      <c r="Z42" s="269">
        <v>0.35753705040317407</v>
      </c>
      <c r="AA42" s="271">
        <v>0.16553367467046465</v>
      </c>
    </row>
    <row r="43" spans="1:27" s="237" customFormat="1">
      <c r="A43" s="268" t="s">
        <v>733</v>
      </c>
      <c r="B43" s="123">
        <v>171</v>
      </c>
      <c r="C43" s="269">
        <v>7.5865362318840626E-2</v>
      </c>
      <c r="D43" s="269">
        <v>0.15495719798118576</v>
      </c>
      <c r="E43" s="269">
        <v>0.17576561641927174</v>
      </c>
      <c r="F43" s="269">
        <v>0.23537488242222698</v>
      </c>
      <c r="G43" s="270">
        <v>0.97489554506089793</v>
      </c>
      <c r="H43" s="270">
        <v>1.1397794466928413</v>
      </c>
      <c r="I43" s="269">
        <v>0.12975439984608872</v>
      </c>
      <c r="J43" s="269">
        <v>0.28509702105698664</v>
      </c>
      <c r="K43" s="269">
        <v>6.9500000000000006E-2</v>
      </c>
      <c r="L43" s="269">
        <v>0.31532837433795108</v>
      </c>
      <c r="M43" s="269">
        <v>0.10534796795444518</v>
      </c>
      <c r="N43" s="270">
        <v>1.4588857872173531</v>
      </c>
      <c r="O43" s="270">
        <v>0.85443294966352978</v>
      </c>
      <c r="P43" s="270">
        <v>5.0324708317726499</v>
      </c>
      <c r="Q43" s="270">
        <v>5.6291972439872957</v>
      </c>
      <c r="R43" s="270">
        <v>1.1140152455630299</v>
      </c>
      <c r="S43" s="270">
        <v>26.850355328605822</v>
      </c>
      <c r="T43" s="269">
        <v>0.61661866840206481</v>
      </c>
      <c r="U43" s="269">
        <v>6.9779275561657446E-3</v>
      </c>
      <c r="V43" s="269">
        <v>1.1182492565286405E-2</v>
      </c>
      <c r="W43" s="269">
        <v>0.74946002329353456</v>
      </c>
      <c r="X43" s="269">
        <v>0.19431222567463893</v>
      </c>
      <c r="Y43" s="269">
        <v>0.16051300014034145</v>
      </c>
      <c r="Z43" s="269">
        <v>0.16051300014034142</v>
      </c>
      <c r="AA43" s="271">
        <v>0.14965402333568886</v>
      </c>
    </row>
    <row r="44" spans="1:27" s="237" customFormat="1">
      <c r="A44" s="268" t="s">
        <v>734</v>
      </c>
      <c r="B44" s="123">
        <v>231</v>
      </c>
      <c r="C44" s="269">
        <v>9.0183986928104559E-2</v>
      </c>
      <c r="D44" s="269">
        <v>0.11144592137589428</v>
      </c>
      <c r="E44" s="269">
        <v>0.11635149727764249</v>
      </c>
      <c r="F44" s="269">
        <v>0.21457189962085135</v>
      </c>
      <c r="G44" s="270">
        <v>0.57071053339417088</v>
      </c>
      <c r="H44" s="270">
        <v>0.76794023174770742</v>
      </c>
      <c r="I44" s="269">
        <v>0.10008163049346705</v>
      </c>
      <c r="J44" s="269">
        <v>0.31837828004372998</v>
      </c>
      <c r="K44" s="269">
        <v>6.9500000000000006E-2</v>
      </c>
      <c r="L44" s="269">
        <v>0.33983004729540051</v>
      </c>
      <c r="M44" s="269">
        <v>8.3862466506091304E-2</v>
      </c>
      <c r="N44" s="270">
        <v>1.2424263296458609</v>
      </c>
      <c r="O44" s="270">
        <v>2.3120736886481557</v>
      </c>
      <c r="P44" s="270">
        <v>13.54146808270113</v>
      </c>
      <c r="Q44" s="270">
        <v>20.526220971974809</v>
      </c>
      <c r="R44" s="270">
        <v>3.7479687612787038</v>
      </c>
      <c r="S44" s="270">
        <v>51.882384621484761</v>
      </c>
      <c r="T44" s="269">
        <v>6.4021195070783563E-2</v>
      </c>
      <c r="U44" s="269">
        <v>6.5563767804585407E-2</v>
      </c>
      <c r="V44" s="269">
        <v>3.1508810674146785E-2</v>
      </c>
      <c r="W44" s="269">
        <v>0.56708032204861203</v>
      </c>
      <c r="X44" s="269">
        <v>0.15650807269310177</v>
      </c>
      <c r="Y44" s="269">
        <v>0.31772256372534741</v>
      </c>
      <c r="Z44" s="269">
        <v>0.31772256372534735</v>
      </c>
      <c r="AA44" s="271">
        <v>0.11084921823155379</v>
      </c>
    </row>
    <row r="45" spans="1:27" s="237" customFormat="1">
      <c r="A45" s="268" t="s">
        <v>735</v>
      </c>
      <c r="B45" s="123">
        <v>650</v>
      </c>
      <c r="C45" s="269">
        <v>-1.46983857442348E-2</v>
      </c>
      <c r="D45" s="269">
        <v>5.7973344234807628E-2</v>
      </c>
      <c r="E45" s="269">
        <v>2.1470742209970764E-2</v>
      </c>
      <c r="F45" s="269">
        <v>0.23239039501910805</v>
      </c>
      <c r="G45" s="270">
        <v>0.74523740871313393</v>
      </c>
      <c r="H45" s="270">
        <v>0.97058639732290319</v>
      </c>
      <c r="I45" s="269">
        <v>0.11625279450636768</v>
      </c>
      <c r="J45" s="269">
        <v>0.34991307923365311</v>
      </c>
      <c r="K45" s="269">
        <v>6.9500000000000006E-2</v>
      </c>
      <c r="L45" s="269">
        <v>0.36056008478203067</v>
      </c>
      <c r="M45" s="269">
        <v>9.3213565937711865E-2</v>
      </c>
      <c r="N45" s="270">
        <v>0.56318485275992658</v>
      </c>
      <c r="O45" s="270">
        <v>3.8920959066172398</v>
      </c>
      <c r="P45" s="270">
        <v>16.455046468185142</v>
      </c>
      <c r="Q45" s="270">
        <v>74.007529132549607</v>
      </c>
      <c r="R45" s="270">
        <v>3.1356479827955788</v>
      </c>
      <c r="S45" s="270">
        <v>71.886708344430716</v>
      </c>
      <c r="T45" s="269">
        <v>7.4461963202217115E-3</v>
      </c>
      <c r="U45" s="269">
        <v>7.4369482110962185E-2</v>
      </c>
      <c r="V45" s="269">
        <v>1.6421566811355561E-2</v>
      </c>
      <c r="W45" s="269">
        <v>1.1479792696025544</v>
      </c>
      <c r="X45" s="269">
        <v>2.2693214706000397E-2</v>
      </c>
      <c r="Y45" s="269">
        <v>0.76205189764877668</v>
      </c>
      <c r="Z45" s="269">
        <v>0.76205189764877668</v>
      </c>
      <c r="AA45" s="271">
        <v>4.1681343831587121E-2</v>
      </c>
    </row>
    <row r="46" spans="1:27" s="237" customFormat="1">
      <c r="A46" s="268" t="s">
        <v>736</v>
      </c>
      <c r="B46" s="123">
        <v>589</v>
      </c>
      <c r="C46" s="269">
        <v>6.8795195530726189E-2</v>
      </c>
      <c r="D46" s="269">
        <v>0.14889539541413527</v>
      </c>
      <c r="E46" s="269">
        <v>0.22892705098975522</v>
      </c>
      <c r="F46" s="269">
        <v>0.21653101556185894</v>
      </c>
      <c r="G46" s="270">
        <v>0.95925072154323698</v>
      </c>
      <c r="H46" s="270">
        <v>1.0240740179746777</v>
      </c>
      <c r="I46" s="269">
        <v>0.12052110663437927</v>
      </c>
      <c r="J46" s="269">
        <v>0.37891980080211041</v>
      </c>
      <c r="K46" s="269">
        <v>6.9500000000000006E-2</v>
      </c>
      <c r="L46" s="269">
        <v>0.12288598649272289</v>
      </c>
      <c r="M46" s="269">
        <v>0.11214436749935422</v>
      </c>
      <c r="N46" s="270">
        <v>1.748546760596642</v>
      </c>
      <c r="O46" s="270">
        <v>3.3530050782266416</v>
      </c>
      <c r="P46" s="270">
        <v>17.791187993381833</v>
      </c>
      <c r="Q46" s="270">
        <v>22.186521995295013</v>
      </c>
      <c r="R46" s="270">
        <v>5.2426976351351451</v>
      </c>
      <c r="S46" s="270">
        <v>74.726398649483642</v>
      </c>
      <c r="T46" s="269">
        <v>6.5154198848333789E-2</v>
      </c>
      <c r="U46" s="269">
        <v>3.4365605995926057E-2</v>
      </c>
      <c r="V46" s="269">
        <v>2.6033477826032644E-2</v>
      </c>
      <c r="W46" s="269">
        <v>0.35417315095367757</v>
      </c>
      <c r="X46" s="269">
        <v>0.19391815619878336</v>
      </c>
      <c r="Y46" s="269">
        <v>0.59982517906400279</v>
      </c>
      <c r="Z46" s="269">
        <v>0.59982517906400279</v>
      </c>
      <c r="AA46" s="271">
        <v>0.14841624764038996</v>
      </c>
    </row>
    <row r="47" spans="1:27" s="237" customFormat="1">
      <c r="A47" s="268" t="s">
        <v>737</v>
      </c>
      <c r="B47" s="123">
        <v>242</v>
      </c>
      <c r="C47" s="269">
        <v>0.1099322137404581</v>
      </c>
      <c r="D47" s="269">
        <v>0.20798720231291662</v>
      </c>
      <c r="E47" s="269">
        <v>0.28674950161733914</v>
      </c>
      <c r="F47" s="269">
        <v>0.19823094621386078</v>
      </c>
      <c r="G47" s="270">
        <v>1.341638572668401</v>
      </c>
      <c r="H47" s="270">
        <v>1.4107202256089806</v>
      </c>
      <c r="I47" s="269">
        <v>0.15137547400359663</v>
      </c>
      <c r="J47" s="269">
        <v>0.40765639840290036</v>
      </c>
      <c r="K47" s="269">
        <v>6.9500000000000006E-2</v>
      </c>
      <c r="L47" s="269">
        <v>0.12308124671080803</v>
      </c>
      <c r="M47" s="269">
        <v>0.13918783061052845</v>
      </c>
      <c r="N47" s="270">
        <v>1.5812475805660275</v>
      </c>
      <c r="O47" s="270">
        <v>5.4754784425523511</v>
      </c>
      <c r="P47" s="270">
        <v>18.24986278020042</v>
      </c>
      <c r="Q47" s="270">
        <v>24.826073772056251</v>
      </c>
      <c r="R47" s="270">
        <v>5.2587903039288859</v>
      </c>
      <c r="S47" s="270">
        <v>54.49701097519528</v>
      </c>
      <c r="T47" s="269">
        <v>2.9592502219401365E-2</v>
      </c>
      <c r="U47" s="269">
        <v>3.1231663406059016E-2</v>
      </c>
      <c r="V47" s="269">
        <v>2.5610685683135626E-2</v>
      </c>
      <c r="W47" s="269">
        <v>0.36520338073701031</v>
      </c>
      <c r="X47" s="269">
        <v>0.14456373910874776</v>
      </c>
      <c r="Y47" s="269">
        <v>0.30606857936674892</v>
      </c>
      <c r="Z47" s="269">
        <v>0.30606857936674892</v>
      </c>
      <c r="AA47" s="271">
        <v>0.21436307387873141</v>
      </c>
    </row>
    <row r="48" spans="1:27" s="237" customFormat="1">
      <c r="A48" s="268" t="s">
        <v>738</v>
      </c>
      <c r="B48" s="123">
        <v>206</v>
      </c>
      <c r="C48" s="269">
        <v>6.3152899408284016E-2</v>
      </c>
      <c r="D48" s="269">
        <v>0.10406830157075771</v>
      </c>
      <c r="E48" s="269">
        <v>0.11101717127867118</v>
      </c>
      <c r="F48" s="269">
        <v>0.20597412821067834</v>
      </c>
      <c r="G48" s="270">
        <v>0.60929069819651416</v>
      </c>
      <c r="H48" s="270">
        <v>0.69066681475722358</v>
      </c>
      <c r="I48" s="269">
        <v>9.3915211817626437E-2</v>
      </c>
      <c r="J48" s="269">
        <v>0.25272166193104129</v>
      </c>
      <c r="K48" s="269">
        <v>6.9500000000000006E-2</v>
      </c>
      <c r="L48" s="269">
        <v>0.2918827858410955</v>
      </c>
      <c r="M48" s="269">
        <v>8.1784311688340827E-2</v>
      </c>
      <c r="N48" s="270">
        <v>1.24965626436614</v>
      </c>
      <c r="O48" s="270">
        <v>1.188008263499676</v>
      </c>
      <c r="P48" s="270">
        <v>8.9022015071971357</v>
      </c>
      <c r="Q48" s="270">
        <v>11.079319418780047</v>
      </c>
      <c r="R48" s="270">
        <v>1.7521574454494151</v>
      </c>
      <c r="S48" s="270">
        <v>38.508132037411606</v>
      </c>
      <c r="T48" s="269">
        <v>4.5398911100244445E-2</v>
      </c>
      <c r="U48" s="269">
        <v>8.6173960957734216E-3</v>
      </c>
      <c r="V48" s="269">
        <v>6.7555680333910902E-3</v>
      </c>
      <c r="W48" s="269">
        <v>0.40041511839985872</v>
      </c>
      <c r="X48" s="269">
        <v>0.1109472421073442</v>
      </c>
      <c r="Y48" s="269">
        <v>0.3914994014939252</v>
      </c>
      <c r="Z48" s="269">
        <v>0.39149940149392526</v>
      </c>
      <c r="AA48" s="271">
        <v>0.10471297824825589</v>
      </c>
    </row>
    <row r="49" spans="1:27" s="237" customFormat="1">
      <c r="A49" s="268" t="s">
        <v>739</v>
      </c>
      <c r="B49" s="123">
        <v>142</v>
      </c>
      <c r="C49" s="269">
        <v>0.10457288288288295</v>
      </c>
      <c r="D49" s="269">
        <v>5.656509696153738E-2</v>
      </c>
      <c r="E49" s="269">
        <v>3.9384734913749324E-2</v>
      </c>
      <c r="F49" s="269">
        <v>0.15749385810310829</v>
      </c>
      <c r="G49" s="270">
        <v>0.79627620062989934</v>
      </c>
      <c r="H49" s="270">
        <v>0.90378650219753498</v>
      </c>
      <c r="I49" s="269">
        <v>0.11092216287536329</v>
      </c>
      <c r="J49" s="269">
        <v>0.23901505811759377</v>
      </c>
      <c r="K49" s="269">
        <v>6.1800000000000001E-2</v>
      </c>
      <c r="L49" s="269">
        <v>0.49617651063680412</v>
      </c>
      <c r="M49" s="269">
        <v>7.8984162653173415E-2</v>
      </c>
      <c r="N49" s="270">
        <v>0.80201760425906587</v>
      </c>
      <c r="O49" s="270">
        <v>1.1271766774918102</v>
      </c>
      <c r="P49" s="270">
        <v>11.129244835533825</v>
      </c>
      <c r="Q49" s="270">
        <v>16.271411386726815</v>
      </c>
      <c r="R49" s="270">
        <v>1.2578747095304454</v>
      </c>
      <c r="S49" s="270">
        <v>27.359392745137853</v>
      </c>
      <c r="T49" s="269">
        <v>-1.0607068814046108</v>
      </c>
      <c r="U49" s="269">
        <v>6.3281639818224232E-3</v>
      </c>
      <c r="V49" s="269">
        <v>1.2637845656328256E-2</v>
      </c>
      <c r="W49" s="269">
        <v>0.24419652289647661</v>
      </c>
      <c r="X49" s="269">
        <v>7.0183178984228919E-2</v>
      </c>
      <c r="Y49" s="269">
        <v>0.45904302814741293</v>
      </c>
      <c r="Z49" s="269">
        <v>0.45904302814741293</v>
      </c>
      <c r="AA49" s="271">
        <v>5.6689336985043741E-2</v>
      </c>
    </row>
    <row r="50" spans="1:27" s="237" customFormat="1">
      <c r="A50" s="268" t="s">
        <v>740</v>
      </c>
      <c r="B50" s="123">
        <v>235</v>
      </c>
      <c r="C50" s="269">
        <v>6.4738636363636318E-2</v>
      </c>
      <c r="D50" s="269">
        <v>6.3788599358268291E-2</v>
      </c>
      <c r="E50" s="269">
        <v>6.7197915070148037E-2</v>
      </c>
      <c r="F50" s="269">
        <v>0.19491625264670201</v>
      </c>
      <c r="G50" s="270">
        <v>0.69069421823593102</v>
      </c>
      <c r="H50" s="270">
        <v>0.74575047892416713</v>
      </c>
      <c r="I50" s="269">
        <v>9.831088821814854E-2</v>
      </c>
      <c r="J50" s="269">
        <v>0.26692529380793906</v>
      </c>
      <c r="K50" s="269">
        <v>6.9500000000000006E-2</v>
      </c>
      <c r="L50" s="269">
        <v>0.20181381932143566</v>
      </c>
      <c r="M50" s="269">
        <v>8.903622371755246E-2</v>
      </c>
      <c r="N50" s="270">
        <v>1.2439988186908715</v>
      </c>
      <c r="O50" s="270">
        <v>1.1056855730020798</v>
      </c>
      <c r="P50" s="270">
        <v>12.606428708454226</v>
      </c>
      <c r="Q50" s="270">
        <v>16.619567458404536</v>
      </c>
      <c r="R50" s="270">
        <v>1.5933275666493296</v>
      </c>
      <c r="S50" s="270">
        <v>20.316274143034072</v>
      </c>
      <c r="T50" s="269">
        <v>-0.41454863611787118</v>
      </c>
      <c r="U50" s="269">
        <v>6.8210247518077595E-3</v>
      </c>
      <c r="V50" s="269">
        <v>2.7305540715448855E-3</v>
      </c>
      <c r="W50" s="269">
        <v>0.34426103752747311</v>
      </c>
      <c r="X50" s="269">
        <v>6.7870937712370794E-2</v>
      </c>
      <c r="Y50" s="269">
        <v>0.54947809797432756</v>
      </c>
      <c r="Z50" s="269">
        <v>0.54947809797432756</v>
      </c>
      <c r="AA50" s="271">
        <v>6.4158674737517296E-2</v>
      </c>
    </row>
    <row r="51" spans="1:27" s="237" customFormat="1">
      <c r="A51" s="268" t="s">
        <v>741</v>
      </c>
      <c r="B51" s="123">
        <v>1660</v>
      </c>
      <c r="C51" s="269">
        <v>0.11960795744680854</v>
      </c>
      <c r="D51" s="269">
        <v>0.2024143572291584</v>
      </c>
      <c r="E51" s="269">
        <v>6.2599876476218549E-2</v>
      </c>
      <c r="F51" s="269">
        <v>0.16368981033632454</v>
      </c>
      <c r="G51" s="270">
        <v>0.56519706406152803</v>
      </c>
      <c r="H51" s="270">
        <v>0.79218334924212164</v>
      </c>
      <c r="I51" s="269">
        <v>0.10201623126952131</v>
      </c>
      <c r="J51" s="269">
        <v>0.26550357638295474</v>
      </c>
      <c r="K51" s="269">
        <v>6.9500000000000006E-2</v>
      </c>
      <c r="L51" s="269">
        <v>0.43258015946052009</v>
      </c>
      <c r="M51" s="269">
        <v>8.0533486750842362E-2</v>
      </c>
      <c r="N51" s="270">
        <v>0.32929523205310735</v>
      </c>
      <c r="O51" s="270">
        <v>4.6387887741941149</v>
      </c>
      <c r="P51" s="270">
        <v>12.510631400512599</v>
      </c>
      <c r="Q51" s="270">
        <v>15.16699627760411</v>
      </c>
      <c r="R51" s="270">
        <v>1.4294350080625697</v>
      </c>
      <c r="S51" s="270">
        <v>237.99123963506088</v>
      </c>
      <c r="T51" s="269" t="s">
        <v>96</v>
      </c>
      <c r="U51" s="269">
        <v>3.8934740984049025E-2</v>
      </c>
      <c r="V51" s="269">
        <v>0.13382356189944222</v>
      </c>
      <c r="W51" s="269">
        <v>0.92376896892922944</v>
      </c>
      <c r="X51" s="269">
        <v>0.12311740738383642</v>
      </c>
      <c r="Y51" s="269">
        <v>0.47729614764336215</v>
      </c>
      <c r="Z51" s="269">
        <v>0.47729614764336215</v>
      </c>
      <c r="AA51" s="271">
        <v>0.20171069068869443</v>
      </c>
    </row>
    <row r="52" spans="1:27" s="237" customFormat="1">
      <c r="A52" s="268" t="s">
        <v>742</v>
      </c>
      <c r="B52" s="123">
        <v>1463</v>
      </c>
      <c r="C52" s="269">
        <v>7.4357194780987929E-2</v>
      </c>
      <c r="D52" s="269">
        <v>9.6838342723796836E-2</v>
      </c>
      <c r="E52" s="269">
        <v>0.11441000402524393</v>
      </c>
      <c r="F52" s="269">
        <v>0.22190417208531613</v>
      </c>
      <c r="G52" s="270">
        <v>1.0629501446657796</v>
      </c>
      <c r="H52" s="270">
        <v>1.1021402522422057</v>
      </c>
      <c r="I52" s="269">
        <v>0.12675079212892801</v>
      </c>
      <c r="J52" s="269">
        <v>0.31622845943757366</v>
      </c>
      <c r="K52" s="269">
        <v>6.9500000000000006E-2</v>
      </c>
      <c r="L52" s="269">
        <v>0.14718270181512369</v>
      </c>
      <c r="M52" s="269">
        <v>0.11580092277095988</v>
      </c>
      <c r="N52" s="270">
        <v>1.4166874133694627</v>
      </c>
      <c r="O52" s="270">
        <v>1.9747841954393592</v>
      </c>
      <c r="P52" s="270">
        <v>13.995107287843217</v>
      </c>
      <c r="Q52" s="270">
        <v>19.532098995488457</v>
      </c>
      <c r="R52" s="270">
        <v>2.7467697368619257</v>
      </c>
      <c r="S52" s="270">
        <v>38.913964145792391</v>
      </c>
      <c r="T52" s="269">
        <v>0.28268996472541225</v>
      </c>
      <c r="U52" s="269">
        <v>4.0581086874037518E-2</v>
      </c>
      <c r="V52" s="269">
        <v>5.2782923233098585E-2</v>
      </c>
      <c r="W52" s="269">
        <v>1.3529004573697616</v>
      </c>
      <c r="X52" s="269">
        <v>0.10790104842911155</v>
      </c>
      <c r="Y52" s="269">
        <v>0.39724065432609074</v>
      </c>
      <c r="Z52" s="269">
        <v>0.39724065432609068</v>
      </c>
      <c r="AA52" s="271">
        <v>9.6250648014029647E-2</v>
      </c>
    </row>
    <row r="53" spans="1:27" s="237" customFormat="1">
      <c r="A53" s="268" t="s">
        <v>743</v>
      </c>
      <c r="B53" s="123">
        <v>1783</v>
      </c>
      <c r="C53" s="269">
        <v>0.14998445360824739</v>
      </c>
      <c r="D53" s="269">
        <v>0.16457676118489492</v>
      </c>
      <c r="E53" s="269">
        <v>0.24562183011742217</v>
      </c>
      <c r="F53" s="269">
        <v>0.26996966231622316</v>
      </c>
      <c r="G53" s="270">
        <v>1.109674282355319</v>
      </c>
      <c r="H53" s="270">
        <v>1.1980661936405959</v>
      </c>
      <c r="I53" s="269">
        <v>0.13440568225251953</v>
      </c>
      <c r="J53" s="269">
        <v>0.61690411142274737</v>
      </c>
      <c r="K53" s="269">
        <v>7.3300000000000004E-2</v>
      </c>
      <c r="L53" s="269">
        <v>0.21009308863775686</v>
      </c>
      <c r="M53" s="269">
        <v>0.11776866430269403</v>
      </c>
      <c r="N53" s="270">
        <v>1.5541907800285226</v>
      </c>
      <c r="O53" s="270">
        <v>1.1859212203390777</v>
      </c>
      <c r="P53" s="270">
        <v>5.300524863110458</v>
      </c>
      <c r="Q53" s="270">
        <v>6.8194393583688351</v>
      </c>
      <c r="R53" s="270">
        <v>1.8251328688458563</v>
      </c>
      <c r="S53" s="270">
        <v>76.701735519732694</v>
      </c>
      <c r="T53" s="269">
        <v>0.10964360197616566</v>
      </c>
      <c r="U53" s="269">
        <v>6.3028044378982268E-2</v>
      </c>
      <c r="V53" s="269">
        <v>3.6642012812418592E-2</v>
      </c>
      <c r="W53" s="269">
        <v>0.57132784278564519</v>
      </c>
      <c r="X53" s="269">
        <v>0.2395479215961703</v>
      </c>
      <c r="Y53" s="269">
        <v>0.47218810263430189</v>
      </c>
      <c r="Z53" s="269">
        <v>0.47218810263430189</v>
      </c>
      <c r="AA53" s="271">
        <v>0.16521247908868061</v>
      </c>
    </row>
    <row r="54" spans="1:27" s="237" customFormat="1">
      <c r="A54" s="268" t="s">
        <v>744</v>
      </c>
      <c r="B54" s="123">
        <v>144</v>
      </c>
      <c r="C54" s="269">
        <v>6.0780172413793132E-2</v>
      </c>
      <c r="D54" s="269">
        <v>6.8751325899671492E-2</v>
      </c>
      <c r="E54" s="269">
        <v>0.10525106285728021</v>
      </c>
      <c r="F54" s="269">
        <v>0.24108157389181584</v>
      </c>
      <c r="G54" s="270">
        <v>0.83449438172372425</v>
      </c>
      <c r="H54" s="270">
        <v>0.92524147810104651</v>
      </c>
      <c r="I54" s="269">
        <v>0.11263426995246351</v>
      </c>
      <c r="J54" s="269">
        <v>0.33105972711523934</v>
      </c>
      <c r="K54" s="269">
        <v>6.9500000000000006E-2</v>
      </c>
      <c r="L54" s="269">
        <v>0.25131553911848697</v>
      </c>
      <c r="M54" s="269">
        <v>9.7484989371590905E-2</v>
      </c>
      <c r="N54" s="270">
        <v>1.8244325968890227</v>
      </c>
      <c r="O54" s="270">
        <v>0.9905845551087058</v>
      </c>
      <c r="P54" s="270">
        <v>8.5271118915928348</v>
      </c>
      <c r="Q54" s="270">
        <v>13.298596323993481</v>
      </c>
      <c r="R54" s="270">
        <v>1.7846844806000841</v>
      </c>
      <c r="S54" s="270">
        <v>38.12834128674367</v>
      </c>
      <c r="T54" s="269">
        <v>0.12932312282789618</v>
      </c>
      <c r="U54" s="269">
        <v>2.3926107503514194E-2</v>
      </c>
      <c r="V54" s="269">
        <v>2.8513177071206312E-2</v>
      </c>
      <c r="W54" s="269">
        <v>1.093383155296316</v>
      </c>
      <c r="X54" s="269">
        <v>5.7369127188005534E-2</v>
      </c>
      <c r="Y54" s="269">
        <v>0.63488890541059773</v>
      </c>
      <c r="Z54" s="269">
        <v>0.63488890541059773</v>
      </c>
      <c r="AA54" s="271">
        <v>6.9942584144654221E-2</v>
      </c>
    </row>
    <row r="55" spans="1:27" s="237" customFormat="1">
      <c r="A55" s="268" t="s">
        <v>745</v>
      </c>
      <c r="B55" s="123">
        <v>36</v>
      </c>
      <c r="C55" s="269">
        <v>0.14567833333333333</v>
      </c>
      <c r="D55" s="269">
        <v>0.20335295617346388</v>
      </c>
      <c r="E55" s="269">
        <v>0.27004010102815007</v>
      </c>
      <c r="F55" s="269">
        <v>0.41991138498909009</v>
      </c>
      <c r="G55" s="270">
        <v>1.0257376245751695</v>
      </c>
      <c r="H55" s="270">
        <v>1.084261071514385</v>
      </c>
      <c r="I55" s="269">
        <v>0.12532403350684793</v>
      </c>
      <c r="J55" s="269">
        <v>0.290654684170079</v>
      </c>
      <c r="K55" s="269">
        <v>6.9500000000000006E-2</v>
      </c>
      <c r="L55" s="269">
        <v>0.16268470683281316</v>
      </c>
      <c r="M55" s="269">
        <v>0.11345298193785319</v>
      </c>
      <c r="N55" s="270">
        <v>1.7857895827693153</v>
      </c>
      <c r="O55" s="270">
        <v>1.1058383997115753</v>
      </c>
      <c r="P55" s="270">
        <v>4.3448854858449613</v>
      </c>
      <c r="Q55" s="270">
        <v>5.4280645644302892</v>
      </c>
      <c r="R55" s="270">
        <v>2.0049151503678555</v>
      </c>
      <c r="S55" s="270">
        <v>9.0007964734467958</v>
      </c>
      <c r="T55" s="269">
        <v>3.1817707137746329E-2</v>
      </c>
      <c r="U55" s="269">
        <v>5.7508156555064825E-2</v>
      </c>
      <c r="V55" s="269">
        <v>1.0887406636895138E-2</v>
      </c>
      <c r="W55" s="269">
        <v>0.25434157304490956</v>
      </c>
      <c r="X55" s="269">
        <v>0.27383892566202067</v>
      </c>
      <c r="Y55" s="269">
        <v>0.37303344260196158</v>
      </c>
      <c r="Z55" s="269">
        <v>0.37303344260196158</v>
      </c>
      <c r="AA55" s="271">
        <v>0.20370003311353505</v>
      </c>
    </row>
    <row r="56" spans="1:27" s="237" customFormat="1">
      <c r="A56" s="268" t="s">
        <v>746</v>
      </c>
      <c r="B56" s="123">
        <v>616</v>
      </c>
      <c r="C56" s="269">
        <v>0.30223883792048944</v>
      </c>
      <c r="D56" s="269">
        <v>0.39369866847384061</v>
      </c>
      <c r="E56" s="269">
        <v>0.31379162613860156</v>
      </c>
      <c r="F56" s="269">
        <v>0.28580178705791059</v>
      </c>
      <c r="G56" s="270">
        <v>1.1719532510287904</v>
      </c>
      <c r="H56" s="270">
        <v>1.3064445801888949</v>
      </c>
      <c r="I56" s="269">
        <v>0.14305427749907379</v>
      </c>
      <c r="J56" s="269">
        <v>0.5761526246802835</v>
      </c>
      <c r="K56" s="269">
        <v>7.3300000000000004E-2</v>
      </c>
      <c r="L56" s="269">
        <v>0.20768151674921126</v>
      </c>
      <c r="M56" s="269">
        <v>0.12481207563597795</v>
      </c>
      <c r="N56" s="270">
        <v>0.86121731092209874</v>
      </c>
      <c r="O56" s="270">
        <v>2.0731720837297396</v>
      </c>
      <c r="P56" s="270">
        <v>3.7472101694724449</v>
      </c>
      <c r="Q56" s="270">
        <v>5.1624357278110722</v>
      </c>
      <c r="R56" s="270">
        <v>1.7300606771239979</v>
      </c>
      <c r="S56" s="270">
        <v>15.176434666764806</v>
      </c>
      <c r="T56" s="269">
        <v>-3.4048080229958685E-2</v>
      </c>
      <c r="U56" s="269">
        <v>0.19112684090849405</v>
      </c>
      <c r="V56" s="269">
        <v>0.10412878403283038</v>
      </c>
      <c r="W56" s="269">
        <v>0.39979108991661882</v>
      </c>
      <c r="X56" s="269">
        <v>0.34554609990982482</v>
      </c>
      <c r="Y56" s="269">
        <v>0.23995987250134324</v>
      </c>
      <c r="Z56" s="269">
        <v>0.23995987250134321</v>
      </c>
      <c r="AA56" s="271">
        <v>0.39485854644800417</v>
      </c>
    </row>
    <row r="57" spans="1:27" s="237" customFormat="1">
      <c r="A57" s="268" t="s">
        <v>747</v>
      </c>
      <c r="B57" s="123">
        <v>166</v>
      </c>
      <c r="C57" s="269">
        <v>0.16448449152542369</v>
      </c>
      <c r="D57" s="269">
        <v>0.10430118720988638</v>
      </c>
      <c r="E57" s="269">
        <v>6.7858428077638394E-2</v>
      </c>
      <c r="F57" s="269">
        <v>0.15515930094367683</v>
      </c>
      <c r="G57" s="270">
        <v>0.64089564623933604</v>
      </c>
      <c r="H57" s="270">
        <v>0.95988331574324681</v>
      </c>
      <c r="I57" s="269">
        <v>0.1153986885963111</v>
      </c>
      <c r="J57" s="269">
        <v>0.31692919401817637</v>
      </c>
      <c r="K57" s="269">
        <v>6.9500000000000006E-2</v>
      </c>
      <c r="L57" s="269">
        <v>0.42266188084582412</v>
      </c>
      <c r="M57" s="269">
        <v>8.8752249868513267E-2</v>
      </c>
      <c r="N57" s="270">
        <v>0.73009263082634401</v>
      </c>
      <c r="O57" s="270">
        <v>2.1330247885411833</v>
      </c>
      <c r="P57" s="270">
        <v>11.700012064245559</v>
      </c>
      <c r="Q57" s="270">
        <v>18.500278519062103</v>
      </c>
      <c r="R57" s="270">
        <v>1.8164371624196047</v>
      </c>
      <c r="S57" s="270">
        <v>40.136513779731757</v>
      </c>
      <c r="T57" s="269">
        <v>3.9146025407527839E-2</v>
      </c>
      <c r="U57" s="269">
        <v>8.237881928404911E-2</v>
      </c>
      <c r="V57" s="269">
        <v>4.9080369154499467E-2</v>
      </c>
      <c r="W57" s="269">
        <v>0.72807608387840983</v>
      </c>
      <c r="X57" s="269">
        <v>8.4745790010922972E-2</v>
      </c>
      <c r="Y57" s="269">
        <v>1.1059354092352709</v>
      </c>
      <c r="Z57" s="269">
        <v>1.1059354092352709</v>
      </c>
      <c r="AA57" s="271">
        <v>0.1052863696769992</v>
      </c>
    </row>
    <row r="58" spans="1:27" s="237" customFormat="1">
      <c r="A58" s="268" t="s">
        <v>748</v>
      </c>
      <c r="B58" s="123">
        <v>455</v>
      </c>
      <c r="C58" s="269">
        <v>7.2712420749279513E-2</v>
      </c>
      <c r="D58" s="269">
        <v>6.4183350193997971E-2</v>
      </c>
      <c r="E58" s="269">
        <v>0.14865827167185494</v>
      </c>
      <c r="F58" s="269">
        <v>0.22426511994986614</v>
      </c>
      <c r="G58" s="270">
        <v>0.91861441331163474</v>
      </c>
      <c r="H58" s="270">
        <v>1.1458047060134187</v>
      </c>
      <c r="I58" s="269">
        <v>0.1302352155398708</v>
      </c>
      <c r="J58" s="269">
        <v>0.38678554871410087</v>
      </c>
      <c r="K58" s="269">
        <v>6.9500000000000006E-2</v>
      </c>
      <c r="L58" s="269">
        <v>0.31780520070676432</v>
      </c>
      <c r="M58" s="269">
        <v>0.10548427143575564</v>
      </c>
      <c r="N58" s="270">
        <v>2.613156854484068</v>
      </c>
      <c r="O58" s="270">
        <v>0.61013809104337946</v>
      </c>
      <c r="P58" s="270">
        <v>6.7162676456444652</v>
      </c>
      <c r="Q58" s="270">
        <v>9.1737290125335438</v>
      </c>
      <c r="R58" s="270">
        <v>1.5357699086396315</v>
      </c>
      <c r="S58" s="270">
        <v>28.410647467275698</v>
      </c>
      <c r="T58" s="269">
        <v>6.9270716342897679E-2</v>
      </c>
      <c r="U58" s="269">
        <v>3.0825023367356891E-2</v>
      </c>
      <c r="V58" s="269">
        <v>1.7349901508777407E-2</v>
      </c>
      <c r="W58" s="269">
        <v>0.87249783797510927</v>
      </c>
      <c r="X58" s="269">
        <v>0.16953802063524387</v>
      </c>
      <c r="Y58" s="269">
        <v>0.2379445180748172</v>
      </c>
      <c r="Z58" s="269">
        <v>0.2379445180748172</v>
      </c>
      <c r="AA58" s="271">
        <v>6.4755034205025944E-2</v>
      </c>
    </row>
    <row r="59" spans="1:27" s="237" customFormat="1">
      <c r="A59" s="268" t="s">
        <v>749</v>
      </c>
      <c r="B59" s="123">
        <v>414</v>
      </c>
      <c r="C59" s="269">
        <v>7.7229067524115708E-2</v>
      </c>
      <c r="D59" s="269">
        <v>8.5726621940880904E-2</v>
      </c>
      <c r="E59" s="269">
        <v>0.11313229318848557</v>
      </c>
      <c r="F59" s="269">
        <v>0.21261531513898216</v>
      </c>
      <c r="G59" s="270">
        <v>0.64542329085878691</v>
      </c>
      <c r="H59" s="270">
        <v>0.83576683531576557</v>
      </c>
      <c r="I59" s="269">
        <v>0.10549419345819809</v>
      </c>
      <c r="J59" s="269">
        <v>0.29449832942613408</v>
      </c>
      <c r="K59" s="269">
        <v>6.9500000000000006E-2</v>
      </c>
      <c r="L59" s="269">
        <v>0.32860706063842687</v>
      </c>
      <c r="M59" s="269">
        <v>8.8032065696613482E-2</v>
      </c>
      <c r="N59" s="270">
        <v>1.5638858386300616</v>
      </c>
      <c r="O59" s="270">
        <v>1.2245297647229045</v>
      </c>
      <c r="P59" s="270">
        <v>8.8060241920088291</v>
      </c>
      <c r="Q59" s="270">
        <v>14.003272248254996</v>
      </c>
      <c r="R59" s="270">
        <v>1.940650938180684</v>
      </c>
      <c r="S59" s="270">
        <v>125.25944123508474</v>
      </c>
      <c r="T59" s="269">
        <v>0.13395356814912099</v>
      </c>
      <c r="U59" s="269">
        <v>6.1565857660402623E-2</v>
      </c>
      <c r="V59" s="269">
        <v>4.4226653802734196E-2</v>
      </c>
      <c r="W59" s="269">
        <v>0.99286044008723728</v>
      </c>
      <c r="X59" s="269">
        <v>0.12941444561462065</v>
      </c>
      <c r="Y59" s="269">
        <v>0.39149024112254632</v>
      </c>
      <c r="Z59" s="269">
        <v>0.39149024112254627</v>
      </c>
      <c r="AA59" s="271">
        <v>8.6636757613466842E-2</v>
      </c>
    </row>
    <row r="60" spans="1:27" s="237" customFormat="1">
      <c r="A60" s="268" t="s">
        <v>750</v>
      </c>
      <c r="B60" s="123">
        <v>268</v>
      </c>
      <c r="C60" s="269">
        <v>9.0147203791469191E-2</v>
      </c>
      <c r="D60" s="269">
        <v>0.13562433135317445</v>
      </c>
      <c r="E60" s="269">
        <v>0.10812075767476295</v>
      </c>
      <c r="F60" s="269">
        <v>0.20345272338936696</v>
      </c>
      <c r="G60" s="270">
        <v>0.75235968116666097</v>
      </c>
      <c r="H60" s="270">
        <v>0.9932645149292465</v>
      </c>
      <c r="I60" s="269">
        <v>0.11806250829135387</v>
      </c>
      <c r="J60" s="269">
        <v>0.3119027435891214</v>
      </c>
      <c r="K60" s="269">
        <v>6.9500000000000006E-2</v>
      </c>
      <c r="L60" s="269">
        <v>0.38038958402186268</v>
      </c>
      <c r="M60" s="269">
        <v>9.3067809292063056E-2</v>
      </c>
      <c r="N60" s="270">
        <v>0.95057512290737167</v>
      </c>
      <c r="O60" s="270">
        <v>1.1570645686768584</v>
      </c>
      <c r="P60" s="270">
        <v>6.0428359160203389</v>
      </c>
      <c r="Q60" s="270">
        <v>8.3351860224089958</v>
      </c>
      <c r="R60" s="270">
        <v>1.0735483341618237</v>
      </c>
      <c r="S60" s="270">
        <v>22.787221865495614</v>
      </c>
      <c r="T60" s="269">
        <v>0.1982744747226807</v>
      </c>
      <c r="U60" s="269">
        <v>8.1713371575624832E-2</v>
      </c>
      <c r="V60" s="269">
        <v>5.5442508522972618E-2</v>
      </c>
      <c r="W60" s="269">
        <v>0.76547067575041072</v>
      </c>
      <c r="X60" s="269">
        <v>0.15075339671662341</v>
      </c>
      <c r="Y60" s="269">
        <v>0.227065803635393</v>
      </c>
      <c r="Z60" s="269">
        <v>0.22706580363539297</v>
      </c>
      <c r="AA60" s="271">
        <v>0.13522755335680517</v>
      </c>
    </row>
    <row r="61" spans="1:27" s="237" customFormat="1">
      <c r="A61" s="268" t="s">
        <v>751</v>
      </c>
      <c r="B61" s="123">
        <v>485</v>
      </c>
      <c r="C61" s="269">
        <v>0.13698196428571432</v>
      </c>
      <c r="D61" s="269">
        <v>8.8952020356594975E-3</v>
      </c>
      <c r="E61" s="269">
        <v>5.6379509581119501E-3</v>
      </c>
      <c r="F61" s="269">
        <v>0.19309502380562807</v>
      </c>
      <c r="G61" s="270">
        <v>0.44330464743495768</v>
      </c>
      <c r="H61" s="270">
        <v>0.72851850030208987</v>
      </c>
      <c r="I61" s="269">
        <v>9.693577632410677E-2</v>
      </c>
      <c r="J61" s="269">
        <v>0.25944771221610685</v>
      </c>
      <c r="K61" s="269">
        <v>6.9500000000000006E-2</v>
      </c>
      <c r="L61" s="269">
        <v>0.49018534791706631</v>
      </c>
      <c r="M61" s="269">
        <v>7.5082614350785434E-2</v>
      </c>
      <c r="N61" s="270">
        <v>0.72896487550187217</v>
      </c>
      <c r="O61" s="270">
        <v>1.7852315254855147</v>
      </c>
      <c r="P61" s="270">
        <v>11.802718510592392</v>
      </c>
      <c r="Q61" s="270">
        <v>185.00972997805684</v>
      </c>
      <c r="R61" s="270">
        <v>1.4577656930951783</v>
      </c>
      <c r="S61" s="270">
        <v>35.263872090999307</v>
      </c>
      <c r="T61" s="269">
        <v>-6.4300492957312716E-2</v>
      </c>
      <c r="U61" s="269">
        <v>0.12634435319825676</v>
      </c>
      <c r="V61" s="269">
        <v>6.8802991514656131E-2</v>
      </c>
      <c r="W61" s="269" t="s">
        <v>96</v>
      </c>
      <c r="X61" s="269">
        <v>2.5145559391345728E-2</v>
      </c>
      <c r="Y61" s="269">
        <v>2.3563791476947751</v>
      </c>
      <c r="Z61" s="269">
        <v>2.3563791476947751</v>
      </c>
      <c r="AA61" s="271">
        <v>9.0650879058015495E-3</v>
      </c>
    </row>
    <row r="62" spans="1:27" s="237" customFormat="1">
      <c r="A62" s="268" t="s">
        <v>752</v>
      </c>
      <c r="B62" s="123">
        <v>930</v>
      </c>
      <c r="C62" s="269">
        <v>0.22946125628140696</v>
      </c>
      <c r="D62" s="269">
        <v>0.16469671534866936</v>
      </c>
      <c r="E62" s="269">
        <v>0.1313128227330175</v>
      </c>
      <c r="F62" s="269">
        <v>0.27927098666383909</v>
      </c>
      <c r="G62" s="270">
        <v>1.1011319908908235</v>
      </c>
      <c r="H62" s="270">
        <v>1.1408458156282186</v>
      </c>
      <c r="I62" s="269">
        <v>0.12983949608713186</v>
      </c>
      <c r="J62" s="269">
        <v>0.62912563546076816</v>
      </c>
      <c r="K62" s="269">
        <v>7.3300000000000004E-2</v>
      </c>
      <c r="L62" s="269">
        <v>0.15433126027989771</v>
      </c>
      <c r="M62" s="269">
        <v>0.11832289524433443</v>
      </c>
      <c r="N62" s="270">
        <v>0.82760527587667976</v>
      </c>
      <c r="O62" s="270">
        <v>2.2398890646875773</v>
      </c>
      <c r="P62" s="270">
        <v>6.9681846412865802</v>
      </c>
      <c r="Q62" s="270">
        <v>12.579527614682526</v>
      </c>
      <c r="R62" s="270">
        <v>1.5934497426010152</v>
      </c>
      <c r="S62" s="270">
        <v>627.22580291642339</v>
      </c>
      <c r="T62" s="269">
        <v>0.11475012262399167</v>
      </c>
      <c r="U62" s="269">
        <v>0.17449080042263629</v>
      </c>
      <c r="V62" s="269">
        <v>0.11013130656603419</v>
      </c>
      <c r="W62" s="269">
        <v>1.0172987135360556</v>
      </c>
      <c r="X62" s="269">
        <v>7.8535027733689977E-2</v>
      </c>
      <c r="Y62" s="269">
        <v>0.73625171843106163</v>
      </c>
      <c r="Z62" s="269">
        <v>0.73625171843106163</v>
      </c>
      <c r="AA62" s="271">
        <v>0.16545429871456141</v>
      </c>
    </row>
    <row r="63" spans="1:27" s="237" customFormat="1">
      <c r="A63" s="268" t="s">
        <v>753</v>
      </c>
      <c r="B63" s="123">
        <v>327</v>
      </c>
      <c r="C63" s="269">
        <v>1.6786992481203009E-2</v>
      </c>
      <c r="D63" s="269">
        <v>6.8047405467743752E-2</v>
      </c>
      <c r="E63" s="269">
        <v>6.9816045888240669E-2</v>
      </c>
      <c r="F63" s="269">
        <v>0.16412591831025117</v>
      </c>
      <c r="G63" s="270">
        <v>0.86903952851253174</v>
      </c>
      <c r="H63" s="270">
        <v>0.88913332691145819</v>
      </c>
      <c r="I63" s="269">
        <v>0.10975283948753436</v>
      </c>
      <c r="J63" s="269">
        <v>0.31440209547156556</v>
      </c>
      <c r="K63" s="269">
        <v>6.9500000000000006E-2</v>
      </c>
      <c r="L63" s="269">
        <v>0.22992110847420524</v>
      </c>
      <c r="M63" s="269">
        <v>9.6555715159815453E-2</v>
      </c>
      <c r="N63" s="270">
        <v>1.2217649449167178</v>
      </c>
      <c r="O63" s="270">
        <v>1.1602232971528561</v>
      </c>
      <c r="P63" s="270">
        <v>9.6468280876694159</v>
      </c>
      <c r="Q63" s="270">
        <v>16.151701374998392</v>
      </c>
      <c r="R63" s="270">
        <v>1.3219210745300178</v>
      </c>
      <c r="S63" s="270">
        <v>33.167267570476426</v>
      </c>
      <c r="T63" s="269">
        <v>0.11020902121217334</v>
      </c>
      <c r="U63" s="269">
        <v>3.2449887861531329E-2</v>
      </c>
      <c r="V63" s="269">
        <v>2.5056726303420367E-2</v>
      </c>
      <c r="W63" s="269">
        <v>0.61457801131291045</v>
      </c>
      <c r="X63" s="269">
        <v>2.9633954369228457E-2</v>
      </c>
      <c r="Y63" s="269">
        <v>0.89648700518886948</v>
      </c>
      <c r="Z63" s="269">
        <v>0.89648700518886948</v>
      </c>
      <c r="AA63" s="271">
        <v>6.6598008587568716E-2</v>
      </c>
    </row>
    <row r="64" spans="1:27" s="237" customFormat="1">
      <c r="A64" s="268" t="s">
        <v>754</v>
      </c>
      <c r="B64" s="123">
        <v>792</v>
      </c>
      <c r="C64" s="269">
        <v>9.401075971731436E-2</v>
      </c>
      <c r="D64" s="269">
        <v>0.33803600955498653</v>
      </c>
      <c r="E64" s="269">
        <v>3.5771025211289796E-2</v>
      </c>
      <c r="F64" s="269">
        <v>4.4876200270087915E-2</v>
      </c>
      <c r="G64" s="270">
        <v>0.50916998451540341</v>
      </c>
      <c r="H64" s="270">
        <v>0.79260643027832334</v>
      </c>
      <c r="I64" s="269">
        <v>0.1020499931362102</v>
      </c>
      <c r="J64" s="269">
        <v>0.188502700447128</v>
      </c>
      <c r="K64" s="269">
        <v>6.1800000000000001E-2</v>
      </c>
      <c r="L64" s="269">
        <v>0.4393257428399891</v>
      </c>
      <c r="M64" s="269">
        <v>7.7669148367457155E-2</v>
      </c>
      <c r="N64" s="270">
        <v>0.11475356271315791</v>
      </c>
      <c r="O64" s="270">
        <v>11.531042195662517</v>
      </c>
      <c r="P64" s="270">
        <v>20.236307238218217</v>
      </c>
      <c r="Q64" s="270">
        <v>31.551898219621943</v>
      </c>
      <c r="R64" s="270">
        <v>1.3917441013942691</v>
      </c>
      <c r="S64" s="270">
        <v>29.010844155919504</v>
      </c>
      <c r="T64" s="269">
        <v>0.88906144737506287</v>
      </c>
      <c r="U64" s="269">
        <v>5.1005426695245375E-2</v>
      </c>
      <c r="V64" s="269">
        <v>2.5883461310246391E-2</v>
      </c>
      <c r="W64" s="269">
        <v>9.464086024167101E-2</v>
      </c>
      <c r="X64" s="269">
        <v>9.2519075438043677E-2</v>
      </c>
      <c r="Y64" s="269">
        <v>0.70088392829994195</v>
      </c>
      <c r="Z64" s="269">
        <v>0.70088392829994195</v>
      </c>
      <c r="AA64" s="271">
        <v>0.32145434499735054</v>
      </c>
    </row>
    <row r="65" spans="1:27" s="237" customFormat="1">
      <c r="A65" s="268" t="s">
        <v>755</v>
      </c>
      <c r="B65" s="123">
        <v>869</v>
      </c>
      <c r="C65" s="269">
        <v>7.3651298076923083E-2</v>
      </c>
      <c r="D65" s="269">
        <v>0.10490271872236499</v>
      </c>
      <c r="E65" s="269">
        <v>4.6488813199838747E-2</v>
      </c>
      <c r="F65" s="269">
        <v>0.32537487639676393</v>
      </c>
      <c r="G65" s="270">
        <v>0.50125460232442209</v>
      </c>
      <c r="H65" s="270">
        <v>1.0176524508975406</v>
      </c>
      <c r="I65" s="269">
        <v>0.12000866558162374</v>
      </c>
      <c r="J65" s="269">
        <v>0.32556181158049086</v>
      </c>
      <c r="K65" s="269">
        <v>6.9500000000000006E-2</v>
      </c>
      <c r="L65" s="269">
        <v>0.66950390839006624</v>
      </c>
      <c r="M65" s="269">
        <v>7.4713836880271695E-2</v>
      </c>
      <c r="N65" s="270">
        <v>0.52893270500810741</v>
      </c>
      <c r="O65" s="270">
        <v>1.5312131208338273</v>
      </c>
      <c r="P65" s="270">
        <v>10.217278961542926</v>
      </c>
      <c r="Q65" s="270">
        <v>12.510382289782783</v>
      </c>
      <c r="R65" s="270">
        <v>0.47581440970018868</v>
      </c>
      <c r="S65" s="270">
        <v>93.428636892287287</v>
      </c>
      <c r="T65" s="269">
        <v>1.8806993528177163</v>
      </c>
      <c r="U65" s="269">
        <v>2.2769633151219978E-2</v>
      </c>
      <c r="V65" s="269">
        <v>1.7039267244275656E-2</v>
      </c>
      <c r="W65" s="269">
        <v>0.16278381269454029</v>
      </c>
      <c r="X65" s="269">
        <v>4.5763966797147754E-2</v>
      </c>
      <c r="Y65" s="269">
        <v>1.0751257428507728</v>
      </c>
      <c r="Z65" s="269">
        <v>1.0751257428507728</v>
      </c>
      <c r="AA65" s="271">
        <v>0.10454275297579443</v>
      </c>
    </row>
    <row r="66" spans="1:27" s="237" customFormat="1">
      <c r="A66" s="268" t="s">
        <v>756</v>
      </c>
      <c r="B66" s="123">
        <v>342</v>
      </c>
      <c r="C66" s="269">
        <v>4.9859999999999995E-2</v>
      </c>
      <c r="D66" s="269">
        <v>0.14757079111695964</v>
      </c>
      <c r="E66" s="269">
        <v>3.0628603680595022E-2</v>
      </c>
      <c r="F66" s="269">
        <v>0.2669365744455201</v>
      </c>
      <c r="G66" s="270">
        <v>0.52970275755712826</v>
      </c>
      <c r="H66" s="270">
        <v>0.93422776635121907</v>
      </c>
      <c r="I66" s="269">
        <v>0.11335137575482727</v>
      </c>
      <c r="J66" s="269">
        <v>0.26803347575607533</v>
      </c>
      <c r="K66" s="269">
        <v>6.9500000000000006E-2</v>
      </c>
      <c r="L66" s="269">
        <v>0.5549975323855354</v>
      </c>
      <c r="M66" s="269">
        <v>7.949817697804118E-2</v>
      </c>
      <c r="N66" s="270">
        <v>0.23569371461739638</v>
      </c>
      <c r="O66" s="270">
        <v>3.4160312457346205</v>
      </c>
      <c r="P66" s="270">
        <v>13.346468325691228</v>
      </c>
      <c r="Q66" s="270">
        <v>20.678663385063345</v>
      </c>
      <c r="R66" s="270">
        <v>0.64268461730126691</v>
      </c>
      <c r="S66" s="270">
        <v>44.690395758888215</v>
      </c>
      <c r="T66" s="269">
        <v>1.1832741086452718</v>
      </c>
      <c r="U66" s="269">
        <v>9.1111875376455473E-2</v>
      </c>
      <c r="V66" s="269">
        <v>7.1706126778043278E-2</v>
      </c>
      <c r="W66" s="269">
        <v>0.93134238136231007</v>
      </c>
      <c r="X66" s="269">
        <v>4.0329748272550953E-2</v>
      </c>
      <c r="Y66" s="269">
        <v>0.54498146633642408</v>
      </c>
      <c r="Z66" s="269">
        <v>0.54498146633642408</v>
      </c>
      <c r="AA66" s="271">
        <v>0.15380910896269037</v>
      </c>
    </row>
    <row r="67" spans="1:27" s="237" customFormat="1">
      <c r="A67" s="268" t="s">
        <v>757</v>
      </c>
      <c r="B67" s="123">
        <v>730</v>
      </c>
      <c r="C67" s="269">
        <v>9.9823312500000122E-2</v>
      </c>
      <c r="D67" s="269">
        <v>0.1442484586934426</v>
      </c>
      <c r="E67" s="269">
        <v>3.2149555025986189E-2</v>
      </c>
      <c r="F67" s="269">
        <v>0.22618473161019664</v>
      </c>
      <c r="G67" s="270">
        <v>0.55215535355669476</v>
      </c>
      <c r="H67" s="270">
        <v>0.90118806772324567</v>
      </c>
      <c r="I67" s="269">
        <v>0.110714807804315</v>
      </c>
      <c r="J67" s="269">
        <v>0.29972973723472146</v>
      </c>
      <c r="K67" s="269">
        <v>6.9500000000000006E-2</v>
      </c>
      <c r="L67" s="269">
        <v>0.49710493526141969</v>
      </c>
      <c r="M67" s="269">
        <v>8.1703536205674179E-2</v>
      </c>
      <c r="N67" s="270">
        <v>0.25341437544914164</v>
      </c>
      <c r="O67" s="270">
        <v>3.7203359838466712</v>
      </c>
      <c r="P67" s="270">
        <v>16.148892324279235</v>
      </c>
      <c r="Q67" s="270">
        <v>23.69469503174183</v>
      </c>
      <c r="R67" s="270">
        <v>0.8197490370417182</v>
      </c>
      <c r="S67" s="270">
        <v>23.760402106394217</v>
      </c>
      <c r="T67" s="269">
        <v>0.21232391694041827</v>
      </c>
      <c r="U67" s="269">
        <v>2.3909758518659972E-2</v>
      </c>
      <c r="V67" s="269">
        <v>7.7174872024271202E-2</v>
      </c>
      <c r="W67" s="269">
        <v>0.88999270872123326</v>
      </c>
      <c r="X67" s="269">
        <v>6.5265588445008613E-2</v>
      </c>
      <c r="Y67" s="269">
        <v>0.53211526909566764</v>
      </c>
      <c r="Z67" s="269">
        <v>0.53211526909566764</v>
      </c>
      <c r="AA67" s="271">
        <v>0.14816464671686094</v>
      </c>
    </row>
    <row r="68" spans="1:27" s="237" customFormat="1">
      <c r="A68" s="268" t="s">
        <v>758</v>
      </c>
      <c r="B68" s="123">
        <v>323</v>
      </c>
      <c r="C68" s="269">
        <v>5.1076739130434812E-2</v>
      </c>
      <c r="D68" s="269">
        <v>0.10008498258676168</v>
      </c>
      <c r="E68" s="269">
        <v>8.731459038120859E-2</v>
      </c>
      <c r="F68" s="269">
        <v>0.23260571570121216</v>
      </c>
      <c r="G68" s="270">
        <v>0.98589762336376341</v>
      </c>
      <c r="H68" s="270">
        <v>1.1091960963190381</v>
      </c>
      <c r="I68" s="269">
        <v>0.12731384848625923</v>
      </c>
      <c r="J68" s="269">
        <v>0.33179399049670577</v>
      </c>
      <c r="K68" s="269">
        <v>6.9500000000000006E-2</v>
      </c>
      <c r="L68" s="269">
        <v>0.24702270915957644</v>
      </c>
      <c r="M68" s="269">
        <v>0.10879715009294032</v>
      </c>
      <c r="N68" s="270">
        <v>1.0486354163424807</v>
      </c>
      <c r="O68" s="270">
        <v>2.0974276344108858</v>
      </c>
      <c r="P68" s="270">
        <v>12.274712507193845</v>
      </c>
      <c r="Q68" s="270">
        <v>20.530732767244604</v>
      </c>
      <c r="R68" s="270">
        <v>2.5725258921040592</v>
      </c>
      <c r="S68" s="270">
        <v>47.175784717711394</v>
      </c>
      <c r="T68" s="269">
        <v>0.31389391948549566</v>
      </c>
      <c r="U68" s="269">
        <v>6.850083656836245E-2</v>
      </c>
      <c r="V68" s="269">
        <v>6.1053441623273752E-2</v>
      </c>
      <c r="W68" s="269">
        <v>1.3640377199332356</v>
      </c>
      <c r="X68" s="269">
        <v>7.5242702559188704E-2</v>
      </c>
      <c r="Y68" s="269">
        <v>0.56847876316386725</v>
      </c>
      <c r="Z68" s="269">
        <v>0.56847876316386725</v>
      </c>
      <c r="AA68" s="271">
        <v>9.6808973253023456E-2</v>
      </c>
    </row>
    <row r="69" spans="1:27" s="237" customFormat="1">
      <c r="A69" s="268" t="s">
        <v>759</v>
      </c>
      <c r="B69" s="123">
        <v>34</v>
      </c>
      <c r="C69" s="269">
        <v>3.1153928571428572E-2</v>
      </c>
      <c r="D69" s="269">
        <v>1.6007690019154888E-2</v>
      </c>
      <c r="E69" s="269">
        <v>2.2689180850825514E-2</v>
      </c>
      <c r="F69" s="269">
        <v>0.17978159203569749</v>
      </c>
      <c r="G69" s="270">
        <v>1.0895323174584777</v>
      </c>
      <c r="H69" s="270">
        <v>1.1599096579998216</v>
      </c>
      <c r="I69" s="269">
        <v>0.13136079070838574</v>
      </c>
      <c r="J69" s="269">
        <v>0.28323303408098666</v>
      </c>
      <c r="K69" s="269">
        <v>6.9500000000000006E-2</v>
      </c>
      <c r="L69" s="269">
        <v>0.2601501525257125</v>
      </c>
      <c r="M69" s="269">
        <v>0.11080725310758553</v>
      </c>
      <c r="N69" s="270">
        <v>1.5733691708079169</v>
      </c>
      <c r="O69" s="270">
        <v>0.69619790925658542</v>
      </c>
      <c r="P69" s="270">
        <v>17.766280415975285</v>
      </c>
      <c r="Q69" s="270">
        <v>37.829126562955587</v>
      </c>
      <c r="R69" s="270">
        <v>1.3931599445632008</v>
      </c>
      <c r="S69" s="270">
        <v>15.643852704032815</v>
      </c>
      <c r="T69" s="269">
        <v>-0.52624383723667811</v>
      </c>
      <c r="U69" s="269">
        <v>7.5924451645731437E-4</v>
      </c>
      <c r="V69" s="269">
        <v>1.6224944864916987E-2</v>
      </c>
      <c r="W69" s="269">
        <v>2.8942118934640808</v>
      </c>
      <c r="X69" s="269">
        <v>1.9833468303193061E-2</v>
      </c>
      <c r="Y69" s="269">
        <v>1.15165212446575</v>
      </c>
      <c r="Z69" s="269">
        <v>1.15165212446575</v>
      </c>
      <c r="AA69" s="271">
        <v>1.5999325835102884E-2</v>
      </c>
    </row>
    <row r="70" spans="1:27" s="237" customFormat="1">
      <c r="A70" s="268" t="s">
        <v>760</v>
      </c>
      <c r="B70" s="123">
        <v>382</v>
      </c>
      <c r="C70" s="269">
        <v>-2.8214814814814916E-3</v>
      </c>
      <c r="D70" s="269">
        <v>0.10371730864332976</v>
      </c>
      <c r="E70" s="269">
        <v>0.12983632228962561</v>
      </c>
      <c r="F70" s="269">
        <v>0.20821250637663763</v>
      </c>
      <c r="G70" s="270">
        <v>0.82892528781008357</v>
      </c>
      <c r="H70" s="270">
        <v>0.99532073680959354</v>
      </c>
      <c r="I70" s="269">
        <v>0.11822659479740556</v>
      </c>
      <c r="J70" s="269">
        <v>0.31360962157416999</v>
      </c>
      <c r="K70" s="269">
        <v>6.9500000000000006E-2</v>
      </c>
      <c r="L70" s="269">
        <v>0.24614511902439928</v>
      </c>
      <c r="M70" s="269">
        <v>0.10201246326134381</v>
      </c>
      <c r="N70" s="270">
        <v>1.6243248607297194</v>
      </c>
      <c r="O70" s="270">
        <v>2.8684616918327772</v>
      </c>
      <c r="P70" s="270">
        <v>16.545467724021872</v>
      </c>
      <c r="Q70" s="270">
        <v>30.621314288660123</v>
      </c>
      <c r="R70" s="270">
        <v>14.381817822236322</v>
      </c>
      <c r="S70" s="270">
        <v>55.544561710281627</v>
      </c>
      <c r="T70" s="269">
        <v>-7.7442229665044505E-3</v>
      </c>
      <c r="U70" s="269">
        <v>4.5756035907612375E-2</v>
      </c>
      <c r="V70" s="269">
        <v>2.4723541317790931E-2</v>
      </c>
      <c r="W70" s="269">
        <v>0.37280426770845015</v>
      </c>
      <c r="X70" s="269">
        <v>0.36850752125706215</v>
      </c>
      <c r="Y70" s="269">
        <v>0.6213721003208682</v>
      </c>
      <c r="Z70" s="269">
        <v>0.6213721003208682</v>
      </c>
      <c r="AA70" s="271">
        <v>9.1942554059624565E-2</v>
      </c>
    </row>
    <row r="71" spans="1:27" s="237" customFormat="1">
      <c r="A71" s="268" t="s">
        <v>761</v>
      </c>
      <c r="B71" s="123">
        <v>193</v>
      </c>
      <c r="C71" s="269">
        <v>8.8188805970149248E-2</v>
      </c>
      <c r="D71" s="269">
        <v>5.0574673529283576E-2</v>
      </c>
      <c r="E71" s="269">
        <v>0.12384134362101419</v>
      </c>
      <c r="F71" s="269">
        <v>0.23668024474890867</v>
      </c>
      <c r="G71" s="270">
        <v>0.71856893323128923</v>
      </c>
      <c r="H71" s="270">
        <v>0.98313395219463651</v>
      </c>
      <c r="I71" s="269">
        <v>0.11725408938513199</v>
      </c>
      <c r="J71" s="269">
        <v>0.30421163829693049</v>
      </c>
      <c r="K71" s="269">
        <v>6.9500000000000006E-2</v>
      </c>
      <c r="L71" s="269">
        <v>0.36886129425022746</v>
      </c>
      <c r="M71" s="269">
        <v>9.3315087519029755E-2</v>
      </c>
      <c r="N71" s="270">
        <v>3.174007342761481</v>
      </c>
      <c r="O71" s="270">
        <v>0.71672834524414897</v>
      </c>
      <c r="P71" s="270">
        <v>9.6320449463007645</v>
      </c>
      <c r="Q71" s="270">
        <v>14.248870595972095</v>
      </c>
      <c r="R71" s="270">
        <v>3.1314193213403589</v>
      </c>
      <c r="S71" s="270">
        <v>24.10470482847775</v>
      </c>
      <c r="T71" s="269">
        <v>9.6236266427468103E-2</v>
      </c>
      <c r="U71" s="269">
        <v>1.7901244840279967E-2</v>
      </c>
      <c r="V71" s="269">
        <v>3.3179051086357797E-2</v>
      </c>
      <c r="W71" s="269">
        <v>1.269679651746447</v>
      </c>
      <c r="X71" s="269">
        <v>0.21267051934563361</v>
      </c>
      <c r="Y71" s="269">
        <v>0.25656588413790438</v>
      </c>
      <c r="Z71" s="269">
        <v>0.25656588413790438</v>
      </c>
      <c r="AA71" s="271">
        <v>4.8343338883621523E-2</v>
      </c>
    </row>
    <row r="72" spans="1:27" s="237" customFormat="1">
      <c r="A72" s="268" t="s">
        <v>762</v>
      </c>
      <c r="B72" s="123">
        <v>98</v>
      </c>
      <c r="C72" s="269">
        <v>4.9730985915492958E-2</v>
      </c>
      <c r="D72" s="269">
        <v>0.12456492607372097</v>
      </c>
      <c r="E72" s="269">
        <v>0.29843243697346</v>
      </c>
      <c r="F72" s="269">
        <v>0.24858851652914152</v>
      </c>
      <c r="G72" s="270">
        <v>0.93437765921000759</v>
      </c>
      <c r="H72" s="270">
        <v>1.0792224241204762</v>
      </c>
      <c r="I72" s="269">
        <v>0.124921949444814</v>
      </c>
      <c r="J72" s="269">
        <v>0.27792365922032364</v>
      </c>
      <c r="K72" s="269">
        <v>6.9500000000000006E-2</v>
      </c>
      <c r="L72" s="269">
        <v>0.19388701670171191</v>
      </c>
      <c r="M72" s="269">
        <v>0.1108520340792542</v>
      </c>
      <c r="N72" s="270">
        <v>3.0101136822043171</v>
      </c>
      <c r="O72" s="270">
        <v>1.7330803063087947</v>
      </c>
      <c r="P72" s="270">
        <v>11.182812043204136</v>
      </c>
      <c r="Q72" s="270">
        <v>13.9844036785419</v>
      </c>
      <c r="R72" s="270">
        <v>16.942098977439436</v>
      </c>
      <c r="S72" s="270">
        <v>20.808375889952647</v>
      </c>
      <c r="T72" s="269">
        <v>0.10268186081306206</v>
      </c>
      <c r="U72" s="269">
        <v>2.3713589272572867E-2</v>
      </c>
      <c r="V72" s="269">
        <v>5.5379604041460315E-3</v>
      </c>
      <c r="W72" s="269">
        <v>0.4152885052448525</v>
      </c>
      <c r="X72" s="269">
        <v>0.62069170974216659</v>
      </c>
      <c r="Y72" s="269">
        <v>0.40523933459490058</v>
      </c>
      <c r="Z72" s="269">
        <v>0.40523933459490058</v>
      </c>
      <c r="AA72" s="271">
        <v>0.12376877725925094</v>
      </c>
    </row>
    <row r="73" spans="1:27" s="237" customFormat="1">
      <c r="A73" s="268" t="s">
        <v>763</v>
      </c>
      <c r="B73" s="123">
        <v>1006</v>
      </c>
      <c r="C73" s="269">
        <v>7.3500151933701671E-2</v>
      </c>
      <c r="D73" s="269">
        <v>5.4783056960455628E-2</v>
      </c>
      <c r="E73" s="269">
        <v>8.9652886701252557E-2</v>
      </c>
      <c r="F73" s="269">
        <v>0.22892357039635011</v>
      </c>
      <c r="G73" s="270">
        <v>0.59760159969496118</v>
      </c>
      <c r="H73" s="270">
        <v>0.82885193903775201</v>
      </c>
      <c r="I73" s="269">
        <v>0.10494238473521261</v>
      </c>
      <c r="J73" s="269">
        <v>0.3263950009608495</v>
      </c>
      <c r="K73" s="269">
        <v>6.9500000000000006E-2</v>
      </c>
      <c r="L73" s="269">
        <v>0.40906163103204718</v>
      </c>
      <c r="M73" s="269">
        <v>8.3430637473656588E-2</v>
      </c>
      <c r="N73" s="270">
        <v>1.961608220217619</v>
      </c>
      <c r="O73" s="270">
        <v>0.73383443433382778</v>
      </c>
      <c r="P73" s="270">
        <v>10.202912254657335</v>
      </c>
      <c r="Q73" s="270">
        <v>12.808650887242223</v>
      </c>
      <c r="R73" s="270">
        <v>1.5112950518177228</v>
      </c>
      <c r="S73" s="270">
        <v>51.298192963003395</v>
      </c>
      <c r="T73" s="269">
        <v>0.16339131497172923</v>
      </c>
      <c r="U73" s="269">
        <v>2.5127813159468149E-2</v>
      </c>
      <c r="V73" s="269">
        <v>3.5509615216160868E-2</v>
      </c>
      <c r="W73" s="269">
        <v>1.2620694542181561</v>
      </c>
      <c r="X73" s="269">
        <v>0.14904706797430581</v>
      </c>
      <c r="Y73" s="269">
        <v>0.30974771474443691</v>
      </c>
      <c r="Z73" s="269">
        <v>0.30974771474443696</v>
      </c>
      <c r="AA73" s="271">
        <v>5.5210020602748142E-2</v>
      </c>
    </row>
    <row r="74" spans="1:27" s="237" customFormat="1">
      <c r="A74" s="268" t="s">
        <v>764</v>
      </c>
      <c r="B74" s="123">
        <v>189</v>
      </c>
      <c r="C74" s="269">
        <v>-2.8960848484848482E-2</v>
      </c>
      <c r="D74" s="269">
        <v>4.7344064491521044E-2</v>
      </c>
      <c r="E74" s="269">
        <v>0.11649691349253601</v>
      </c>
      <c r="F74" s="269">
        <v>0.25420587989524052</v>
      </c>
      <c r="G74" s="270">
        <v>0.73476065744121066</v>
      </c>
      <c r="H74" s="270">
        <v>0.89053705625931245</v>
      </c>
      <c r="I74" s="269">
        <v>0.10986485708949313</v>
      </c>
      <c r="J74" s="269">
        <v>0.27275967897216363</v>
      </c>
      <c r="K74" s="269">
        <v>6.9500000000000006E-2</v>
      </c>
      <c r="L74" s="269">
        <v>0.26731537858518772</v>
      </c>
      <c r="M74" s="269">
        <v>9.4491414114239156E-2</v>
      </c>
      <c r="N74" s="270">
        <v>3.0944631955801012</v>
      </c>
      <c r="O74" s="270">
        <v>0.86456494951190732</v>
      </c>
      <c r="P74" s="270">
        <v>11.278125345956994</v>
      </c>
      <c r="Q74" s="270">
        <v>18.60676665621412</v>
      </c>
      <c r="R74" s="270">
        <v>3.3512422579158496</v>
      </c>
      <c r="S74" s="270">
        <v>36.680357857768897</v>
      </c>
      <c r="T74" s="269">
        <v>5.1208978463735495E-3</v>
      </c>
      <c r="U74" s="269">
        <v>3.0384482805711776E-2</v>
      </c>
      <c r="V74" s="269">
        <v>1.2404123717395098E-2</v>
      </c>
      <c r="W74" s="269">
        <v>0.79241997634249972</v>
      </c>
      <c r="X74" s="269">
        <v>0.12667539417897708</v>
      </c>
      <c r="Y74" s="269">
        <v>0.46569953644887679</v>
      </c>
      <c r="Z74" s="269">
        <v>0.46569953644887674</v>
      </c>
      <c r="AA74" s="271">
        <v>4.611346599102132E-2</v>
      </c>
    </row>
    <row r="75" spans="1:27" s="237" customFormat="1">
      <c r="A75" s="268" t="s">
        <v>765</v>
      </c>
      <c r="B75" s="123">
        <v>181</v>
      </c>
      <c r="C75" s="269">
        <v>4.6530136054421807E-2</v>
      </c>
      <c r="D75" s="269">
        <v>4.5257568991636785E-2</v>
      </c>
      <c r="E75" s="269">
        <v>0.109306157945409</v>
      </c>
      <c r="F75" s="269">
        <v>0.23438924127155367</v>
      </c>
      <c r="G75" s="270">
        <v>0.52854536395017226</v>
      </c>
      <c r="H75" s="270">
        <v>0.70540273569157119</v>
      </c>
      <c r="I75" s="269">
        <v>9.5091138308187384E-2</v>
      </c>
      <c r="J75" s="269">
        <v>0.2395250060619005</v>
      </c>
      <c r="K75" s="269">
        <v>6.1800000000000001E-2</v>
      </c>
      <c r="L75" s="269">
        <v>0.36670130796647049</v>
      </c>
      <c r="M75" s="269">
        <v>7.7292484203547118E-2</v>
      </c>
      <c r="N75" s="270">
        <v>3.1264014495235903</v>
      </c>
      <c r="O75" s="270">
        <v>0.64814723325310775</v>
      </c>
      <c r="P75" s="270">
        <v>9.0398278110872159</v>
      </c>
      <c r="Q75" s="270">
        <v>14.284968868266562</v>
      </c>
      <c r="R75" s="270">
        <v>2.3047587413431696</v>
      </c>
      <c r="S75" s="270">
        <v>35.317018895544528</v>
      </c>
      <c r="T75" s="269">
        <v>-2.9975171328978954E-2</v>
      </c>
      <c r="U75" s="269">
        <v>2.7134911493777378E-2</v>
      </c>
      <c r="V75" s="269">
        <v>7.8426614836429581E-3</v>
      </c>
      <c r="W75" s="269">
        <v>0.26020992647242941</v>
      </c>
      <c r="X75" s="269">
        <v>0.14692867887469693</v>
      </c>
      <c r="Y75" s="269">
        <v>0.33680698768837153</v>
      </c>
      <c r="Z75" s="269">
        <v>0.33680698768837147</v>
      </c>
      <c r="AA75" s="271">
        <v>4.4358506222621961E-2</v>
      </c>
    </row>
    <row r="76" spans="1:27" s="237" customFormat="1">
      <c r="A76" s="268" t="s">
        <v>766</v>
      </c>
      <c r="B76" s="123">
        <v>342</v>
      </c>
      <c r="C76" s="269">
        <v>0.16550980645161301</v>
      </c>
      <c r="D76" s="269">
        <v>1.7967025086749759E-3</v>
      </c>
      <c r="E76" s="269">
        <v>1.9274102795920161E-2</v>
      </c>
      <c r="F76" s="269">
        <v>4.0840600088227999E-2</v>
      </c>
      <c r="G76" s="270">
        <v>1.490503406647991</v>
      </c>
      <c r="H76" s="270">
        <v>1.5920102722913301</v>
      </c>
      <c r="I76" s="269">
        <v>0.16584241972884814</v>
      </c>
      <c r="J76" s="269">
        <v>0.46350736287125799</v>
      </c>
      <c r="K76" s="269">
        <v>6.9500000000000006E-2</v>
      </c>
      <c r="L76" s="269">
        <v>0.17038387188172086</v>
      </c>
      <c r="M76" s="269">
        <v>0.14650588299606426</v>
      </c>
      <c r="N76" s="270">
        <v>1.3082127267773387</v>
      </c>
      <c r="O76" s="270">
        <v>2.0433500802590556</v>
      </c>
      <c r="P76" s="270">
        <v>16.998339824456181</v>
      </c>
      <c r="Q76" s="270" t="s">
        <v>96</v>
      </c>
      <c r="R76" s="270">
        <v>4.2425838010175134</v>
      </c>
      <c r="S76" s="270">
        <v>90.302588284217236</v>
      </c>
      <c r="T76" s="269">
        <v>-2.2871400697795554E-2</v>
      </c>
      <c r="U76" s="269">
        <v>9.4952242949320712E-2</v>
      </c>
      <c r="V76" s="269">
        <v>6.433562988524151E-2</v>
      </c>
      <c r="W76" s="269" t="s">
        <v>96</v>
      </c>
      <c r="X76" s="269">
        <v>-1.2913862822285392E-3</v>
      </c>
      <c r="Y76" s="269">
        <v>3.8494175802843227E-3</v>
      </c>
      <c r="Z76" s="269">
        <v>3.8494175802843422E-3</v>
      </c>
      <c r="AA76" s="271">
        <v>1.4596961257935463E-2</v>
      </c>
    </row>
    <row r="77" spans="1:27" s="237" customFormat="1">
      <c r="A77" s="268" t="s">
        <v>767</v>
      </c>
      <c r="B77" s="123">
        <v>495</v>
      </c>
      <c r="C77" s="269">
        <v>2.7746815642458116E-2</v>
      </c>
      <c r="D77" s="269">
        <v>5.6411119653417642E-2</v>
      </c>
      <c r="E77" s="269">
        <v>0.12108557504627562</v>
      </c>
      <c r="F77" s="269">
        <v>0.23039497643783879</v>
      </c>
      <c r="G77" s="270">
        <v>0.95617888872243273</v>
      </c>
      <c r="H77" s="270">
        <v>1.0901256163386903</v>
      </c>
      <c r="I77" s="269">
        <v>0.12579202418382748</v>
      </c>
      <c r="J77" s="269">
        <v>0.31791100266989658</v>
      </c>
      <c r="K77" s="269">
        <v>6.9500000000000006E-2</v>
      </c>
      <c r="L77" s="269">
        <v>0.23738748343322327</v>
      </c>
      <c r="M77" s="269">
        <v>0.10835883952013969</v>
      </c>
      <c r="N77" s="270">
        <v>2.5174585784193328</v>
      </c>
      <c r="O77" s="270">
        <v>1.1055168146420087</v>
      </c>
      <c r="P77" s="270">
        <v>10.562927567967403</v>
      </c>
      <c r="Q77" s="270">
        <v>18.29261382753738</v>
      </c>
      <c r="R77" s="270">
        <v>3.3664874019124715</v>
      </c>
      <c r="S77" s="270">
        <v>29.906383975982227</v>
      </c>
      <c r="T77" s="269">
        <v>8.3668947606292884E-2</v>
      </c>
      <c r="U77" s="269">
        <v>2.245102870529796E-2</v>
      </c>
      <c r="V77" s="269">
        <v>6.8208137188517049E-3</v>
      </c>
      <c r="W77" s="269">
        <v>0.6221607841938781</v>
      </c>
      <c r="X77" s="269">
        <v>0.12040782319843941</v>
      </c>
      <c r="Y77" s="269">
        <v>0.525527360937459</v>
      </c>
      <c r="Z77" s="269">
        <v>0.525527360937459</v>
      </c>
      <c r="AA77" s="271">
        <v>5.8366703266215236E-2</v>
      </c>
    </row>
    <row r="78" spans="1:27" s="237" customFormat="1">
      <c r="A78" s="268" t="s">
        <v>768</v>
      </c>
      <c r="B78" s="123">
        <v>89</v>
      </c>
      <c r="C78" s="269">
        <v>5.632847222222228E-2</v>
      </c>
      <c r="D78" s="269">
        <v>7.506181514407724E-2</v>
      </c>
      <c r="E78" s="269">
        <v>6.7278924218009309E-2</v>
      </c>
      <c r="F78" s="269">
        <v>0.21697853221406468</v>
      </c>
      <c r="G78" s="270">
        <v>0.93006424566882906</v>
      </c>
      <c r="H78" s="270">
        <v>1.1594988998620432</v>
      </c>
      <c r="I78" s="269">
        <v>0.13132801220899104</v>
      </c>
      <c r="J78" s="269">
        <v>0.27734767794889681</v>
      </c>
      <c r="K78" s="269">
        <v>6.9500000000000006E-2</v>
      </c>
      <c r="L78" s="269">
        <v>0.3385984307682709</v>
      </c>
      <c r="M78" s="269">
        <v>0.10458765411300318</v>
      </c>
      <c r="N78" s="270">
        <v>1.0936166560589926</v>
      </c>
      <c r="O78" s="270">
        <v>0.97477368100522854</v>
      </c>
      <c r="P78" s="270">
        <v>7.1119579931066124</v>
      </c>
      <c r="Q78" s="270">
        <v>12.765153148732912</v>
      </c>
      <c r="R78" s="270">
        <v>1.1120791343085825</v>
      </c>
      <c r="S78" s="270">
        <v>60.490352513412041</v>
      </c>
      <c r="T78" s="269">
        <v>0.24507414707859465</v>
      </c>
      <c r="U78" s="269">
        <v>6.2484383129195534E-2</v>
      </c>
      <c r="V78" s="269">
        <v>2.2036302112200399E-2</v>
      </c>
      <c r="W78" s="269">
        <v>1.2578311950085885</v>
      </c>
      <c r="X78" s="269">
        <v>6.9080050211145549E-2</v>
      </c>
      <c r="Y78" s="269">
        <v>0.45219331797462237</v>
      </c>
      <c r="Z78" s="269">
        <v>0.45219331797462237</v>
      </c>
      <c r="AA78" s="271">
        <v>7.3578562426349539E-2</v>
      </c>
    </row>
    <row r="79" spans="1:27" s="237" customFormat="1">
      <c r="A79" s="268" t="s">
        <v>769</v>
      </c>
      <c r="B79" s="123">
        <v>624</v>
      </c>
      <c r="C79" s="269">
        <v>8.8133280898876495E-2</v>
      </c>
      <c r="D79" s="269">
        <v>0.22958951515279774</v>
      </c>
      <c r="E79" s="269">
        <v>0.18215285247984078</v>
      </c>
      <c r="F79" s="269">
        <v>0.12833630069414675</v>
      </c>
      <c r="G79" s="270">
        <v>1.6715997850986177</v>
      </c>
      <c r="H79" s="270">
        <v>1.6915425349552258</v>
      </c>
      <c r="I79" s="269">
        <v>0.17378509428942701</v>
      </c>
      <c r="J79" s="269">
        <v>0.37344951833670342</v>
      </c>
      <c r="K79" s="269">
        <v>6.9500000000000006E-2</v>
      </c>
      <c r="L79" s="269">
        <v>0.10404370853456175</v>
      </c>
      <c r="M79" s="269">
        <v>0.16115098932344296</v>
      </c>
      <c r="N79" s="270">
        <v>0.83496770904191153</v>
      </c>
      <c r="O79" s="270">
        <v>3.7548796165230502</v>
      </c>
      <c r="P79" s="270">
        <v>10.50343169900737</v>
      </c>
      <c r="Q79" s="270">
        <v>15.996951092288359</v>
      </c>
      <c r="R79" s="270">
        <v>3.261468298173543</v>
      </c>
      <c r="S79" s="270">
        <v>74.133120315946627</v>
      </c>
      <c r="T79" s="269">
        <v>0.16627221479469054</v>
      </c>
      <c r="U79" s="269">
        <v>0.18860060299516715</v>
      </c>
      <c r="V79" s="269">
        <v>0.12206170568941127</v>
      </c>
      <c r="W79" s="269">
        <v>0.87615023789822055</v>
      </c>
      <c r="X79" s="269">
        <v>0.22004463854331047</v>
      </c>
      <c r="Y79" s="269">
        <v>0.32598202249818786</v>
      </c>
      <c r="Z79" s="269">
        <v>0.32598202249818786</v>
      </c>
      <c r="AA79" s="271">
        <v>0.24193399820083566</v>
      </c>
    </row>
    <row r="80" spans="1:27" s="237" customFormat="1">
      <c r="A80" s="268" t="s">
        <v>770</v>
      </c>
      <c r="B80" s="123">
        <v>342</v>
      </c>
      <c r="C80" s="269">
        <v>0.10496736842105271</v>
      </c>
      <c r="D80" s="269">
        <v>0.24370132674286299</v>
      </c>
      <c r="E80" s="269">
        <v>0.26386467981679268</v>
      </c>
      <c r="F80" s="269">
        <v>0.16461321416951447</v>
      </c>
      <c r="G80" s="270">
        <v>1.9829052012920763</v>
      </c>
      <c r="H80" s="270">
        <v>1.9625184452168636</v>
      </c>
      <c r="I80" s="269">
        <v>0.1954089719283057</v>
      </c>
      <c r="J80" s="269">
        <v>0.33267871506038227</v>
      </c>
      <c r="K80" s="269">
        <v>6.9500000000000006E-2</v>
      </c>
      <c r="L80" s="269">
        <v>6.6204624535447815E-2</v>
      </c>
      <c r="M80" s="269">
        <v>0.18593809439548178</v>
      </c>
      <c r="N80" s="270">
        <v>1.2343126023017275</v>
      </c>
      <c r="O80" s="270">
        <v>4.1441869993736047</v>
      </c>
      <c r="P80" s="270">
        <v>14.386690785614098</v>
      </c>
      <c r="Q80" s="270">
        <v>16.622260371440802</v>
      </c>
      <c r="R80" s="270">
        <v>5.367884030333931</v>
      </c>
      <c r="S80" s="270">
        <v>28.744369420890074</v>
      </c>
      <c r="T80" s="269">
        <v>0.29309898081044888</v>
      </c>
      <c r="U80" s="269">
        <v>8.2518511943681719E-2</v>
      </c>
      <c r="V80" s="269">
        <v>0.11219404476537231</v>
      </c>
      <c r="W80" s="269">
        <v>0.89577065377444465</v>
      </c>
      <c r="X80" s="269">
        <v>0.30321818101232301</v>
      </c>
      <c r="Y80" s="269">
        <v>0.24045618885891673</v>
      </c>
      <c r="Z80" s="269">
        <v>0.24045618885891673</v>
      </c>
      <c r="AA80" s="271">
        <v>0.24894160017681496</v>
      </c>
    </row>
    <row r="81" spans="1:27" s="237" customFormat="1">
      <c r="A81" s="268" t="s">
        <v>771</v>
      </c>
      <c r="B81" s="123">
        <v>349</v>
      </c>
      <c r="C81" s="269">
        <v>0.1134618587360595</v>
      </c>
      <c r="D81" s="269">
        <v>0.33192029756440922</v>
      </c>
      <c r="E81" s="269">
        <v>0.32699317521985316</v>
      </c>
      <c r="F81" s="269">
        <v>9.2904370765916289E-2</v>
      </c>
      <c r="G81" s="270">
        <v>1.0486074968125012</v>
      </c>
      <c r="H81" s="270">
        <v>1.095060022552661</v>
      </c>
      <c r="I81" s="269">
        <v>0.12618578979970235</v>
      </c>
      <c r="J81" s="269">
        <v>0.33913461678437984</v>
      </c>
      <c r="K81" s="269">
        <v>6.9500000000000006E-2</v>
      </c>
      <c r="L81" s="269">
        <v>0.3334209359136372</v>
      </c>
      <c r="M81" s="269">
        <v>0.10156884204183424</v>
      </c>
      <c r="N81" s="270">
        <v>1.1192465562494063</v>
      </c>
      <c r="O81" s="270">
        <v>1.0044824108835042</v>
      </c>
      <c r="P81" s="270">
        <v>2.5752079359512443</v>
      </c>
      <c r="Q81" s="270">
        <v>2.9370669871985133</v>
      </c>
      <c r="R81" s="270">
        <v>0.90298360986176784</v>
      </c>
      <c r="S81" s="270">
        <v>17.544139036158338</v>
      </c>
      <c r="T81" s="269">
        <v>3.2629919851120501E-2</v>
      </c>
      <c r="U81" s="269">
        <v>6.8500068023270466E-2</v>
      </c>
      <c r="V81" s="269">
        <v>3.711561558510823E-2</v>
      </c>
      <c r="W81" s="269">
        <v>0.10442336279857994</v>
      </c>
      <c r="X81" s="269">
        <v>0.52203977353633646</v>
      </c>
      <c r="Y81" s="269">
        <v>0.31311541565817647</v>
      </c>
      <c r="Z81" s="269">
        <v>0.31311541565817647</v>
      </c>
      <c r="AA81" s="271">
        <v>0.33302425887017123</v>
      </c>
    </row>
    <row r="82" spans="1:27" s="237" customFormat="1">
      <c r="A82" s="268" t="s">
        <v>772</v>
      </c>
      <c r="B82" s="123">
        <v>85</v>
      </c>
      <c r="C82" s="269">
        <v>2.7776190476190526E-3</v>
      </c>
      <c r="D82" s="269">
        <v>9.940805273593413E-2</v>
      </c>
      <c r="E82" s="269">
        <v>0.17156391646728414</v>
      </c>
      <c r="F82" s="269">
        <v>0.16296001845602212</v>
      </c>
      <c r="G82" s="270">
        <v>0.97918154671132795</v>
      </c>
      <c r="H82" s="270">
        <v>1.0205314602380813</v>
      </c>
      <c r="I82" s="269">
        <v>0.12023841052699888</v>
      </c>
      <c r="J82" s="269">
        <v>0.35254293112020701</v>
      </c>
      <c r="K82" s="269">
        <v>6.9500000000000006E-2</v>
      </c>
      <c r="L82" s="269">
        <v>0.11028060105470616</v>
      </c>
      <c r="M82" s="269">
        <v>0.11275211553004739</v>
      </c>
      <c r="N82" s="270">
        <v>2.0177263229114235</v>
      </c>
      <c r="O82" s="270">
        <v>2.4223029557587625</v>
      </c>
      <c r="P82" s="270">
        <v>17.712472761700401</v>
      </c>
      <c r="Q82" s="270">
        <v>23.47411167886975</v>
      </c>
      <c r="R82" s="270">
        <v>5.25688738442242</v>
      </c>
      <c r="S82" s="270">
        <v>44.479428183203773</v>
      </c>
      <c r="T82" s="269">
        <v>0.23433778345356734</v>
      </c>
      <c r="U82" s="269">
        <v>1.8699871340976237E-2</v>
      </c>
      <c r="V82" s="269">
        <v>1.3903215448473651E-2</v>
      </c>
      <c r="W82" s="269">
        <v>0.55734544636254946</v>
      </c>
      <c r="X82" s="269">
        <v>0.21068525458903517</v>
      </c>
      <c r="Y82" s="269">
        <v>0.30772156513652943</v>
      </c>
      <c r="Z82" s="269">
        <v>0.30772156513652948</v>
      </c>
      <c r="AA82" s="271">
        <v>9.9308561479847096E-2</v>
      </c>
    </row>
    <row r="83" spans="1:27" s="237" customFormat="1">
      <c r="A83" s="268" t="s">
        <v>773</v>
      </c>
      <c r="B83" s="123">
        <v>320</v>
      </c>
      <c r="C83" s="269">
        <v>0.14282</v>
      </c>
      <c r="D83" s="269">
        <v>0.22953463962982901</v>
      </c>
      <c r="E83" s="269">
        <v>0.15976086690423852</v>
      </c>
      <c r="F83" s="269">
        <v>0.15681674531735063</v>
      </c>
      <c r="G83" s="270">
        <v>1.4648921606853302</v>
      </c>
      <c r="H83" s="270">
        <v>1.4800451918455317</v>
      </c>
      <c r="I83" s="269">
        <v>0.15690760630927342</v>
      </c>
      <c r="J83" s="269">
        <v>0.47746935346140246</v>
      </c>
      <c r="K83" s="269">
        <v>6.9500000000000006E-2</v>
      </c>
      <c r="L83" s="269">
        <v>6.7282894806011295E-2</v>
      </c>
      <c r="M83" s="269">
        <v>0.14987296056339064</v>
      </c>
      <c r="N83" s="270">
        <v>0.68847708198285007</v>
      </c>
      <c r="O83" s="270">
        <v>3.8511078295195338</v>
      </c>
      <c r="P83" s="270">
        <v>12.118199448898602</v>
      </c>
      <c r="Q83" s="270">
        <v>16.402238187938835</v>
      </c>
      <c r="R83" s="270">
        <v>3.5083472685377823</v>
      </c>
      <c r="S83" s="270">
        <v>127.3905077202935</v>
      </c>
      <c r="T83" s="269">
        <v>3.1636797197512549E-2</v>
      </c>
      <c r="U83" s="269">
        <v>0.11085585663611436</v>
      </c>
      <c r="V83" s="269">
        <v>0.12181383405728993</v>
      </c>
      <c r="W83" s="269">
        <v>0.6400453768028459</v>
      </c>
      <c r="X83" s="269">
        <v>0.18663687839130547</v>
      </c>
      <c r="Y83" s="269">
        <v>2.7321544447000384E-2</v>
      </c>
      <c r="Z83" s="269">
        <v>2.7321544447000412E-2</v>
      </c>
      <c r="AA83" s="271">
        <v>0.25356431486459097</v>
      </c>
    </row>
    <row r="84" spans="1:27" s="237" customFormat="1">
      <c r="A84" s="268" t="s">
        <v>774</v>
      </c>
      <c r="B84" s="123">
        <v>152</v>
      </c>
      <c r="C84" s="269">
        <v>0.27269325301204816</v>
      </c>
      <c r="D84" s="269">
        <v>-2.010271295519131E-2</v>
      </c>
      <c r="E84" s="269">
        <v>5.5120342075433504E-3</v>
      </c>
      <c r="F84" s="269">
        <v>0.20940716004868964</v>
      </c>
      <c r="G84" s="270">
        <v>1.2628480564068731</v>
      </c>
      <c r="H84" s="270">
        <v>1.3494055466433648</v>
      </c>
      <c r="I84" s="269">
        <v>0.14648256262214049</v>
      </c>
      <c r="J84" s="269">
        <v>0.43243045103017308</v>
      </c>
      <c r="K84" s="269">
        <v>6.9500000000000006E-2</v>
      </c>
      <c r="L84" s="269">
        <v>0.14289541246400556</v>
      </c>
      <c r="M84" s="269">
        <v>0.1330320728550001</v>
      </c>
      <c r="N84" s="270">
        <v>0.87012726304513266</v>
      </c>
      <c r="O84" s="270">
        <v>4.1806294495066085</v>
      </c>
      <c r="P84" s="270">
        <v>15.881419590093561</v>
      </c>
      <c r="Q84" s="270" t="s">
        <v>96</v>
      </c>
      <c r="R84" s="270">
        <v>4.6083218345324841</v>
      </c>
      <c r="S84" s="270">
        <v>69.669400451103826</v>
      </c>
      <c r="T84" s="269">
        <v>5.014284936774209E-2</v>
      </c>
      <c r="U84" s="269">
        <v>6.8994925798208623E-2</v>
      </c>
      <c r="V84" s="269">
        <v>0.10911160059070062</v>
      </c>
      <c r="W84" s="269" t="s">
        <v>96</v>
      </c>
      <c r="X84" s="269">
        <v>-0.14640466217181433</v>
      </c>
      <c r="Y84" s="269">
        <v>4.1529204862765573E-3</v>
      </c>
      <c r="Z84" s="269">
        <v>4.1529204862765789E-3</v>
      </c>
      <c r="AA84" s="271">
        <v>4.6187908283204715E-3</v>
      </c>
    </row>
    <row r="85" spans="1:27" s="237" customFormat="1">
      <c r="A85" s="268" t="s">
        <v>775</v>
      </c>
      <c r="B85" s="123">
        <v>1648</v>
      </c>
      <c r="C85" s="269">
        <v>0.16911827995255052</v>
      </c>
      <c r="D85" s="269">
        <v>0.17725169673656516</v>
      </c>
      <c r="E85" s="269">
        <v>0.173054641209129</v>
      </c>
      <c r="F85" s="269">
        <v>0.18564555974970864</v>
      </c>
      <c r="G85" s="270">
        <v>1.3178605209622307</v>
      </c>
      <c r="H85" s="270">
        <v>1.3540948759786284</v>
      </c>
      <c r="I85" s="269">
        <v>0.14685677110309453</v>
      </c>
      <c r="J85" s="269">
        <v>0.44540749279606739</v>
      </c>
      <c r="K85" s="269">
        <v>6.9500000000000006E-2</v>
      </c>
      <c r="L85" s="269">
        <v>8.207902347015307E-2</v>
      </c>
      <c r="M85" s="269">
        <v>0.13910010466338735</v>
      </c>
      <c r="N85" s="270">
        <v>0.94647831787590087</v>
      </c>
      <c r="O85" s="270">
        <v>6.7180138013623134</v>
      </c>
      <c r="P85" s="270">
        <v>21.774817579847788</v>
      </c>
      <c r="Q85" s="270">
        <v>33.846686642289974</v>
      </c>
      <c r="R85" s="270">
        <v>6.7650917422035324</v>
      </c>
      <c r="S85" s="270">
        <v>81.170186502471253</v>
      </c>
      <c r="T85" s="269">
        <v>0.14041979304897989</v>
      </c>
      <c r="U85" s="269">
        <v>7.1717567851905251E-2</v>
      </c>
      <c r="V85" s="269">
        <v>0.17698341089820932</v>
      </c>
      <c r="W85" s="269">
        <v>1.4772666888447972</v>
      </c>
      <c r="X85" s="269">
        <v>0.13415189960739474</v>
      </c>
      <c r="Y85" s="269">
        <v>0.42167938062996485</v>
      </c>
      <c r="Z85" s="269">
        <v>0.4216793806299648</v>
      </c>
      <c r="AA85" s="271">
        <v>0.19688448580761525</v>
      </c>
    </row>
    <row r="86" spans="1:27" s="237" customFormat="1">
      <c r="A86" s="268" t="s">
        <v>776</v>
      </c>
      <c r="B86" s="123">
        <v>710</v>
      </c>
      <c r="C86" s="269">
        <v>0.17691252873563204</v>
      </c>
      <c r="D86" s="269">
        <v>0.11983144761390822</v>
      </c>
      <c r="E86" s="269">
        <v>0.15474452778417921</v>
      </c>
      <c r="F86" s="269">
        <v>0.2080865325449755</v>
      </c>
      <c r="G86" s="270">
        <v>1.0387463631868152</v>
      </c>
      <c r="H86" s="270">
        <v>1.2339858111510127</v>
      </c>
      <c r="I86" s="269">
        <v>0.13727206772985079</v>
      </c>
      <c r="J86" s="269">
        <v>0.36054916600984277</v>
      </c>
      <c r="K86" s="269">
        <v>6.9500000000000006E-2</v>
      </c>
      <c r="L86" s="269">
        <v>0.32124888739024365</v>
      </c>
      <c r="M86" s="269">
        <v>0.10999234538941745</v>
      </c>
      <c r="N86" s="270">
        <v>1.5324538849846425</v>
      </c>
      <c r="O86" s="270">
        <v>0.68252630940677284</v>
      </c>
      <c r="P86" s="270">
        <v>4.2421310055380514</v>
      </c>
      <c r="Q86" s="270">
        <v>5.4961468710107608</v>
      </c>
      <c r="R86" s="270">
        <v>1.0334392437356485</v>
      </c>
      <c r="S86" s="270">
        <v>34.010112280980266</v>
      </c>
      <c r="T86" s="269">
        <v>0.1414384207393182</v>
      </c>
      <c r="U86" s="269">
        <v>4.6986460400492681E-2</v>
      </c>
      <c r="V86" s="269">
        <v>3.1233063526508904E-2</v>
      </c>
      <c r="W86" s="269">
        <v>0.69060940526576531</v>
      </c>
      <c r="X86" s="269">
        <v>0.19513585801447908</v>
      </c>
      <c r="Y86" s="269">
        <v>0.34425266167339813</v>
      </c>
      <c r="Z86" s="269">
        <v>0.34425266167339807</v>
      </c>
      <c r="AA86" s="271">
        <v>0.11976279919759207</v>
      </c>
    </row>
    <row r="87" spans="1:27" s="237" customFormat="1">
      <c r="A87" s="268" t="s">
        <v>777</v>
      </c>
      <c r="B87" s="123">
        <v>99</v>
      </c>
      <c r="C87" s="269">
        <v>3.9863866666666657E-2</v>
      </c>
      <c r="D87" s="269">
        <v>0.14612907847070811</v>
      </c>
      <c r="E87" s="269">
        <v>7.1853804995165846E-2</v>
      </c>
      <c r="F87" s="269">
        <v>0.26856038903020835</v>
      </c>
      <c r="G87" s="270">
        <v>0.59944869496241837</v>
      </c>
      <c r="H87" s="270">
        <v>0.8356105248266873</v>
      </c>
      <c r="I87" s="269">
        <v>0.10548171988116964</v>
      </c>
      <c r="J87" s="269">
        <v>0.27376891988486907</v>
      </c>
      <c r="K87" s="269">
        <v>6.9500000000000006E-2</v>
      </c>
      <c r="L87" s="269">
        <v>0.40997135229477483</v>
      </c>
      <c r="M87" s="269">
        <v>8.3701020207121835E-2</v>
      </c>
      <c r="N87" s="270">
        <v>0.59875669525319775</v>
      </c>
      <c r="O87" s="270">
        <v>2.1639337464462898</v>
      </c>
      <c r="P87" s="270">
        <v>6.7674351253486078</v>
      </c>
      <c r="Q87" s="270">
        <v>14.969037905540716</v>
      </c>
      <c r="R87" s="270">
        <v>1.4016862038068374</v>
      </c>
      <c r="S87" s="270">
        <v>24.327805212795383</v>
      </c>
      <c r="T87" s="269">
        <v>-6.568226483759157E-2</v>
      </c>
      <c r="U87" s="269">
        <v>0.17045118193113834</v>
      </c>
      <c r="V87" s="269">
        <v>1.0045620758875377E-2</v>
      </c>
      <c r="W87" s="269">
        <v>0.23431849746915523</v>
      </c>
      <c r="X87" s="269">
        <v>5.9656101073844982E-2</v>
      </c>
      <c r="Y87" s="269">
        <v>0.94566204010401345</v>
      </c>
      <c r="Z87" s="269">
        <v>0.94566204010401345</v>
      </c>
      <c r="AA87" s="271">
        <v>0.14331345320592245</v>
      </c>
    </row>
    <row r="88" spans="1:27" s="237" customFormat="1">
      <c r="A88" s="268" t="s">
        <v>778</v>
      </c>
      <c r="B88" s="123">
        <v>461</v>
      </c>
      <c r="C88" s="269">
        <v>4.4529398907103827E-2</v>
      </c>
      <c r="D88" s="269">
        <v>0.10803883058790111</v>
      </c>
      <c r="E88" s="269">
        <v>0.12105446393642671</v>
      </c>
      <c r="F88" s="269">
        <v>0.16798552646066092</v>
      </c>
      <c r="G88" s="270">
        <v>1.1754366702843682</v>
      </c>
      <c r="H88" s="270">
        <v>1.1987978378632358</v>
      </c>
      <c r="I88" s="269">
        <v>0.1344640674614862</v>
      </c>
      <c r="J88" s="269">
        <v>0.35575957529107116</v>
      </c>
      <c r="K88" s="269">
        <v>6.9500000000000006E-2</v>
      </c>
      <c r="L88" s="269">
        <v>0.12271568825108702</v>
      </c>
      <c r="M88" s="269">
        <v>0.12438791697109762</v>
      </c>
      <c r="N88" s="270">
        <v>1.2296782460866211</v>
      </c>
      <c r="O88" s="270">
        <v>2.2056685736550157</v>
      </c>
      <c r="P88" s="270">
        <v>13.982133050228981</v>
      </c>
      <c r="Q88" s="270">
        <v>19.267327671178666</v>
      </c>
      <c r="R88" s="270">
        <v>3.2789066545616312</v>
      </c>
      <c r="S88" s="270">
        <v>48.329999560360697</v>
      </c>
      <c r="T88" s="269">
        <v>0.24547671050793304</v>
      </c>
      <c r="U88" s="269">
        <v>3.0967972014556554E-2</v>
      </c>
      <c r="V88" s="269">
        <v>3.5067191787542577E-2</v>
      </c>
      <c r="W88" s="269">
        <v>0.80979020806717117</v>
      </c>
      <c r="X88" s="269">
        <v>0.12699399947863158</v>
      </c>
      <c r="Y88" s="269">
        <v>0.48118218970957899</v>
      </c>
      <c r="Z88" s="269">
        <v>0.48118218970957893</v>
      </c>
      <c r="AA88" s="271">
        <v>0.1076245089719039</v>
      </c>
    </row>
    <row r="89" spans="1:27" s="237" customFormat="1">
      <c r="A89" s="268" t="s">
        <v>779</v>
      </c>
      <c r="B89" s="123">
        <v>295</v>
      </c>
      <c r="C89" s="269">
        <v>9.3719248826291068E-2</v>
      </c>
      <c r="D89" s="269">
        <v>0.14564770212095915</v>
      </c>
      <c r="E89" s="269">
        <v>8.3002848233363569E-2</v>
      </c>
      <c r="F89" s="269">
        <v>0.20636862175772658</v>
      </c>
      <c r="G89" s="270">
        <v>0.53286343841338268</v>
      </c>
      <c r="H89" s="270">
        <v>0.83120448295402005</v>
      </c>
      <c r="I89" s="269">
        <v>0.1051301177397308</v>
      </c>
      <c r="J89" s="269">
        <v>0.33234588224425837</v>
      </c>
      <c r="K89" s="269">
        <v>6.9500000000000006E-2</v>
      </c>
      <c r="L89" s="269">
        <v>0.45523285018801557</v>
      </c>
      <c r="M89" s="269">
        <v>8.1104854570712426E-2</v>
      </c>
      <c r="N89" s="270">
        <v>0.66302528624879975</v>
      </c>
      <c r="O89" s="270">
        <v>2.0938341981018391</v>
      </c>
      <c r="P89" s="270">
        <v>6.8143143019397634</v>
      </c>
      <c r="Q89" s="270">
        <v>14.316491404336567</v>
      </c>
      <c r="R89" s="270">
        <v>1.3406890906280109</v>
      </c>
      <c r="S89" s="270">
        <v>38.642893253116668</v>
      </c>
      <c r="T89" s="269">
        <v>8.4981712220580687E-3</v>
      </c>
      <c r="U89" s="269">
        <v>0.15451691162113007</v>
      </c>
      <c r="V89" s="269">
        <v>1.8398303676254975E-3</v>
      </c>
      <c r="W89" s="269">
        <v>6.3041372120910863E-2</v>
      </c>
      <c r="X89" s="269">
        <v>9.7927580759062105E-2</v>
      </c>
      <c r="Y89" s="269">
        <v>0.63969274552605071</v>
      </c>
      <c r="Z89" s="269">
        <v>0.63969274552605071</v>
      </c>
      <c r="AA89" s="271">
        <v>0.145102802727752</v>
      </c>
    </row>
    <row r="90" spans="1:27" s="237" customFormat="1">
      <c r="A90" s="268" t="s">
        <v>780</v>
      </c>
      <c r="B90" s="123">
        <v>56</v>
      </c>
      <c r="C90" s="269">
        <v>9.822864864864865E-2</v>
      </c>
      <c r="D90" s="269">
        <v>0.33474559408861121</v>
      </c>
      <c r="E90" s="269">
        <v>0.20013728578995296</v>
      </c>
      <c r="F90" s="269">
        <v>0.26807548682122645</v>
      </c>
      <c r="G90" s="270">
        <v>0.77526113772172134</v>
      </c>
      <c r="H90" s="270">
        <v>0.89286131889100684</v>
      </c>
      <c r="I90" s="269">
        <v>0.11005033324750234</v>
      </c>
      <c r="J90" s="269">
        <v>0.28815132980992253</v>
      </c>
      <c r="K90" s="269">
        <v>6.9500000000000006E-2</v>
      </c>
      <c r="L90" s="269">
        <v>0.21150591899864943</v>
      </c>
      <c r="M90" s="269">
        <v>9.7847291288208668E-2</v>
      </c>
      <c r="N90" s="270">
        <v>0.73483182839642613</v>
      </c>
      <c r="O90" s="270">
        <v>3.7714885665907185</v>
      </c>
      <c r="P90" s="270">
        <v>10.157432415100599</v>
      </c>
      <c r="Q90" s="270">
        <v>11.217270381251886</v>
      </c>
      <c r="R90" s="270">
        <v>3.4958341314125998</v>
      </c>
      <c r="S90" s="270">
        <v>12.602231253306266</v>
      </c>
      <c r="T90" s="269">
        <v>0.14326577092025009</v>
      </c>
      <c r="U90" s="269">
        <v>2.7114026871894421E-2</v>
      </c>
      <c r="V90" s="269">
        <v>1.2922319142159418E-2</v>
      </c>
      <c r="W90" s="269">
        <v>5.4294763263544675E-2</v>
      </c>
      <c r="X90" s="269">
        <v>0.22341989038959192</v>
      </c>
      <c r="Y90" s="269">
        <v>0.91180748886312335</v>
      </c>
      <c r="Z90" s="269">
        <v>0.91180748886312335</v>
      </c>
      <c r="AA90" s="271">
        <v>0.3353339430515232</v>
      </c>
    </row>
    <row r="91" spans="1:27" s="237" customFormat="1">
      <c r="A91" s="268" t="s">
        <v>781</v>
      </c>
      <c r="B91" s="123">
        <v>302</v>
      </c>
      <c r="C91" s="269">
        <v>0.10729344497607662</v>
      </c>
      <c r="D91" s="269">
        <v>7.8816807017395477E-2</v>
      </c>
      <c r="E91" s="269">
        <v>0.12720264109772611</v>
      </c>
      <c r="F91" s="269">
        <v>0.23989417549818295</v>
      </c>
      <c r="G91" s="270">
        <v>0.83086798417579999</v>
      </c>
      <c r="H91" s="270">
        <v>1.0148110401540846</v>
      </c>
      <c r="I91" s="269">
        <v>0.11978192100429595</v>
      </c>
      <c r="J91" s="269">
        <v>0.31084297302653918</v>
      </c>
      <c r="K91" s="269">
        <v>6.9500000000000006E-2</v>
      </c>
      <c r="L91" s="269">
        <v>0.31145967209766678</v>
      </c>
      <c r="M91" s="269">
        <v>9.87809518489558E-2</v>
      </c>
      <c r="N91" s="270">
        <v>1.9460842931032309</v>
      </c>
      <c r="O91" s="270">
        <v>0.98900039785159</v>
      </c>
      <c r="P91" s="270">
        <v>7.8927592818396839</v>
      </c>
      <c r="Q91" s="270">
        <v>12.289046954707567</v>
      </c>
      <c r="R91" s="270">
        <v>1.9154341025484678</v>
      </c>
      <c r="S91" s="270">
        <v>27.907558356540434</v>
      </c>
      <c r="T91" s="269">
        <v>4.6289247811254666E-2</v>
      </c>
      <c r="U91" s="269">
        <v>4.1407170879204931E-2</v>
      </c>
      <c r="V91" s="269">
        <v>2.1304357895726649E-2</v>
      </c>
      <c r="W91" s="269">
        <v>0.56371293751510465</v>
      </c>
      <c r="X91" s="269">
        <v>0.18047586417013964</v>
      </c>
      <c r="Y91" s="269">
        <v>0.3759045643575265</v>
      </c>
      <c r="Z91" s="269">
        <v>0.3759045643575265</v>
      </c>
      <c r="AA91" s="271">
        <v>7.901879530087233E-2</v>
      </c>
    </row>
    <row r="92" spans="1:27" s="237" customFormat="1">
      <c r="A92" s="268" t="s">
        <v>782</v>
      </c>
      <c r="B92" s="123">
        <v>50</v>
      </c>
      <c r="C92" s="269">
        <v>5.1318604651162747E-3</v>
      </c>
      <c r="D92" s="269">
        <v>0.22937544917128982</v>
      </c>
      <c r="E92" s="269">
        <v>6.3106474006416002E-2</v>
      </c>
      <c r="F92" s="269">
        <v>0.23455439053515723</v>
      </c>
      <c r="G92" s="270">
        <v>0.53771205524892773</v>
      </c>
      <c r="H92" s="270">
        <v>0.67261472581248538</v>
      </c>
      <c r="I92" s="269">
        <v>9.2474655119836324E-2</v>
      </c>
      <c r="J92" s="269">
        <v>0.1904649831765268</v>
      </c>
      <c r="K92" s="269">
        <v>6.1800000000000001E-2</v>
      </c>
      <c r="L92" s="269">
        <v>0.28093173916735564</v>
      </c>
      <c r="M92" s="269">
        <v>7.957406875741202E-2</v>
      </c>
      <c r="N92" s="270">
        <v>0.35264141209829214</v>
      </c>
      <c r="O92" s="270">
        <v>4.9514550191904148</v>
      </c>
      <c r="P92" s="270">
        <v>14.391882936833516</v>
      </c>
      <c r="Q92" s="270">
        <v>21.521720661372516</v>
      </c>
      <c r="R92" s="270">
        <v>2.5233071875662696</v>
      </c>
      <c r="S92" s="270">
        <v>47.926146065216102</v>
      </c>
      <c r="T92" s="269">
        <v>5.6540294359728252E-2</v>
      </c>
      <c r="U92" s="269">
        <v>0.15530197652565753</v>
      </c>
      <c r="V92" s="269">
        <v>8.1073848062129403E-2</v>
      </c>
      <c r="W92" s="269">
        <v>0.49777850427936171</v>
      </c>
      <c r="X92" s="269">
        <v>0.10779442786699867</v>
      </c>
      <c r="Y92" s="269">
        <v>0.42288213474408926</v>
      </c>
      <c r="Z92" s="269">
        <v>0.4228821347440892</v>
      </c>
      <c r="AA92" s="271">
        <v>0.22782025938466396</v>
      </c>
    </row>
    <row r="93" spans="1:27" s="237" customFormat="1">
      <c r="A93" s="268" t="s">
        <v>783</v>
      </c>
      <c r="B93" s="123">
        <v>220</v>
      </c>
      <c r="C93" s="269">
        <v>6.7412287581699343E-2</v>
      </c>
      <c r="D93" s="269">
        <v>8.1825960469875447E-2</v>
      </c>
      <c r="E93" s="269">
        <v>9.325941401187661E-2</v>
      </c>
      <c r="F93" s="269">
        <v>0.25137746140461076</v>
      </c>
      <c r="G93" s="270">
        <v>0.80103060507905366</v>
      </c>
      <c r="H93" s="270">
        <v>1.0796626585301576</v>
      </c>
      <c r="I93" s="269">
        <v>0.12495708015070657</v>
      </c>
      <c r="J93" s="269">
        <v>0.31796488514967647</v>
      </c>
      <c r="K93" s="269">
        <v>6.9500000000000006E-2</v>
      </c>
      <c r="L93" s="269">
        <v>0.37028006138641539</v>
      </c>
      <c r="M93" s="269">
        <v>9.8073736773681586E-2</v>
      </c>
      <c r="N93" s="270">
        <v>1.2683662093737476</v>
      </c>
      <c r="O93" s="270">
        <v>1.4582532006532531</v>
      </c>
      <c r="P93" s="270">
        <v>7.1812178949304286</v>
      </c>
      <c r="Q93" s="270">
        <v>13.577420148175593</v>
      </c>
      <c r="R93" s="270">
        <v>2.3093625400302482</v>
      </c>
      <c r="S93" s="270">
        <v>20.393774092471542</v>
      </c>
      <c r="T93" s="269">
        <v>6.1631284750963661E-2</v>
      </c>
      <c r="U93" s="269">
        <v>9.0572486207290609E-2</v>
      </c>
      <c r="V93" s="269">
        <v>6.5333099457492758E-2</v>
      </c>
      <c r="W93" s="269">
        <v>1.2953650987044991</v>
      </c>
      <c r="X93" s="269">
        <v>4.8007666832446935E-2</v>
      </c>
      <c r="Y93" s="269">
        <v>0.47214545338387454</v>
      </c>
      <c r="Z93" s="269">
        <v>0.47214545338387448</v>
      </c>
      <c r="AA93" s="271">
        <v>8.7971142690093859E-2</v>
      </c>
    </row>
    <row r="94" spans="1:27" s="237" customFormat="1">
      <c r="A94" s="268" t="s">
        <v>784</v>
      </c>
      <c r="B94" s="123">
        <v>51</v>
      </c>
      <c r="C94" s="269">
        <v>7.792022222222221E-2</v>
      </c>
      <c r="D94" s="269">
        <v>0.11456119771994193</v>
      </c>
      <c r="E94" s="269">
        <v>7.6714423003748339E-2</v>
      </c>
      <c r="F94" s="269">
        <v>0.18951235707131556</v>
      </c>
      <c r="G94" s="270">
        <v>0.44555229098762261</v>
      </c>
      <c r="H94" s="270">
        <v>0.68093285394007141</v>
      </c>
      <c r="I94" s="269">
        <v>9.3138441744417697E-2</v>
      </c>
      <c r="J94" s="269">
        <v>0.18373338360033689</v>
      </c>
      <c r="K94" s="269">
        <v>6.1800000000000001E-2</v>
      </c>
      <c r="L94" s="269">
        <v>0.44647469066862239</v>
      </c>
      <c r="M94" s="269">
        <v>7.2339640738126904E-2</v>
      </c>
      <c r="N94" s="270">
        <v>0.79592572670996531</v>
      </c>
      <c r="O94" s="270">
        <v>2.0587197648578983</v>
      </c>
      <c r="P94" s="270">
        <v>11.022432960755802</v>
      </c>
      <c r="Q94" s="270">
        <v>17.920870096933381</v>
      </c>
      <c r="R94" s="270">
        <v>1.6077812288677511</v>
      </c>
      <c r="S94" s="270">
        <v>19.959924071772317</v>
      </c>
      <c r="T94" s="269">
        <v>2.1882787338106589E-2</v>
      </c>
      <c r="U94" s="269">
        <v>0.1391916397622712</v>
      </c>
      <c r="V94" s="269">
        <v>7.4413848046799388E-2</v>
      </c>
      <c r="W94" s="269">
        <v>1.1281129759412232</v>
      </c>
      <c r="X94" s="269">
        <v>0.12706804579670924</v>
      </c>
      <c r="Y94" s="269">
        <v>0.56808177867298026</v>
      </c>
      <c r="Z94" s="269">
        <v>0.56808177867298026</v>
      </c>
      <c r="AA94" s="271">
        <v>0.11417047367535862</v>
      </c>
    </row>
    <row r="95" spans="1:27" s="237" customFormat="1">
      <c r="A95" s="268" t="s">
        <v>785</v>
      </c>
      <c r="B95" s="123">
        <v>104</v>
      </c>
      <c r="C95" s="269">
        <v>7.9921733333333342E-2</v>
      </c>
      <c r="D95" s="269">
        <v>0.23308027198201001</v>
      </c>
      <c r="E95" s="269">
        <v>6.0083722599385478E-2</v>
      </c>
      <c r="F95" s="269">
        <v>0.19550644712298801</v>
      </c>
      <c r="G95" s="270">
        <v>0.48577767777887526</v>
      </c>
      <c r="H95" s="270">
        <v>0.74037836279006486</v>
      </c>
      <c r="I95" s="269">
        <v>9.7882193350647184E-2</v>
      </c>
      <c r="J95" s="269">
        <v>0.29170204736386413</v>
      </c>
      <c r="K95" s="269">
        <v>6.9500000000000006E-2</v>
      </c>
      <c r="L95" s="269">
        <v>0.45258505055032439</v>
      </c>
      <c r="M95" s="269">
        <v>7.7276972066347274E-2</v>
      </c>
      <c r="N95" s="270">
        <v>0.2960000594907215</v>
      </c>
      <c r="O95" s="270">
        <v>4.7535462364637491</v>
      </c>
      <c r="P95" s="270">
        <v>12.93134872040161</v>
      </c>
      <c r="Q95" s="270">
        <v>20.069056769362522</v>
      </c>
      <c r="R95" s="270">
        <v>1.5000124500603853</v>
      </c>
      <c r="S95" s="270">
        <v>27.005335813319128</v>
      </c>
      <c r="T95" s="269">
        <v>4.2979439477294483E-2</v>
      </c>
      <c r="U95" s="269">
        <v>0.21460584021765075</v>
      </c>
      <c r="V95" s="269">
        <v>0.11132379540777157</v>
      </c>
      <c r="W95" s="269">
        <v>0.99074678758901424</v>
      </c>
      <c r="X95" s="269">
        <v>5.007048841854516E-2</v>
      </c>
      <c r="Y95" s="269">
        <v>0.80660637410407132</v>
      </c>
      <c r="Z95" s="269">
        <v>0.41572668892840536</v>
      </c>
      <c r="AA95" s="271">
        <v>0.23300787604616452</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H40" sqref="H40"/>
    </sheetView>
  </sheetViews>
  <sheetFormatPr baseColWidth="10" defaultRowHeight="13"/>
  <cols>
    <col min="1" max="1" width="34" bestFit="1" customWidth="1"/>
    <col min="2" max="2" width="16" style="155" customWidth="1"/>
    <col min="3" max="3" width="19.83203125" style="155" bestFit="1" customWidth="1"/>
    <col min="4" max="4" width="22.1640625" style="155" bestFit="1" customWidth="1"/>
    <col min="5" max="5" width="14.1640625" bestFit="1" customWidth="1"/>
  </cols>
  <sheetData>
    <row r="1" spans="1:5">
      <c r="B1" s="137" t="s">
        <v>393</v>
      </c>
      <c r="C1" s="137" t="s">
        <v>425</v>
      </c>
      <c r="D1" s="137" t="s">
        <v>426</v>
      </c>
      <c r="E1" s="137" t="s">
        <v>394</v>
      </c>
    </row>
    <row r="2" spans="1:5" ht="14">
      <c r="A2" s="55" t="s">
        <v>11</v>
      </c>
      <c r="B2" s="174"/>
      <c r="C2" s="174"/>
      <c r="D2" s="174"/>
      <c r="E2" s="175"/>
    </row>
    <row r="3" spans="1:5" ht="14">
      <c r="A3" s="55" t="s">
        <v>646</v>
      </c>
      <c r="B3" s="174"/>
      <c r="C3" s="174"/>
      <c r="D3" s="174"/>
      <c r="E3" s="175"/>
    </row>
    <row r="4" spans="1:5" ht="14">
      <c r="A4" s="55" t="s">
        <v>27</v>
      </c>
      <c r="B4" s="174"/>
      <c r="C4" s="174"/>
      <c r="D4" s="174"/>
      <c r="E4" s="175"/>
    </row>
    <row r="5" spans="1:5" ht="14">
      <c r="A5" s="55" t="s">
        <v>437</v>
      </c>
      <c r="B5" s="174"/>
      <c r="C5" s="174"/>
      <c r="D5" s="174"/>
      <c r="E5" s="175"/>
    </row>
    <row r="6" spans="1:5" ht="14">
      <c r="A6" s="55" t="s">
        <v>28</v>
      </c>
      <c r="B6" s="174"/>
      <c r="C6" s="174"/>
      <c r="D6" s="174"/>
      <c r="E6" s="175"/>
    </row>
    <row r="7" spans="1:5" ht="14">
      <c r="A7" s="55" t="s">
        <v>29</v>
      </c>
      <c r="B7" s="174"/>
      <c r="C7" s="174"/>
      <c r="D7" s="174"/>
      <c r="E7" s="175"/>
    </row>
    <row r="8" spans="1:5" ht="14">
      <c r="A8" s="55" t="s">
        <v>242</v>
      </c>
      <c r="B8" s="174"/>
      <c r="C8" s="174"/>
      <c r="D8" s="174"/>
      <c r="E8" s="175"/>
    </row>
    <row r="9" spans="1:5" ht="14">
      <c r="A9" s="55" t="s">
        <v>243</v>
      </c>
      <c r="B9" s="174"/>
      <c r="C9" s="174"/>
      <c r="D9" s="174"/>
      <c r="E9" s="175"/>
    </row>
    <row r="10" spans="1:5" ht="14">
      <c r="A10" s="55" t="s">
        <v>385</v>
      </c>
      <c r="B10" s="174"/>
      <c r="C10" s="174"/>
      <c r="D10" s="174"/>
      <c r="E10" s="175"/>
    </row>
    <row r="11" spans="1:5" ht="14">
      <c r="A11" s="55" t="s">
        <v>389</v>
      </c>
      <c r="B11" s="174"/>
      <c r="C11" s="174"/>
      <c r="D11" s="174"/>
      <c r="E11" s="175"/>
    </row>
    <row r="12" spans="1:5" ht="14">
      <c r="A12" s="55" t="s">
        <v>30</v>
      </c>
      <c r="B12" s="174"/>
      <c r="C12" s="174"/>
      <c r="D12" s="174"/>
      <c r="E12" s="175"/>
    </row>
    <row r="13" spans="1:5" ht="14">
      <c r="A13" s="55" t="s">
        <v>31</v>
      </c>
      <c r="B13" s="176"/>
      <c r="C13" s="174"/>
      <c r="D13" s="174"/>
      <c r="E13" s="175"/>
    </row>
    <row r="14" spans="1:5" ht="14">
      <c r="A14" s="55" t="s">
        <v>102</v>
      </c>
      <c r="B14" s="156"/>
      <c r="C14" s="156"/>
      <c r="D14" s="156"/>
      <c r="E14" s="1"/>
    </row>
    <row r="15" spans="1:5" ht="14">
      <c r="A15" s="55" t="s">
        <v>103</v>
      </c>
      <c r="B15" s="137"/>
      <c r="C15" s="137"/>
      <c r="D15" s="137"/>
      <c r="E15" s="1"/>
    </row>
    <row r="16" spans="1:5" s="2" customFormat="1" ht="14">
      <c r="A16" s="65" t="s">
        <v>395</v>
      </c>
      <c r="B16" s="198"/>
      <c r="C16" s="198"/>
      <c r="D16" s="198"/>
      <c r="E16" s="199"/>
    </row>
    <row r="17" spans="1:5" ht="14">
      <c r="A17" s="52" t="s">
        <v>396</v>
      </c>
      <c r="B17" s="244"/>
      <c r="C17" s="177"/>
      <c r="D17" s="177" t="s">
        <v>96</v>
      </c>
      <c r="E17" s="178"/>
    </row>
    <row r="18" spans="1:5" ht="14">
      <c r="A18" s="52" t="s">
        <v>397</v>
      </c>
      <c r="B18" s="244"/>
      <c r="C18" s="398" t="s">
        <v>563</v>
      </c>
      <c r="D18" s="177" t="s">
        <v>96</v>
      </c>
      <c r="E18" s="178"/>
    </row>
    <row r="19" spans="1:5" ht="14">
      <c r="A19" s="52" t="s">
        <v>398</v>
      </c>
      <c r="B19" s="244"/>
      <c r="C19" s="398"/>
      <c r="D19" s="177" t="s">
        <v>96</v>
      </c>
      <c r="E19" s="178"/>
    </row>
    <row r="20" spans="1:5" ht="14">
      <c r="A20" s="52" t="s">
        <v>399</v>
      </c>
      <c r="B20" s="244"/>
      <c r="C20" s="398"/>
      <c r="D20" s="177" t="s">
        <v>96</v>
      </c>
      <c r="E20" s="178"/>
    </row>
    <row r="21" spans="1:5" ht="14">
      <c r="A21" s="52" t="s">
        <v>400</v>
      </c>
      <c r="B21" s="244"/>
      <c r="C21" s="398"/>
      <c r="D21" s="177" t="s">
        <v>96</v>
      </c>
      <c r="E21" s="178"/>
    </row>
    <row r="22" spans="1:5" ht="14">
      <c r="A22" s="52" t="s">
        <v>401</v>
      </c>
      <c r="B22" s="243"/>
      <c r="C22" s="398"/>
      <c r="D22" s="177" t="s">
        <v>96</v>
      </c>
      <c r="E22" s="178"/>
    </row>
    <row r="23" spans="1:5">
      <c r="B23" s="157"/>
      <c r="C23" s="398"/>
    </row>
    <row r="25" spans="1:5" ht="14">
      <c r="A25" s="52" t="s">
        <v>562</v>
      </c>
      <c r="B25" s="242"/>
    </row>
    <row r="29" spans="1:5">
      <c r="D29" s="174"/>
    </row>
    <row r="30" spans="1:5">
      <c r="D30" s="174"/>
    </row>
    <row r="31" spans="1:5">
      <c r="D31" s="174"/>
    </row>
    <row r="32" spans="1:5">
      <c r="D32" s="174"/>
    </row>
    <row r="36" spans="1:1">
      <c r="A36" t="s">
        <v>640</v>
      </c>
    </row>
    <row r="37" spans="1:1">
      <c r="A37" t="s">
        <v>641</v>
      </c>
    </row>
    <row r="38" spans="1:1">
      <c r="A38" t="s">
        <v>642</v>
      </c>
    </row>
    <row r="40" spans="1:1">
      <c r="A40" t="s">
        <v>643</v>
      </c>
    </row>
  </sheetData>
  <mergeCells count="1">
    <mergeCell ref="C18:C23"/>
  </mergeCells>
  <pageMargins left="0.75" right="0.75" top="1" bottom="1" header="0.5" footer="0.5"/>
  <pageSetup orientation="landscape"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F22" sqref="F22"/>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259" customFormat="1">
      <c r="A1" s="259" t="s">
        <v>238</v>
      </c>
      <c r="B1" s="259" t="s">
        <v>240</v>
      </c>
      <c r="C1" s="259" t="s">
        <v>439</v>
      </c>
      <c r="D1" s="259" t="s">
        <v>447</v>
      </c>
      <c r="E1" s="259" t="s">
        <v>449</v>
      </c>
      <c r="F1" s="259" t="s">
        <v>473</v>
      </c>
      <c r="G1" t="s">
        <v>228</v>
      </c>
    </row>
    <row r="2" spans="1:7">
      <c r="A2" t="s">
        <v>55</v>
      </c>
      <c r="B2" t="s">
        <v>100</v>
      </c>
      <c r="C2" t="s">
        <v>440</v>
      </c>
      <c r="D2" t="s">
        <v>448</v>
      </c>
      <c r="E2">
        <v>1</v>
      </c>
      <c r="F2" t="s">
        <v>448</v>
      </c>
      <c r="G2" t="s">
        <v>468</v>
      </c>
    </row>
    <row r="3" spans="1:7">
      <c r="A3" t="s">
        <v>49</v>
      </c>
      <c r="B3" t="s">
        <v>234</v>
      </c>
      <c r="C3" t="s">
        <v>443</v>
      </c>
      <c r="D3" t="s">
        <v>449</v>
      </c>
      <c r="E3">
        <v>2</v>
      </c>
      <c r="F3" t="s">
        <v>478</v>
      </c>
      <c r="G3" t="s">
        <v>467</v>
      </c>
    </row>
    <row r="4" spans="1:7">
      <c r="C4" t="s">
        <v>441</v>
      </c>
      <c r="D4" t="s">
        <v>450</v>
      </c>
      <c r="F4" t="s">
        <v>479</v>
      </c>
      <c r="G4" t="s">
        <v>466</v>
      </c>
    </row>
    <row r="5" spans="1:7">
      <c r="C5" t="s">
        <v>442</v>
      </c>
      <c r="F5" t="s">
        <v>480</v>
      </c>
      <c r="G5" t="s">
        <v>465</v>
      </c>
    </row>
    <row r="6" spans="1:7">
      <c r="F6" t="s">
        <v>477</v>
      </c>
      <c r="G6" t="s">
        <v>464</v>
      </c>
    </row>
    <row r="7" spans="1:7">
      <c r="G7" t="s">
        <v>463</v>
      </c>
    </row>
    <row r="8" spans="1:7">
      <c r="G8" t="s">
        <v>462</v>
      </c>
    </row>
    <row r="9" spans="1:7">
      <c r="G9" t="s">
        <v>461</v>
      </c>
    </row>
    <row r="10" spans="1:7">
      <c r="G10" t="s">
        <v>460</v>
      </c>
    </row>
    <row r="11" spans="1:7">
      <c r="G11" t="s">
        <v>459</v>
      </c>
    </row>
    <row r="12" spans="1:7">
      <c r="G12" t="s">
        <v>458</v>
      </c>
    </row>
    <row r="13" spans="1:7">
      <c r="G13" t="s">
        <v>457</v>
      </c>
    </row>
    <row r="14" spans="1:7">
      <c r="G14" t="s">
        <v>456</v>
      </c>
    </row>
    <row r="15" spans="1:7">
      <c r="G15" t="s">
        <v>455</v>
      </c>
    </row>
    <row r="16" spans="1:7">
      <c r="G16" t="s">
        <v>454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zoomScale="137" zoomScaleNormal="137" workbookViewId="0">
      <selection activeCell="B25" sqref="B25"/>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2.1640625" style="4" bestFit="1" customWidth="1"/>
    <col min="9" max="9" width="13.5" style="4" customWidth="1"/>
    <col min="10" max="10" width="15" style="4" bestFit="1" customWidth="1"/>
    <col min="11" max="11" width="17.5" style="4" bestFit="1" customWidth="1"/>
    <col min="12" max="16384" width="10.83203125" style="4"/>
  </cols>
  <sheetData>
    <row r="1" spans="1:10" ht="13">
      <c r="A1" s="181" t="s">
        <v>383</v>
      </c>
      <c r="B1" s="200">
        <v>43799</v>
      </c>
      <c r="C1" s="145" t="s">
        <v>384</v>
      </c>
      <c r="D1" s="146"/>
      <c r="E1" s="146"/>
      <c r="F1" s="146"/>
      <c r="G1" s="146"/>
      <c r="H1" s="146"/>
      <c r="I1" s="146"/>
      <c r="J1" s="147"/>
    </row>
    <row r="2" spans="1:10" s="52" customFormat="1" ht="14" thickBot="1">
      <c r="A2" s="49" t="s">
        <v>32</v>
      </c>
      <c r="B2" s="201" t="s">
        <v>798</v>
      </c>
      <c r="C2" s="182" t="s">
        <v>98</v>
      </c>
      <c r="J2" s="183"/>
    </row>
    <row r="3" spans="1:10" s="52" customFormat="1" ht="14" thickBot="1">
      <c r="A3" s="358" t="s">
        <v>428</v>
      </c>
      <c r="B3" s="359"/>
      <c r="C3" s="360"/>
      <c r="D3" s="360"/>
      <c r="E3" s="360"/>
      <c r="F3" s="360"/>
      <c r="G3" s="360"/>
      <c r="H3" s="360"/>
      <c r="I3" s="360"/>
      <c r="J3" s="361"/>
    </row>
    <row r="4" spans="1:10" s="52" customFormat="1" ht="13">
      <c r="A4" s="49"/>
      <c r="B4" s="49" t="s">
        <v>176</v>
      </c>
      <c r="C4" s="49" t="s">
        <v>177</v>
      </c>
    </row>
    <row r="5" spans="1:10" s="52" customFormat="1" ht="13">
      <c r="A5" s="52" t="s">
        <v>443</v>
      </c>
      <c r="B5" s="135" t="s">
        <v>345</v>
      </c>
      <c r="C5" s="49"/>
    </row>
    <row r="6" spans="1:10" s="52" customFormat="1" ht="13">
      <c r="A6" s="52" t="s">
        <v>433</v>
      </c>
      <c r="B6" s="135" t="s">
        <v>743</v>
      </c>
    </row>
    <row r="7" spans="1:10" s="52" customFormat="1" ht="13">
      <c r="A7" s="52" t="s">
        <v>434</v>
      </c>
      <c r="B7" s="135" t="s">
        <v>743</v>
      </c>
      <c r="C7" s="215" t="s">
        <v>393</v>
      </c>
      <c r="D7" s="215" t="s">
        <v>525</v>
      </c>
    </row>
    <row r="8" spans="1:10" s="52" customFormat="1" ht="13">
      <c r="A8" s="55" t="s">
        <v>788</v>
      </c>
      <c r="B8" s="74">
        <v>527</v>
      </c>
      <c r="C8" s="74">
        <v>331</v>
      </c>
      <c r="D8" s="135">
        <v>1</v>
      </c>
      <c r="H8" s="273"/>
    </row>
    <row r="9" spans="1:10" s="52" customFormat="1" ht="13">
      <c r="A9" s="55" t="s">
        <v>790</v>
      </c>
      <c r="B9" s="74"/>
      <c r="C9" s="74"/>
      <c r="D9" s="135"/>
    </row>
    <row r="10" spans="1:10" s="52" customFormat="1" ht="13">
      <c r="A10" s="55" t="s">
        <v>789</v>
      </c>
      <c r="B10" s="74"/>
      <c r="C10" s="74"/>
      <c r="D10" s="135"/>
    </row>
    <row r="11" spans="1:10" s="52" customFormat="1" ht="13">
      <c r="A11" s="55" t="s">
        <v>27</v>
      </c>
      <c r="B11" s="74">
        <v>327</v>
      </c>
      <c r="C11" s="74">
        <v>165</v>
      </c>
      <c r="D11" s="135">
        <v>1</v>
      </c>
    </row>
    <row r="12" spans="1:10" s="52" customFormat="1" ht="13">
      <c r="A12" s="55" t="s">
        <v>436</v>
      </c>
      <c r="B12" s="74">
        <v>5.7</v>
      </c>
      <c r="C12" s="74">
        <v>8.9</v>
      </c>
      <c r="D12" s="56"/>
      <c r="F12" s="273"/>
    </row>
    <row r="13" spans="1:10" s="52" customFormat="1" ht="13">
      <c r="A13" s="55" t="s">
        <v>28</v>
      </c>
      <c r="B13" s="74">
        <v>1313</v>
      </c>
      <c r="C13" s="74">
        <v>1008</v>
      </c>
      <c r="D13" s="56"/>
    </row>
    <row r="14" spans="1:10" s="52" customFormat="1" ht="13">
      <c r="A14" s="55" t="s">
        <v>29</v>
      </c>
      <c r="B14" s="74">
        <v>678</v>
      </c>
      <c r="C14" s="74">
        <v>675</v>
      </c>
      <c r="D14" s="56"/>
    </row>
    <row r="15" spans="1:10" s="52" customFormat="1" ht="13">
      <c r="A15" s="55" t="s">
        <v>423</v>
      </c>
      <c r="B15" s="172" t="s">
        <v>49</v>
      </c>
      <c r="C15" s="173" t="s">
        <v>424</v>
      </c>
      <c r="D15" s="56"/>
    </row>
    <row r="16" spans="1:10" s="52" customFormat="1" ht="13">
      <c r="A16" s="55" t="s">
        <v>242</v>
      </c>
      <c r="B16" s="74" t="s">
        <v>49</v>
      </c>
      <c r="C16" s="56" t="s">
        <v>245</v>
      </c>
      <c r="D16" s="56"/>
    </row>
    <row r="17" spans="1:11" s="52" customFormat="1" ht="13">
      <c r="A17" s="55" t="s">
        <v>509</v>
      </c>
      <c r="B17" s="74">
        <v>1182</v>
      </c>
      <c r="C17" s="74">
        <v>1179</v>
      </c>
      <c r="D17" s="56"/>
    </row>
    <row r="18" spans="1:11" s="52" customFormat="1" ht="13">
      <c r="A18" s="55" t="s">
        <v>510</v>
      </c>
      <c r="B18" s="148">
        <v>0</v>
      </c>
      <c r="C18" s="74">
        <v>0</v>
      </c>
      <c r="D18" s="56"/>
    </row>
    <row r="19" spans="1:11" s="52" customFormat="1" ht="13">
      <c r="A19" s="55" t="s">
        <v>389</v>
      </c>
      <c r="B19" s="148"/>
      <c r="C19" s="74"/>
      <c r="D19" s="56"/>
    </row>
    <row r="20" spans="1:11" s="52" customFormat="1" ht="14" thickBot="1">
      <c r="A20" s="55" t="s">
        <v>30</v>
      </c>
      <c r="B20" s="136">
        <v>177</v>
      </c>
      <c r="C20" s="56"/>
    </row>
    <row r="21" spans="1:11" s="52" customFormat="1" ht="13">
      <c r="A21" s="55" t="s">
        <v>31</v>
      </c>
      <c r="B21" s="74">
        <v>20.16</v>
      </c>
      <c r="C21" s="56"/>
      <c r="D21" s="273"/>
      <c r="E21" s="75" t="s">
        <v>241</v>
      </c>
      <c r="F21" s="50"/>
      <c r="G21" s="50"/>
      <c r="H21" s="50"/>
      <c r="I21" s="50"/>
      <c r="J21" s="50"/>
      <c r="K21" s="51"/>
    </row>
    <row r="22" spans="1:11" s="52" customFormat="1" ht="13">
      <c r="A22" s="55" t="s">
        <v>102</v>
      </c>
      <c r="B22" s="57">
        <v>0.153</v>
      </c>
      <c r="C22" s="56"/>
      <c r="E22" s="180" t="s">
        <v>427</v>
      </c>
      <c r="K22" s="77"/>
    </row>
    <row r="23" spans="1:11" s="52" customFormat="1" ht="13">
      <c r="A23" s="55" t="s">
        <v>103</v>
      </c>
      <c r="B23" s="57">
        <v>0.25</v>
      </c>
      <c r="C23" s="56"/>
      <c r="E23" s="134"/>
      <c r="I23" s="55" t="s">
        <v>237</v>
      </c>
      <c r="J23" s="55" t="s">
        <v>239</v>
      </c>
      <c r="K23" s="77" t="s">
        <v>435</v>
      </c>
    </row>
    <row r="24" spans="1:11" s="52" customFormat="1" ht="13">
      <c r="A24" s="49" t="s">
        <v>33</v>
      </c>
      <c r="B24" s="58"/>
      <c r="C24" s="56"/>
      <c r="E24" s="76" t="s">
        <v>172</v>
      </c>
      <c r="I24" s="227">
        <f>IF(C8&gt;0,(B8/C8)^(1/D8)-1, "NA")</f>
        <v>0.59214501510574014</v>
      </c>
      <c r="J24" s="227">
        <f>VLOOKUP(B6,'Industry Average Beta (US)'!A2:S95,3)</f>
        <v>5.8830769230769242E-2</v>
      </c>
      <c r="K24" s="228">
        <f>VLOOKUP(B7,'Industry Average Beta (Global)'!A2:N95,3)</f>
        <v>0.14998445360824739</v>
      </c>
    </row>
    <row r="25" spans="1:11" s="52" customFormat="1" ht="13">
      <c r="A25" s="55" t="s">
        <v>813</v>
      </c>
      <c r="B25" s="63">
        <f>'Master Inputs'!B5</f>
        <v>13559.399999999998</v>
      </c>
      <c r="C25" s="56" t="s">
        <v>512</v>
      </c>
      <c r="E25" s="76" t="s">
        <v>173</v>
      </c>
      <c r="I25" s="227">
        <f>'Valuation output'!B8</f>
        <v>0.62049335863377608</v>
      </c>
      <c r="J25" s="228">
        <f>VLOOKUP(B6,'Industry Average Beta (US)'!A2:AA95,4)</f>
        <v>0.22890522631901319</v>
      </c>
      <c r="K25" s="228">
        <f>VLOOKUP(B7,'Industry Average Beta (Global)'!A2:N95,4)</f>
        <v>0.16457676118489492</v>
      </c>
    </row>
    <row r="26" spans="1:11" s="52" customFormat="1" ht="13">
      <c r="A26" s="55"/>
      <c r="B26" s="63"/>
      <c r="C26" s="56"/>
      <c r="E26" s="76" t="s">
        <v>174</v>
      </c>
      <c r="I26" s="229">
        <f>B8/'Valuation output'!B46</f>
        <v>0.65142150803461063</v>
      </c>
      <c r="J26" s="229">
        <f>VLOOKUP(B6,'Industry Average Beta (US)'!A2:S95,14)</f>
        <v>1.5847983484975299</v>
      </c>
      <c r="K26" s="229">
        <f>VLOOKUP(B7,'Industry Average Beta (Global)'!A2:N95,14)</f>
        <v>1.5541907800285226</v>
      </c>
    </row>
    <row r="27" spans="1:11" s="52" customFormat="1" ht="13">
      <c r="A27" s="55"/>
      <c r="B27" s="63"/>
      <c r="C27" s="56"/>
      <c r="E27" s="76" t="s">
        <v>175</v>
      </c>
      <c r="I27" s="228">
        <f>'Valuation output'!B14/'Valuation output'!B46</f>
        <v>0.34235970333745364</v>
      </c>
      <c r="J27" s="228">
        <f>VLOOKUP(B6,'Industry Average Beta (US)'!A2:S95,5)</f>
        <v>0.34724969889915558</v>
      </c>
      <c r="K27" s="228">
        <f>VLOOKUP(B7,'Industry Average Beta (Global)'!A2:N95,5)</f>
        <v>0.24562183011742217</v>
      </c>
    </row>
    <row r="28" spans="1:11" s="52" customFormat="1" ht="13">
      <c r="A28" s="55"/>
      <c r="B28" s="63"/>
      <c r="C28" s="56"/>
      <c r="E28" s="76" t="s">
        <v>382</v>
      </c>
      <c r="I28" s="144"/>
      <c r="J28" s="230">
        <f>VLOOKUP(B6,'Industry Average Beta (US)'!A2:S95,10)</f>
        <v>0.70056239501193862</v>
      </c>
      <c r="K28" s="228">
        <f>VLOOKUP(B6,'Industry Average Beta (Global)'!A2:Z95,10)</f>
        <v>0.61690411142274737</v>
      </c>
    </row>
    <row r="29" spans="1:11" s="52" customFormat="1" ht="14" thickBot="1">
      <c r="A29" s="55" t="s">
        <v>653</v>
      </c>
      <c r="B29" s="59">
        <f>'Master Inputs'!B18</f>
        <v>0.44</v>
      </c>
      <c r="C29" s="56" t="s">
        <v>511</v>
      </c>
      <c r="E29" s="53" t="s">
        <v>381</v>
      </c>
      <c r="F29" s="54"/>
      <c r="G29" s="54"/>
      <c r="H29" s="54"/>
      <c r="I29" s="54"/>
      <c r="J29" s="231">
        <f>VLOOKUP(B6,'Industry Average Beta (US)'!A2:S95,13)</f>
        <v>0.10428770839268217</v>
      </c>
      <c r="K29" s="228">
        <f>VLOOKUP(B6,'Industry Average Beta (Global)'!A2:Z95,13)</f>
        <v>0.11776866430269403</v>
      </c>
    </row>
    <row r="30" spans="1:11" s="52" customFormat="1" ht="14" thickBot="1">
      <c r="A30" s="55"/>
      <c r="B30" s="59"/>
      <c r="C30" s="56"/>
    </row>
    <row r="31" spans="1:11" s="52" customFormat="1" ht="13">
      <c r="A31" s="55"/>
      <c r="B31" s="59"/>
      <c r="C31" s="56"/>
      <c r="E31" s="362" t="s">
        <v>513</v>
      </c>
      <c r="F31" s="363"/>
      <c r="G31" s="363"/>
      <c r="H31" s="363"/>
      <c r="I31" s="363"/>
      <c r="J31" s="364"/>
    </row>
    <row r="32" spans="1:11" s="52" customFormat="1" ht="13">
      <c r="A32" s="55"/>
      <c r="B32" s="59"/>
      <c r="C32" s="56"/>
      <c r="E32" s="76" t="s">
        <v>514</v>
      </c>
      <c r="J32" s="226">
        <f>'Valuation output'!S3</f>
        <v>13559.399999999998</v>
      </c>
    </row>
    <row r="33" spans="1:14" s="52" customFormat="1" ht="13">
      <c r="A33" s="55" t="s">
        <v>583</v>
      </c>
      <c r="B33" s="60">
        <v>5</v>
      </c>
      <c r="C33" s="56" t="s">
        <v>584</v>
      </c>
      <c r="E33" s="76" t="s">
        <v>516</v>
      </c>
      <c r="J33" s="226">
        <f>'Valuation output'!S12</f>
        <v>2914.5848399341289</v>
      </c>
    </row>
    <row r="34" spans="1:14" s="52" customFormat="1" ht="13">
      <c r="A34" s="55"/>
      <c r="B34" s="274" t="s">
        <v>532</v>
      </c>
      <c r="C34" s="275" t="s">
        <v>533</v>
      </c>
      <c r="E34" s="76" t="s">
        <v>515</v>
      </c>
      <c r="J34" s="227">
        <f>'Valuation output'!L47</f>
        <v>0.28834431607908173</v>
      </c>
    </row>
    <row r="35" spans="1:14" s="52" customFormat="1" ht="14" thickBot="1">
      <c r="A35" s="55" t="s">
        <v>35</v>
      </c>
      <c r="B35" s="60">
        <f>VLOOKUP('Master Inputs'!B25,'Master Inputs'!D27:E33,2)</f>
        <v>1.2</v>
      </c>
      <c r="C35" s="60">
        <f>B35*(2/3)</f>
        <v>0.79999999999999993</v>
      </c>
      <c r="D35" s="56" t="s">
        <v>647</v>
      </c>
      <c r="E35" s="216" t="s">
        <v>517</v>
      </c>
      <c r="F35" s="54"/>
      <c r="G35" s="54"/>
      <c r="H35" s="54"/>
      <c r="I35" s="54"/>
      <c r="J35" s="217"/>
    </row>
    <row r="36" spans="1:14" s="52" customFormat="1" ht="14" thickBot="1">
      <c r="A36" s="49" t="s">
        <v>34</v>
      </c>
      <c r="B36" s="61"/>
      <c r="C36" s="56"/>
    </row>
    <row r="37" spans="1:14" s="52" customFormat="1" ht="14" customHeight="1">
      <c r="A37" s="55" t="s">
        <v>25</v>
      </c>
      <c r="B37" s="59">
        <v>3.7999999999999999E-2</v>
      </c>
      <c r="C37" s="56"/>
      <c r="E37" s="297" t="s">
        <v>42</v>
      </c>
      <c r="F37" s="50"/>
      <c r="G37" s="50"/>
      <c r="H37" s="298">
        <f>'Valuation output'!B31</f>
        <v>13863.83254699051</v>
      </c>
    </row>
    <row r="38" spans="1:14" s="52" customFormat="1" ht="14" customHeight="1">
      <c r="A38" s="55" t="s">
        <v>37</v>
      </c>
      <c r="B38" s="59">
        <f>'Master Inputs'!B31</f>
        <v>0.12</v>
      </c>
      <c r="C38" s="56"/>
      <c r="E38" s="76" t="s">
        <v>677</v>
      </c>
      <c r="H38" s="298">
        <f>'Valuation output'!B38</f>
        <v>14367.83254699051</v>
      </c>
    </row>
    <row r="39" spans="1:14" s="65" customFormat="1" ht="14" customHeight="1" thickBot="1">
      <c r="A39" s="49" t="s">
        <v>87</v>
      </c>
      <c r="B39" s="62"/>
      <c r="C39" s="62"/>
      <c r="D39" s="56"/>
      <c r="E39" s="53" t="s">
        <v>524</v>
      </c>
      <c r="F39" s="54"/>
      <c r="G39" s="54"/>
      <c r="H39" s="298">
        <f>'Valuation output'!B40</f>
        <v>81.174195180737343</v>
      </c>
      <c r="I39" s="52"/>
      <c r="J39" s="52"/>
      <c r="K39" s="52"/>
      <c r="L39" s="52"/>
      <c r="M39" s="52"/>
      <c r="N39" s="52"/>
    </row>
    <row r="40" spans="1:14" s="52" customFormat="1" ht="14">
      <c r="A40" s="52" t="s">
        <v>244</v>
      </c>
      <c r="B40" s="59" t="s">
        <v>49</v>
      </c>
      <c r="C40"/>
      <c r="D40" s="56"/>
    </row>
    <row r="41" spans="1:14" s="52" customFormat="1" ht="13">
      <c r="A41" s="52" t="s">
        <v>88</v>
      </c>
      <c r="B41" s="60"/>
      <c r="C41" s="225"/>
      <c r="D41" s="56"/>
      <c r="N41" s="65"/>
    </row>
    <row r="42" spans="1:14" s="65" customFormat="1" ht="13">
      <c r="A42" s="52" t="s">
        <v>89</v>
      </c>
      <c r="B42" s="63"/>
      <c r="C42" s="224"/>
      <c r="D42" s="56"/>
      <c r="N42" s="52"/>
    </row>
    <row r="43" spans="1:14" s="52" customFormat="1" ht="13">
      <c r="A43" s="52" t="s">
        <v>90</v>
      </c>
      <c r="B43" s="60"/>
      <c r="C43" s="225"/>
      <c r="D43" s="56"/>
    </row>
    <row r="44" spans="1:14" s="52" customFormat="1" ht="13">
      <c r="A44" s="52" t="s">
        <v>91</v>
      </c>
      <c r="B44" s="59"/>
      <c r="C44" s="56"/>
      <c r="N44" s="65"/>
    </row>
    <row r="45" spans="1:14" s="52" customFormat="1" ht="13">
      <c r="B45" s="64"/>
      <c r="C45" s="62"/>
      <c r="D45" s="56"/>
      <c r="H45" s="65"/>
      <c r="I45" s="65"/>
      <c r="J45" s="65"/>
      <c r="K45" s="65"/>
      <c r="L45" s="65"/>
      <c r="M45" s="65"/>
    </row>
    <row r="46" spans="1:14" s="52" customFormat="1" ht="13">
      <c r="A46" s="357" t="s">
        <v>104</v>
      </c>
      <c r="B46" s="357"/>
      <c r="C46" s="72"/>
      <c r="D46" s="56"/>
    </row>
    <row r="47" spans="1:14" s="52" customFormat="1" ht="13">
      <c r="A47" s="65" t="s">
        <v>105</v>
      </c>
      <c r="B47" s="65"/>
      <c r="C47" s="73"/>
      <c r="D47" s="56"/>
    </row>
    <row r="48" spans="1:14" s="52" customFormat="1" ht="13">
      <c r="A48" s="52" t="s">
        <v>38</v>
      </c>
      <c r="B48" s="66" t="s">
        <v>49</v>
      </c>
      <c r="C48" s="56" t="s">
        <v>52</v>
      </c>
    </row>
    <row r="49" spans="1:14" s="52" customFormat="1" ht="13">
      <c r="A49" s="52" t="s">
        <v>40</v>
      </c>
      <c r="B49" s="59">
        <v>0.09</v>
      </c>
      <c r="C49" s="56" t="s">
        <v>141</v>
      </c>
    </row>
    <row r="50" spans="1:14" s="52" customFormat="1" ht="13">
      <c r="A50" s="65" t="s">
        <v>106</v>
      </c>
      <c r="B50" s="65"/>
      <c r="C50" s="56"/>
      <c r="D50" s="65"/>
    </row>
    <row r="51" spans="1:14" s="52" customFormat="1" ht="13">
      <c r="A51" s="52" t="s">
        <v>38</v>
      </c>
      <c r="B51" s="66" t="s">
        <v>49</v>
      </c>
      <c r="C51" s="56" t="s">
        <v>51</v>
      </c>
    </row>
    <row r="52" spans="1:14" s="52" customFormat="1" ht="13">
      <c r="A52" s="52" t="s">
        <v>39</v>
      </c>
      <c r="B52" s="67">
        <v>0.15</v>
      </c>
      <c r="C52" s="56" t="s">
        <v>142</v>
      </c>
    </row>
    <row r="53" spans="1:14" s="52" customFormat="1" ht="13">
      <c r="A53" s="65" t="s">
        <v>137</v>
      </c>
      <c r="C53" s="56"/>
    </row>
    <row r="54" spans="1:14" s="52" customFormat="1" ht="13">
      <c r="A54" s="52" t="s">
        <v>38</v>
      </c>
      <c r="B54" s="66" t="s">
        <v>55</v>
      </c>
      <c r="C54" s="56" t="s">
        <v>112</v>
      </c>
    </row>
    <row r="55" spans="1:14" s="52" customFormat="1" ht="13">
      <c r="A55" s="52" t="s">
        <v>107</v>
      </c>
      <c r="B55" s="67">
        <v>0.2</v>
      </c>
      <c r="C55" s="56" t="s">
        <v>53</v>
      </c>
    </row>
    <row r="56" spans="1:14" s="52" customFormat="1" ht="13">
      <c r="A56" s="52" t="s">
        <v>110</v>
      </c>
      <c r="B56" s="67" t="s">
        <v>234</v>
      </c>
      <c r="C56" s="56" t="s">
        <v>101</v>
      </c>
    </row>
    <row r="57" spans="1:14" s="52" customFormat="1" ht="13">
      <c r="A57" s="52" t="s">
        <v>235</v>
      </c>
      <c r="B57" s="67">
        <v>0.7</v>
      </c>
      <c r="C57" s="56" t="s">
        <v>111</v>
      </c>
    </row>
    <row r="58" spans="1:14" s="218" customFormat="1" ht="13">
      <c r="A58" s="65" t="s">
        <v>139</v>
      </c>
      <c r="B58" s="68"/>
      <c r="C58" s="56"/>
      <c r="D58" s="52"/>
      <c r="H58" s="65"/>
      <c r="I58" s="65"/>
      <c r="J58" s="65"/>
      <c r="K58" s="65"/>
      <c r="L58" s="65"/>
      <c r="M58" s="65"/>
      <c r="N58" s="65"/>
    </row>
    <row r="59" spans="1:14" ht="13">
      <c r="A59" s="52" t="s">
        <v>38</v>
      </c>
      <c r="B59" s="67" t="s">
        <v>49</v>
      </c>
      <c r="C59" s="56"/>
      <c r="D59" s="52"/>
      <c r="H59" s="52"/>
      <c r="I59" s="52"/>
      <c r="J59" s="52"/>
      <c r="K59" s="52"/>
      <c r="L59" s="52"/>
      <c r="M59" s="52"/>
      <c r="N59" s="52"/>
    </row>
    <row r="60" spans="1:14" ht="13">
      <c r="A60" s="65" t="s">
        <v>136</v>
      </c>
      <c r="B60" s="52"/>
      <c r="C60" s="56"/>
      <c r="D60" s="52"/>
      <c r="H60" s="52"/>
      <c r="I60" s="52"/>
      <c r="J60" s="52"/>
      <c r="K60" s="52"/>
      <c r="L60" s="52"/>
      <c r="M60" s="52"/>
    </row>
    <row r="61" spans="1:14" ht="13">
      <c r="A61" s="52" t="s">
        <v>38</v>
      </c>
      <c r="B61" s="66" t="s">
        <v>49</v>
      </c>
      <c r="C61" s="56" t="s">
        <v>54</v>
      </c>
      <c r="D61" s="52"/>
    </row>
    <row r="62" spans="1:14" ht="13">
      <c r="A62" s="52" t="s">
        <v>47</v>
      </c>
      <c r="B62" s="63"/>
      <c r="C62" s="56" t="s">
        <v>143</v>
      </c>
      <c r="D62" s="52"/>
    </row>
    <row r="63" spans="1:14" ht="13">
      <c r="A63" s="52" t="s">
        <v>521</v>
      </c>
      <c r="B63" s="224"/>
      <c r="C63" s="56"/>
      <c r="D63" s="52"/>
    </row>
    <row r="64" spans="1:14" ht="13">
      <c r="A64" s="52" t="s">
        <v>38</v>
      </c>
      <c r="B64" s="63" t="s">
        <v>49</v>
      </c>
      <c r="C64" s="56"/>
      <c r="D64" s="52"/>
    </row>
    <row r="65" spans="1:4" ht="13">
      <c r="A65" s="52" t="s">
        <v>522</v>
      </c>
      <c r="B65" s="223">
        <v>0.01</v>
      </c>
      <c r="C65" s="56" t="s">
        <v>523</v>
      </c>
      <c r="D65" s="52"/>
    </row>
    <row r="66" spans="1:4">
      <c r="A66" s="218" t="s">
        <v>526</v>
      </c>
      <c r="B66" s="218"/>
      <c r="C66" s="218"/>
      <c r="D66" s="218"/>
    </row>
    <row r="67" spans="1:4">
      <c r="A67" s="4" t="s">
        <v>518</v>
      </c>
      <c r="B67" s="219" t="s">
        <v>49</v>
      </c>
    </row>
    <row r="68" spans="1:4" ht="13">
      <c r="A68" s="4" t="s">
        <v>529</v>
      </c>
      <c r="B68" s="157"/>
      <c r="C68" s="233" t="s">
        <v>527</v>
      </c>
    </row>
    <row r="69" spans="1:4">
      <c r="A69" s="232" t="s">
        <v>519</v>
      </c>
      <c r="B69" s="220"/>
      <c r="C69" s="233" t="s">
        <v>528</v>
      </c>
    </row>
    <row r="70" spans="1:4">
      <c r="A70" s="124"/>
    </row>
  </sheetData>
  <mergeCells count="3">
    <mergeCell ref="A46:B46"/>
    <mergeCell ref="A3:J3"/>
    <mergeCell ref="E31:J31"/>
  </mergeCells>
  <phoneticPr fontId="6"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2" xr:uid="{526F03C6-E351-D94F-A91F-F03FF5984B21}">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'Country equity risk premiums'!$A$5:$A$190</xm:f>
          </x14:formula1>
          <xm:sqref>B5</xm:sqref>
        </x14:dataValidation>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B15:B16 B40 B48 B51 B54 B59 B61 B64 B67</xm:sqref>
        </x14:dataValidation>
        <x14:dataValidation type="list" allowBlank="1" showInputMessage="1" showErrorMessage="1" xr:uid="{00000000-0002-0000-0000-000005000000}">
          <x14:formula1>
            <xm:f>'Answer keys'!$B$2:$B$3</xm:f>
          </x14:formula1>
          <xm:sqref>B56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7"/>
  <sheetViews>
    <sheetView topLeftCell="A34" zoomScale="110" zoomScaleNormal="125" workbookViewId="0">
      <selection activeCell="F64" sqref="F64"/>
    </sheetView>
  </sheetViews>
  <sheetFormatPr baseColWidth="10" defaultRowHeight="16"/>
  <cols>
    <col min="1" max="1" width="26.6640625" style="45" customWidth="1"/>
    <col min="2" max="2" width="14.33203125" style="45" customWidth="1"/>
    <col min="3" max="19" width="14.33203125" style="48" customWidth="1"/>
    <col min="20" max="20" width="12.6640625" bestFit="1" customWidth="1"/>
  </cols>
  <sheetData>
    <row r="1" spans="1:20">
      <c r="A1" s="42"/>
      <c r="B1" s="43" t="s">
        <v>14</v>
      </c>
      <c r="C1" s="43">
        <v>1</v>
      </c>
      <c r="D1" s="43">
        <v>2</v>
      </c>
      <c r="E1" s="43">
        <v>3</v>
      </c>
      <c r="F1" s="43">
        <v>4</v>
      </c>
      <c r="G1" s="43">
        <v>5</v>
      </c>
      <c r="H1" s="43">
        <v>6</v>
      </c>
      <c r="I1" s="43">
        <v>7</v>
      </c>
      <c r="J1" s="43">
        <v>8</v>
      </c>
      <c r="K1" s="43">
        <v>9</v>
      </c>
      <c r="L1" s="43">
        <v>10</v>
      </c>
      <c r="M1" s="43">
        <v>11</v>
      </c>
      <c r="N1" s="43">
        <v>12</v>
      </c>
      <c r="O1" s="43">
        <v>13</v>
      </c>
      <c r="P1" s="43">
        <v>14</v>
      </c>
      <c r="Q1" s="43">
        <v>15</v>
      </c>
      <c r="R1" s="43">
        <v>16</v>
      </c>
      <c r="S1" s="319" t="s">
        <v>43</v>
      </c>
    </row>
    <row r="2" spans="1:20">
      <c r="A2" s="45" t="s">
        <v>815</v>
      </c>
      <c r="B2" s="78"/>
      <c r="C2" s="79">
        <v>0.3</v>
      </c>
      <c r="D2" s="79">
        <v>0.3</v>
      </c>
      <c r="E2" s="79">
        <v>0.3</v>
      </c>
      <c r="F2" s="79">
        <v>0.25</v>
      </c>
      <c r="G2" s="79">
        <v>0.25</v>
      </c>
      <c r="H2" s="79">
        <v>0.2</v>
      </c>
      <c r="I2" s="79">
        <v>0.2</v>
      </c>
      <c r="J2" s="79">
        <v>0.15</v>
      </c>
      <c r="K2" s="79">
        <v>0.10199999999999999</v>
      </c>
      <c r="L2" s="79">
        <v>0.10199999999999999</v>
      </c>
      <c r="M2" s="79">
        <v>0.10199999999999999</v>
      </c>
      <c r="N2" s="79">
        <v>0.10199999999999999</v>
      </c>
      <c r="O2" s="79">
        <v>0.10199999999999999</v>
      </c>
      <c r="P2" s="79">
        <v>0.08</v>
      </c>
      <c r="Q2" s="79">
        <v>0.08</v>
      </c>
      <c r="R2" s="79">
        <v>0.08</v>
      </c>
      <c r="S2" s="79">
        <v>0.08</v>
      </c>
    </row>
    <row r="3" spans="1:20" ht="15" customHeight="1">
      <c r="B3" s="80">
        <f>'Input sheet'!B8</f>
        <v>527</v>
      </c>
      <c r="C3" s="81">
        <f>B3+($S$3-B3)*(1/17)</f>
        <v>1293.6117647058823</v>
      </c>
      <c r="D3" s="81">
        <f t="shared" ref="D3:R3" si="0">C3+($S$3-C3)*(1/17)</f>
        <v>2015.1287197231832</v>
      </c>
      <c r="E3" s="81">
        <f t="shared" si="0"/>
        <v>2694.2035009159372</v>
      </c>
      <c r="F3" s="81">
        <f t="shared" si="0"/>
        <v>3333.3327067444116</v>
      </c>
      <c r="G3" s="81">
        <f t="shared" si="0"/>
        <v>3934.8660769359167</v>
      </c>
      <c r="H3" s="81">
        <f t="shared" si="0"/>
        <v>4501.0151312338039</v>
      </c>
      <c r="I3" s="81">
        <f t="shared" si="0"/>
        <v>5033.8612999847564</v>
      </c>
      <c r="J3" s="81">
        <f t="shared" si="0"/>
        <v>5535.3635764562414</v>
      </c>
      <c r="K3" s="81">
        <f t="shared" si="0"/>
        <v>6007.3657190176391</v>
      </c>
      <c r="L3" s="81">
        <f t="shared" si="0"/>
        <v>6451.60302966366</v>
      </c>
      <c r="M3" s="81">
        <f t="shared" si="0"/>
        <v>6869.7087338010915</v>
      </c>
      <c r="N3" s="81">
        <f t="shared" si="0"/>
        <v>7263.2199847539687</v>
      </c>
      <c r="O3" s="81">
        <f t="shared" si="0"/>
        <v>7633.5835150625589</v>
      </c>
      <c r="P3" s="81">
        <f t="shared" si="0"/>
        <v>7982.1609553529961</v>
      </c>
      <c r="Q3" s="81">
        <f t="shared" si="0"/>
        <v>8310.2338403322319</v>
      </c>
      <c r="R3" s="81">
        <f>Q3+($S$3-Q3)*(1/17)</f>
        <v>8619.0083203126887</v>
      </c>
      <c r="S3" s="320">
        <f>'Input sheet'!B25</f>
        <v>13559.399999999998</v>
      </c>
    </row>
    <row r="4" spans="1:20" ht="15" customHeight="1">
      <c r="A4" s="406" t="s">
        <v>11</v>
      </c>
      <c r="B4" s="80">
        <f>B3</f>
        <v>527</v>
      </c>
      <c r="C4" s="81">
        <f>B4+(B4*C2)</f>
        <v>685.1</v>
      </c>
      <c r="D4" s="81">
        <f>C4+(C4*D2)</f>
        <v>890.63</v>
      </c>
      <c r="E4" s="81">
        <f>D4+(D4*E2)</f>
        <v>1157.819</v>
      </c>
      <c r="F4" s="81">
        <f t="shared" ref="F4:S4" si="1">E4+(E4*F2)</f>
        <v>1447.2737499999998</v>
      </c>
      <c r="G4" s="81">
        <f t="shared" si="1"/>
        <v>1809.0921874999999</v>
      </c>
      <c r="H4" s="81">
        <f t="shared" si="1"/>
        <v>2170.910625</v>
      </c>
      <c r="I4" s="81">
        <f t="shared" si="1"/>
        <v>2605.0927499999998</v>
      </c>
      <c r="J4" s="81">
        <f t="shared" si="1"/>
        <v>2995.8566624999999</v>
      </c>
      <c r="K4" s="81">
        <f t="shared" si="1"/>
        <v>3301.434042075</v>
      </c>
      <c r="L4" s="81">
        <f t="shared" si="1"/>
        <v>3638.1803143666498</v>
      </c>
      <c r="M4" s="81">
        <f t="shared" si="1"/>
        <v>4009.2747064320479</v>
      </c>
      <c r="N4" s="81">
        <f t="shared" si="1"/>
        <v>4418.2207264881163</v>
      </c>
      <c r="O4" s="81">
        <f t="shared" si="1"/>
        <v>4868.8792405899039</v>
      </c>
      <c r="P4" s="81">
        <f t="shared" si="1"/>
        <v>5258.3895798370959</v>
      </c>
      <c r="Q4" s="81">
        <f t="shared" si="1"/>
        <v>5679.0607462240632</v>
      </c>
      <c r="R4" s="81">
        <f t="shared" si="1"/>
        <v>6133.3856059219879</v>
      </c>
      <c r="S4" s="81">
        <f t="shared" si="1"/>
        <v>6624.0564543957471</v>
      </c>
    </row>
    <row r="5" spans="1:20" ht="15" customHeight="1">
      <c r="B5" s="80"/>
      <c r="C5" s="81"/>
      <c r="D5" s="81"/>
      <c r="E5" s="81"/>
      <c r="F5" s="81"/>
      <c r="G5" s="81"/>
      <c r="H5" s="81"/>
      <c r="I5" s="81"/>
      <c r="J5" s="81"/>
      <c r="K5" s="81"/>
      <c r="L5" s="81"/>
      <c r="M5" s="81"/>
      <c r="N5" s="81"/>
      <c r="O5" s="81"/>
      <c r="P5" s="81"/>
      <c r="Q5" s="81"/>
      <c r="R5" s="81"/>
      <c r="S5" s="320"/>
    </row>
    <row r="6" spans="1:20" ht="15" customHeight="1" thickBot="1">
      <c r="B6" s="310"/>
      <c r="C6" s="311"/>
      <c r="D6" s="311"/>
      <c r="E6" s="311"/>
      <c r="F6" s="311"/>
      <c r="G6" s="311"/>
      <c r="H6" s="311"/>
      <c r="I6" s="311"/>
      <c r="J6" s="311"/>
      <c r="K6" s="311"/>
      <c r="L6" s="81"/>
      <c r="M6" s="81"/>
      <c r="N6" s="81"/>
      <c r="O6" s="81"/>
      <c r="P6" s="81"/>
      <c r="Q6" s="81"/>
      <c r="R6" s="81"/>
      <c r="S6" s="320"/>
    </row>
    <row r="7" spans="1:20" s="314" customFormat="1" ht="15" customHeight="1" thickBot="1">
      <c r="A7" s="327" t="s">
        <v>791</v>
      </c>
      <c r="B7" s="321">
        <f>B4</f>
        <v>527</v>
      </c>
      <c r="C7" s="321">
        <f t="shared" ref="C7:R7" si="2">C4</f>
        <v>685.1</v>
      </c>
      <c r="D7" s="321">
        <f t="shared" si="2"/>
        <v>890.63</v>
      </c>
      <c r="E7" s="321">
        <f t="shared" si="2"/>
        <v>1157.819</v>
      </c>
      <c r="F7" s="321">
        <f t="shared" si="2"/>
        <v>1447.2737499999998</v>
      </c>
      <c r="G7" s="321">
        <f t="shared" si="2"/>
        <v>1809.0921874999999</v>
      </c>
      <c r="H7" s="321">
        <f t="shared" si="2"/>
        <v>2170.910625</v>
      </c>
      <c r="I7" s="321">
        <f t="shared" si="2"/>
        <v>2605.0927499999998</v>
      </c>
      <c r="J7" s="321">
        <f t="shared" si="2"/>
        <v>2995.8566624999999</v>
      </c>
      <c r="K7" s="321">
        <f t="shared" si="2"/>
        <v>3301.434042075</v>
      </c>
      <c r="L7" s="321">
        <f t="shared" si="2"/>
        <v>3638.1803143666498</v>
      </c>
      <c r="M7" s="321">
        <f t="shared" si="2"/>
        <v>4009.2747064320479</v>
      </c>
      <c r="N7" s="321">
        <f t="shared" si="2"/>
        <v>4418.2207264881163</v>
      </c>
      <c r="O7" s="321">
        <f t="shared" si="2"/>
        <v>4868.8792405899039</v>
      </c>
      <c r="P7" s="321">
        <f t="shared" si="2"/>
        <v>5258.3895798370959</v>
      </c>
      <c r="Q7" s="321">
        <f t="shared" si="2"/>
        <v>5679.0607462240632</v>
      </c>
      <c r="R7" s="321">
        <f t="shared" si="2"/>
        <v>6133.3856059219879</v>
      </c>
      <c r="S7" s="321">
        <f>S4</f>
        <v>6624.0564543957471</v>
      </c>
    </row>
    <row r="8" spans="1:20" ht="15" customHeight="1">
      <c r="A8" s="45" t="s">
        <v>814</v>
      </c>
      <c r="B8" s="312">
        <f>B12/B4</f>
        <v>0.62049335863377608</v>
      </c>
      <c r="C8" s="313">
        <f>IF(C1&gt;'Input sheet'!$B$33,'Input sheet'!$B$29,'Input sheet'!$B$29-(('Input sheet'!$B$29-$B$8)/'Input sheet'!$B$33)*('Input sheet'!$B$33-C1))</f>
        <v>0.5843946869070209</v>
      </c>
      <c r="D8" s="313">
        <f>IF(D1&gt;'Input sheet'!$B$33,'Input sheet'!$B$29,'Input sheet'!$B$29-(('Input sheet'!$B$29-$B$8)/'Input sheet'!$B$33)*('Input sheet'!$B$33-D1))</f>
        <v>0.54829601518026561</v>
      </c>
      <c r="E8" s="313">
        <f>IF(E1&gt;'Input sheet'!$B$33,'Input sheet'!$B$29,'Input sheet'!$B$29-(('Input sheet'!$B$29-$B$8)/'Input sheet'!$B$33)*('Input sheet'!$B$33-E1))</f>
        <v>0.51219734345351042</v>
      </c>
      <c r="F8" s="313">
        <f>IF(F1&gt;'Input sheet'!$B$33,'Input sheet'!$B$29,'Input sheet'!$B$29-(('Input sheet'!$B$29-$B$8)/'Input sheet'!$B$33)*('Input sheet'!$B$33-F1))</f>
        <v>0.47609867172675524</v>
      </c>
      <c r="G8" s="313">
        <f>IF(G1&gt;'Input sheet'!$B$33,'Input sheet'!$B$29,'Input sheet'!$B$29-(('Input sheet'!$B$29-$B$8)/'Input sheet'!$B$33)*('Input sheet'!$B$33-G1))</f>
        <v>0.44</v>
      </c>
      <c r="H8" s="313">
        <f>IF(H1&gt;'Input sheet'!$B$33,'Input sheet'!$B$29,'Input sheet'!$B$29-(('Input sheet'!$B$29-$B$8)/'Input sheet'!$B$33)*('Input sheet'!$B$33-H1))</f>
        <v>0.44</v>
      </c>
      <c r="I8" s="313">
        <f>IF(I1&gt;'Input sheet'!$B$33,'Input sheet'!$B$29,'Input sheet'!$B$29-(('Input sheet'!$B$29-$B$8)/'Input sheet'!$B$33)*('Input sheet'!$B$33-I1))</f>
        <v>0.44</v>
      </c>
      <c r="J8" s="313">
        <f>IF(J1&gt;'Input sheet'!$B$33,'Input sheet'!$B$29,'Input sheet'!$B$29-(('Input sheet'!$B$29-$B$8)/'Input sheet'!$B$33)*('Input sheet'!$B$33-J1))</f>
        <v>0.44</v>
      </c>
      <c r="K8" s="313">
        <f>IF(K1&gt;'Input sheet'!$B$33,'Input sheet'!$B$29,'Input sheet'!$B$29-(('Input sheet'!$B$29-$B$8)/'Input sheet'!$B$33)*('Input sheet'!$B$33-K1))</f>
        <v>0.44</v>
      </c>
      <c r="L8" s="313">
        <f>IF(L1&gt;'Input sheet'!$B$33,'Input sheet'!$B$29,'Input sheet'!$B$29-(('Input sheet'!$B$29-$B$8)/'Input sheet'!$B$33)*('Input sheet'!$B$33-L1))</f>
        <v>0.44</v>
      </c>
      <c r="M8" s="313">
        <f>IF(M1&gt;'Input sheet'!$B$33,'Input sheet'!$B$29,'Input sheet'!$B$29-(('Input sheet'!$B$29-$B$8)/'Input sheet'!$B$33)*('Input sheet'!$B$33-M1))</f>
        <v>0.44</v>
      </c>
      <c r="N8" s="313">
        <f>IF(N1&gt;'Input sheet'!$B$33,'Input sheet'!$B$29,'Input sheet'!$B$29-(('Input sheet'!$B$29-$B$8)/'Input sheet'!$B$33)*('Input sheet'!$B$33-N1))</f>
        <v>0.44</v>
      </c>
      <c r="O8" s="313">
        <f>IF(O1&gt;'Input sheet'!$B$33,'Input sheet'!$B$29,'Input sheet'!$B$29-(('Input sheet'!$B$29-$B$8)/'Input sheet'!$B$33)*('Input sheet'!$B$33-O1))</f>
        <v>0.44</v>
      </c>
      <c r="P8" s="313">
        <f>IF(P1&gt;'Input sheet'!$B$33,'Input sheet'!$B$29,'Input sheet'!$B$29-(('Input sheet'!$B$29-$B$8)/'Input sheet'!$B$33)*('Input sheet'!$B$33-P1))</f>
        <v>0.44</v>
      </c>
      <c r="Q8" s="313">
        <f>IF(Q1&gt;'Input sheet'!$B$33,'Input sheet'!$B$29,'Input sheet'!$B$29-(('Input sheet'!$B$29-$B$8)/'Input sheet'!$B$33)*('Input sheet'!$B$33-Q1))</f>
        <v>0.44</v>
      </c>
      <c r="R8" s="313">
        <f>IF(R1&gt;'Input sheet'!$B$33,'Input sheet'!$B$29,'Input sheet'!$B$29-(('Input sheet'!$B$29-$B$8)/'Input sheet'!$B$33)*('Input sheet'!$B$33-R1))</f>
        <v>0.44</v>
      </c>
      <c r="S8" s="322">
        <f>L8</f>
        <v>0.44</v>
      </c>
    </row>
    <row r="9" spans="1:20" ht="15" customHeight="1">
      <c r="A9" s="45" t="s">
        <v>792</v>
      </c>
      <c r="B9" s="82"/>
      <c r="C9" s="79"/>
      <c r="D9" s="79"/>
      <c r="E9" s="79"/>
      <c r="F9" s="79"/>
      <c r="G9" s="79"/>
      <c r="H9" s="79"/>
      <c r="I9" s="79"/>
      <c r="J9" s="79"/>
      <c r="K9" s="79"/>
      <c r="L9" s="79"/>
      <c r="M9" s="313"/>
      <c r="N9" s="313"/>
      <c r="O9" s="313"/>
      <c r="P9" s="313"/>
      <c r="Q9" s="313"/>
      <c r="R9" s="313"/>
      <c r="S9" s="322">
        <f t="shared" ref="S9:S11" si="3">L9</f>
        <v>0</v>
      </c>
    </row>
    <row r="10" spans="1:20" ht="15" customHeight="1">
      <c r="A10" s="45" t="s">
        <v>793</v>
      </c>
      <c r="B10" s="82"/>
      <c r="C10" s="79"/>
      <c r="D10" s="79"/>
      <c r="E10" s="79"/>
      <c r="F10" s="79"/>
      <c r="G10" s="79"/>
      <c r="H10" s="79"/>
      <c r="I10" s="79"/>
      <c r="J10" s="79"/>
      <c r="K10" s="79"/>
      <c r="L10" s="79"/>
      <c r="M10" s="313"/>
      <c r="N10" s="313"/>
      <c r="O10" s="313"/>
      <c r="P10" s="313"/>
      <c r="Q10" s="313"/>
      <c r="R10" s="313"/>
      <c r="S10" s="322">
        <f t="shared" si="3"/>
        <v>0</v>
      </c>
    </row>
    <row r="11" spans="1:20" ht="15" customHeight="1">
      <c r="A11" s="45" t="s">
        <v>794</v>
      </c>
      <c r="B11" s="82"/>
      <c r="C11" s="79"/>
      <c r="D11" s="79"/>
      <c r="E11" s="79"/>
      <c r="F11" s="79"/>
      <c r="G11" s="79"/>
      <c r="H11" s="79"/>
      <c r="I11" s="79"/>
      <c r="J11" s="79"/>
      <c r="K11" s="79"/>
      <c r="L11" s="79"/>
      <c r="M11" s="313"/>
      <c r="N11" s="313"/>
      <c r="O11" s="313"/>
      <c r="P11" s="313"/>
      <c r="Q11" s="313"/>
      <c r="R11" s="313"/>
      <c r="S11" s="322">
        <f t="shared" si="3"/>
        <v>0</v>
      </c>
    </row>
    <row r="12" spans="1:20" ht="15" customHeight="1">
      <c r="A12" s="325" t="s">
        <v>24</v>
      </c>
      <c r="B12" s="326">
        <f>IF('Input sheet'!B16="Yes",IF('Input sheet'!B15="Yes",'Input sheet'!B11+'Operating lease converter'!F32+'R&amp; D converter'!D39,'Input sheet'!B11+'Operating lease converter'!F32),IF('Input sheet'!B15="Yes",'Input sheet'!B11+'R&amp; D converter'!D39,'Input sheet'!B11))</f>
        <v>327</v>
      </c>
      <c r="C12" s="320">
        <f>C7*C8</f>
        <v>400.36880000000002</v>
      </c>
      <c r="D12" s="320">
        <f t="shared" ref="D12:S12" si="4">D7*D8</f>
        <v>488.32887999999997</v>
      </c>
      <c r="E12" s="320">
        <f t="shared" si="4"/>
        <v>593.03181599999994</v>
      </c>
      <c r="F12" s="320">
        <f t="shared" si="4"/>
        <v>689.04510999999991</v>
      </c>
      <c r="G12" s="320">
        <f t="shared" si="4"/>
        <v>796.0005625</v>
      </c>
      <c r="H12" s="320">
        <f t="shared" si="4"/>
        <v>955.20067500000005</v>
      </c>
      <c r="I12" s="320">
        <f t="shared" si="4"/>
        <v>1146.24081</v>
      </c>
      <c r="J12" s="320">
        <f t="shared" si="4"/>
        <v>1318.1769314999999</v>
      </c>
      <c r="K12" s="320">
        <f t="shared" si="4"/>
        <v>1452.6309785129999</v>
      </c>
      <c r="L12" s="320">
        <f t="shared" si="4"/>
        <v>1600.7993383213259</v>
      </c>
      <c r="M12" s="320">
        <f t="shared" si="4"/>
        <v>1764.080870830101</v>
      </c>
      <c r="N12" s="320">
        <f t="shared" si="4"/>
        <v>1944.0171196547712</v>
      </c>
      <c r="O12" s="320">
        <f t="shared" si="4"/>
        <v>2142.3068658595575</v>
      </c>
      <c r="P12" s="320">
        <f t="shared" si="4"/>
        <v>2313.6914151283222</v>
      </c>
      <c r="Q12" s="320">
        <f t="shared" si="4"/>
        <v>2498.7867283385876</v>
      </c>
      <c r="R12" s="320">
        <f t="shared" si="4"/>
        <v>2698.6896666056746</v>
      </c>
      <c r="S12" s="320">
        <f t="shared" si="4"/>
        <v>2914.5848399341289</v>
      </c>
      <c r="T12" s="94">
        <f>S12-B12</f>
        <v>2587.5848399341289</v>
      </c>
    </row>
    <row r="13" spans="1:20" ht="15" customHeight="1">
      <c r="A13" s="45" t="s">
        <v>138</v>
      </c>
      <c r="B13" s="83">
        <f>'Input sheet'!B22</f>
        <v>0.153</v>
      </c>
      <c r="C13" s="84">
        <f>B13</f>
        <v>0.153</v>
      </c>
      <c r="D13" s="84">
        <f>C13</f>
        <v>0.153</v>
      </c>
      <c r="E13" s="84">
        <f>D13</f>
        <v>0.153</v>
      </c>
      <c r="F13" s="84">
        <f>E13</f>
        <v>0.153</v>
      </c>
      <c r="G13" s="84">
        <f>F13</f>
        <v>0.153</v>
      </c>
      <c r="H13" s="84">
        <f>G13+($S$13-$G$13)/5</f>
        <v>0.1724</v>
      </c>
      <c r="I13" s="84">
        <f>H13+($S$13-$G$13)/5</f>
        <v>0.1918</v>
      </c>
      <c r="J13" s="84">
        <f>I13+($S$13-$G$13)/5</f>
        <v>0.2112</v>
      </c>
      <c r="K13" s="84">
        <f>J13+($S$13-$G$13)/5</f>
        <v>0.2306</v>
      </c>
      <c r="L13" s="84">
        <f>K13+($S$13-$G$13)/5</f>
        <v>0.25</v>
      </c>
      <c r="M13" s="84">
        <v>0.25</v>
      </c>
      <c r="N13" s="84">
        <v>0.25</v>
      </c>
      <c r="O13" s="84">
        <v>0.25</v>
      </c>
      <c r="P13" s="84">
        <v>0.25</v>
      </c>
      <c r="Q13" s="84">
        <v>0.25</v>
      </c>
      <c r="R13" s="84">
        <v>0.25</v>
      </c>
      <c r="S13" s="323">
        <f>IF('Input sheet'!B59="Yes",'Input sheet'!B22,'Input sheet'!B23)</f>
        <v>0.25</v>
      </c>
    </row>
    <row r="14" spans="1:20" ht="15" customHeight="1">
      <c r="A14" s="45" t="s">
        <v>12</v>
      </c>
      <c r="B14" s="80">
        <f>IF(B12&gt;0,B12*(1-B13),B12)</f>
        <v>276.96899999999999</v>
      </c>
      <c r="C14" s="81">
        <f>IF(C12&gt;0,IF(C12&lt;B17,C12,C12-(C12-B17)*C13),C12)</f>
        <v>339.11237360000001</v>
      </c>
      <c r="D14" s="81">
        <f t="shared" ref="D14:L14" si="5">IF(D12&gt;0,IF(D12&lt;C17,D12,D12-(D12-C17)*D13),D12)</f>
        <v>413.61456135999998</v>
      </c>
      <c r="E14" s="81">
        <f t="shared" si="5"/>
        <v>502.29794815199995</v>
      </c>
      <c r="F14" s="81">
        <f t="shared" si="5"/>
        <v>583.62120816999993</v>
      </c>
      <c r="G14" s="81">
        <f t="shared" si="5"/>
        <v>674.21247643749996</v>
      </c>
      <c r="H14" s="81">
        <f t="shared" si="5"/>
        <v>790.52407863000008</v>
      </c>
      <c r="I14" s="81">
        <f t="shared" si="5"/>
        <v>926.39182264200008</v>
      </c>
      <c r="J14" s="81">
        <f t="shared" si="5"/>
        <v>1039.7779635672</v>
      </c>
      <c r="K14" s="81">
        <f t="shared" si="5"/>
        <v>1117.6542748679021</v>
      </c>
      <c r="L14" s="81">
        <f t="shared" si="5"/>
        <v>1200.5995037409944</v>
      </c>
      <c r="M14" s="81">
        <f t="shared" ref="M14" si="6">IF(M12&gt;0,IF(M12&lt;L17,M12,M12-(M12-L17)*M13),M12)</f>
        <v>1323.0606531225758</v>
      </c>
      <c r="N14" s="81">
        <f t="shared" ref="N14" si="7">IF(N12&gt;0,IF(N12&lt;M17,N12,N12-(N12-M17)*N13),N12)</f>
        <v>1458.0128397410786</v>
      </c>
      <c r="O14" s="81">
        <f t="shared" ref="O14" si="8">IF(O12&gt;0,IF(O12&lt;N17,O12,O12-(O12-N17)*O13),O12)</f>
        <v>1606.7301493946682</v>
      </c>
      <c r="P14" s="81">
        <f t="shared" ref="P14" si="9">IF(P12&gt;0,IF(P12&lt;O17,P12,P12-(P12-O17)*P13),P12)</f>
        <v>1735.2685613462418</v>
      </c>
      <c r="Q14" s="81">
        <f t="shared" ref="Q14" si="10">IF(Q12&gt;0,IF(Q12&lt;P17,Q12,Q12-(Q12-P17)*Q13),Q12)</f>
        <v>1874.0900462539407</v>
      </c>
      <c r="R14" s="81">
        <f t="shared" ref="R14" si="11">IF(R12&gt;0,IF(R12&lt;Q17,R12,R12-(R12-Q17)*R13),R12)</f>
        <v>2024.0172499542559</v>
      </c>
      <c r="S14" s="81">
        <f t="shared" ref="S14" si="12">IF(S12&gt;0,IF(S12&lt;R17,S12,S12-(S12-R17)*S13),S12)</f>
        <v>2185.9386299505968</v>
      </c>
    </row>
    <row r="15" spans="1:20" ht="15" customHeight="1">
      <c r="A15" s="45" t="s">
        <v>15</v>
      </c>
      <c r="B15" s="80"/>
      <c r="C15" s="81">
        <f>(C7-B7)/C45</f>
        <v>131.75000000000003</v>
      </c>
      <c r="D15" s="81">
        <f t="shared" ref="D15:L15" si="13">(D7-C7)/D45</f>
        <v>171.27499999999998</v>
      </c>
      <c r="E15" s="81">
        <f t="shared" si="13"/>
        <v>222.65749999999997</v>
      </c>
      <c r="F15" s="81">
        <f t="shared" si="13"/>
        <v>241.21229166666657</v>
      </c>
      <c r="G15" s="81">
        <f t="shared" si="13"/>
        <v>301.51536458333339</v>
      </c>
      <c r="H15" s="81">
        <f t="shared" si="13"/>
        <v>452.27304687500015</v>
      </c>
      <c r="I15" s="81">
        <f t="shared" si="13"/>
        <v>542.72765624999977</v>
      </c>
      <c r="J15" s="81">
        <f t="shared" si="13"/>
        <v>488.45489062500013</v>
      </c>
      <c r="K15" s="81">
        <f t="shared" si="13"/>
        <v>381.97172446875021</v>
      </c>
      <c r="L15" s="81">
        <f t="shared" si="13"/>
        <v>420.93284036456231</v>
      </c>
      <c r="M15" s="81">
        <f t="shared" ref="M15" si="14">(M7-L7)/M45</f>
        <v>463.86799008174768</v>
      </c>
      <c r="N15" s="81">
        <f t="shared" ref="N15" si="15">(N7-M7)/N45</f>
        <v>511.18252507008555</v>
      </c>
      <c r="O15" s="81">
        <f t="shared" ref="O15" si="16">(O7-N7)/O45</f>
        <v>563.32314262723457</v>
      </c>
      <c r="P15" s="81">
        <f t="shared" ref="P15" si="17">(P7-O7)/P45</f>
        <v>486.88792405899</v>
      </c>
      <c r="Q15" s="81">
        <f t="shared" ref="Q15" si="18">(Q7-P7)/Q45</f>
        <v>525.83895798370918</v>
      </c>
      <c r="R15" s="81">
        <f t="shared" ref="R15:S15" si="19">(R7-Q7)/R45</f>
        <v>567.90607462240587</v>
      </c>
      <c r="S15" s="81">
        <f t="shared" si="19"/>
        <v>613.33856059219897</v>
      </c>
      <c r="T15" s="94">
        <f>SUM(C15:S15)</f>
        <v>7087.1154898696859</v>
      </c>
    </row>
    <row r="16" spans="1:20" ht="15" customHeight="1">
      <c r="A16" s="325" t="s">
        <v>16</v>
      </c>
      <c r="B16" s="326"/>
      <c r="C16" s="320">
        <f t="shared" ref="C16:S16" si="20">C14-C15</f>
        <v>207.36237359999998</v>
      </c>
      <c r="D16" s="320">
        <f t="shared" si="20"/>
        <v>242.33956136</v>
      </c>
      <c r="E16" s="320">
        <f t="shared" si="20"/>
        <v>279.64044815199998</v>
      </c>
      <c r="F16" s="320">
        <f t="shared" si="20"/>
        <v>342.40891650333333</v>
      </c>
      <c r="G16" s="320">
        <f t="shared" si="20"/>
        <v>372.69711185416656</v>
      </c>
      <c r="H16" s="320">
        <f t="shared" si="20"/>
        <v>338.25103175499993</v>
      </c>
      <c r="I16" s="320">
        <f t="shared" si="20"/>
        <v>383.66416639200031</v>
      </c>
      <c r="J16" s="320">
        <f t="shared" si="20"/>
        <v>551.32307294219981</v>
      </c>
      <c r="K16" s="320">
        <f t="shared" si="20"/>
        <v>735.68255039915198</v>
      </c>
      <c r="L16" s="320">
        <f t="shared" si="20"/>
        <v>779.6666633764321</v>
      </c>
      <c r="M16" s="320">
        <f t="shared" si="20"/>
        <v>859.19266304082817</v>
      </c>
      <c r="N16" s="320">
        <f t="shared" si="20"/>
        <v>946.83031467099295</v>
      </c>
      <c r="O16" s="320">
        <f t="shared" si="20"/>
        <v>1043.4070067674336</v>
      </c>
      <c r="P16" s="320">
        <f t="shared" si="20"/>
        <v>1248.3806372872518</v>
      </c>
      <c r="Q16" s="320">
        <f t="shared" si="20"/>
        <v>1348.2510882702315</v>
      </c>
      <c r="R16" s="320">
        <f t="shared" si="20"/>
        <v>1456.1111753318501</v>
      </c>
      <c r="S16" s="320">
        <f>S14-S15</f>
        <v>1572.6000693583978</v>
      </c>
    </row>
    <row r="17" spans="1:19" ht="15" customHeight="1">
      <c r="A17" s="45" t="s">
        <v>46</v>
      </c>
      <c r="B17" s="80">
        <f>IF('Input sheet'!B61="Yes",'Input sheet'!B62,0)</f>
        <v>0</v>
      </c>
      <c r="C17" s="81">
        <f>IF(C12&lt;0,B17-C12,IF(B17&gt;C12,B17-C12,0))</f>
        <v>0</v>
      </c>
      <c r="D17" s="81">
        <f t="shared" ref="D17:L17" si="21">IF(D12&lt;0,C17-D12,IF(C17&gt;D12,C17-D12,0))</f>
        <v>0</v>
      </c>
      <c r="E17" s="81">
        <f t="shared" si="21"/>
        <v>0</v>
      </c>
      <c r="F17" s="81">
        <f t="shared" si="21"/>
        <v>0</v>
      </c>
      <c r="G17" s="81">
        <f t="shared" si="21"/>
        <v>0</v>
      </c>
      <c r="H17" s="81">
        <f t="shared" si="21"/>
        <v>0</v>
      </c>
      <c r="I17" s="81">
        <f t="shared" si="21"/>
        <v>0</v>
      </c>
      <c r="J17" s="81">
        <f t="shared" si="21"/>
        <v>0</v>
      </c>
      <c r="K17" s="81">
        <f t="shared" si="21"/>
        <v>0</v>
      </c>
      <c r="L17" s="81">
        <f t="shared" si="21"/>
        <v>0</v>
      </c>
      <c r="M17" s="81"/>
      <c r="N17" s="81"/>
      <c r="O17" s="81"/>
      <c r="P17" s="81"/>
      <c r="Q17" s="81"/>
      <c r="R17" s="81"/>
      <c r="S17" s="320">
        <f>IF(S12&lt;0,L17-S12,IF(L17&gt;S12,L17-S12,0))</f>
        <v>0</v>
      </c>
    </row>
    <row r="18" spans="1:19" ht="15" customHeight="1">
      <c r="A18" s="329"/>
      <c r="B18" s="330"/>
      <c r="C18" s="331"/>
      <c r="D18" s="331"/>
      <c r="E18" s="331"/>
      <c r="F18" s="331"/>
      <c r="G18" s="331"/>
      <c r="H18" s="331"/>
      <c r="I18" s="331"/>
      <c r="J18" s="331"/>
      <c r="K18" s="331"/>
      <c r="L18" s="331"/>
      <c r="M18" s="331"/>
      <c r="N18" s="331"/>
      <c r="O18" s="331"/>
      <c r="P18" s="331"/>
      <c r="Q18" s="331"/>
      <c r="R18" s="331"/>
      <c r="S18" s="319"/>
    </row>
    <row r="19" spans="1:19" ht="15" customHeight="1">
      <c r="A19" s="325" t="s">
        <v>144</v>
      </c>
      <c r="B19" s="332"/>
      <c r="C19" s="333">
        <f>'Input sheet'!B38</f>
        <v>0.12</v>
      </c>
      <c r="D19" s="333">
        <f>C19</f>
        <v>0.12</v>
      </c>
      <c r="E19" s="333">
        <f>D19</f>
        <v>0.12</v>
      </c>
      <c r="F19" s="333">
        <f>E19</f>
        <v>0.12</v>
      </c>
      <c r="G19" s="333">
        <f>F19</f>
        <v>0.12</v>
      </c>
      <c r="H19" s="333">
        <f t="shared" ref="H19:S19" si="22">G19</f>
        <v>0.12</v>
      </c>
      <c r="I19" s="333">
        <f t="shared" si="22"/>
        <v>0.12</v>
      </c>
      <c r="J19" s="333">
        <f t="shared" si="22"/>
        <v>0.12</v>
      </c>
      <c r="K19" s="333">
        <f t="shared" si="22"/>
        <v>0.12</v>
      </c>
      <c r="L19" s="333">
        <f t="shared" si="22"/>
        <v>0.12</v>
      </c>
      <c r="M19" s="333">
        <f>L19</f>
        <v>0.12</v>
      </c>
      <c r="N19" s="333">
        <f t="shared" si="22"/>
        <v>0.12</v>
      </c>
      <c r="O19" s="333">
        <f t="shared" si="22"/>
        <v>0.12</v>
      </c>
      <c r="P19" s="333">
        <f t="shared" si="22"/>
        <v>0.12</v>
      </c>
      <c r="Q19" s="333">
        <f t="shared" si="22"/>
        <v>0.12</v>
      </c>
      <c r="R19" s="333">
        <f t="shared" si="22"/>
        <v>0.12</v>
      </c>
      <c r="S19" s="333">
        <f t="shared" si="22"/>
        <v>0.12</v>
      </c>
    </row>
    <row r="20" spans="1:19" ht="15" customHeight="1">
      <c r="A20" s="45" t="s">
        <v>145</v>
      </c>
      <c r="B20" s="78"/>
      <c r="C20" s="132">
        <f>1/(1+C19)</f>
        <v>0.89285714285714279</v>
      </c>
      <c r="D20" s="132">
        <f>C20*(1/(1+D19))</f>
        <v>0.79719387755102034</v>
      </c>
      <c r="E20" s="132">
        <f t="shared" ref="E20:L20" si="23">D20*(1/(1+E19))</f>
        <v>0.71178024781341098</v>
      </c>
      <c r="F20" s="132">
        <f t="shared" si="23"/>
        <v>0.63551807840483121</v>
      </c>
      <c r="G20" s="132">
        <f t="shared" si="23"/>
        <v>0.5674268557185993</v>
      </c>
      <c r="H20" s="132">
        <f t="shared" si="23"/>
        <v>0.50663112117732079</v>
      </c>
      <c r="I20" s="132">
        <f t="shared" si="23"/>
        <v>0.45234921533689354</v>
      </c>
      <c r="J20" s="132">
        <f t="shared" si="23"/>
        <v>0.40388322797936921</v>
      </c>
      <c r="K20" s="132">
        <f t="shared" si="23"/>
        <v>0.36061002498157962</v>
      </c>
      <c r="L20" s="132">
        <f>K20*(1/(1+L19))</f>
        <v>0.32197323659069604</v>
      </c>
      <c r="M20" s="132">
        <f t="shared" ref="M20:Q20" si="24">L20*(1/(1+M19))</f>
        <v>0.28747610409883573</v>
      </c>
      <c r="N20" s="132">
        <f t="shared" si="24"/>
        <v>0.25667509294538904</v>
      </c>
      <c r="O20" s="132">
        <f t="shared" si="24"/>
        <v>0.22917419012981163</v>
      </c>
      <c r="P20" s="132">
        <f t="shared" si="24"/>
        <v>0.20461981261590323</v>
      </c>
      <c r="Q20" s="132">
        <f t="shared" si="24"/>
        <v>0.1826962612641993</v>
      </c>
      <c r="R20" s="132">
        <f>Q20*(1/(1+R19))</f>
        <v>0.16312166184303509</v>
      </c>
      <c r="S20" s="319"/>
    </row>
    <row r="21" spans="1:19" ht="15" customHeight="1">
      <c r="A21" s="45" t="s">
        <v>20</v>
      </c>
      <c r="B21" s="78"/>
      <c r="C21" s="81">
        <f t="shared" ref="C21:R21" si="25">C16*C20</f>
        <v>185.1449764285714</v>
      </c>
      <c r="D21" s="81">
        <f t="shared" si="25"/>
        <v>193.19161460459182</v>
      </c>
      <c r="E21" s="81">
        <f t="shared" si="25"/>
        <v>199.04254748428386</v>
      </c>
      <c r="F21" s="81">
        <f t="shared" si="25"/>
        <v>217.6070566448787</v>
      </c>
      <c r="G21" s="81">
        <f t="shared" si="25"/>
        <v>211.47835031481284</v>
      </c>
      <c r="H21" s="81">
        <f t="shared" si="25"/>
        <v>171.36849945742114</v>
      </c>
      <c r="I21" s="81">
        <f t="shared" si="25"/>
        <v>173.55018462030469</v>
      </c>
      <c r="J21" s="81">
        <f t="shared" si="25"/>
        <v>222.6701423594009</v>
      </c>
      <c r="K21" s="81">
        <f t="shared" si="25"/>
        <v>265.29450287795038</v>
      </c>
      <c r="L21" s="81">
        <f t="shared" si="25"/>
        <v>251.03179906917853</v>
      </c>
      <c r="M21" s="81">
        <f t="shared" si="25"/>
        <v>246.99735944128099</v>
      </c>
      <c r="N21" s="81">
        <f t="shared" si="25"/>
        <v>243.02775902168906</v>
      </c>
      <c r="O21" s="81">
        <f t="shared" si="25"/>
        <v>239.12195575169747</v>
      </c>
      <c r="P21" s="81">
        <f t="shared" si="25"/>
        <v>255.44341207503933</v>
      </c>
      <c r="Q21" s="81">
        <f t="shared" si="25"/>
        <v>246.32043307235926</v>
      </c>
      <c r="R21" s="81">
        <f t="shared" si="25"/>
        <v>237.52327474834641</v>
      </c>
      <c r="S21" s="319"/>
    </row>
    <row r="22" spans="1:19" ht="15" customHeight="1"/>
    <row r="23" spans="1:19" ht="15" customHeight="1">
      <c r="A23" s="44" t="s">
        <v>21</v>
      </c>
      <c r="B23" s="80">
        <f>S16</f>
        <v>1572.6000693583978</v>
      </c>
      <c r="H23" s="328"/>
    </row>
    <row r="24" spans="1:19" ht="15" customHeight="1">
      <c r="A24" s="44" t="s">
        <v>140</v>
      </c>
      <c r="B24" s="82">
        <f>S19</f>
        <v>0.12</v>
      </c>
      <c r="G24" s="324"/>
      <c r="H24" s="324"/>
      <c r="I24" s="324"/>
      <c r="J24" s="324"/>
      <c r="K24" s="324"/>
      <c r="L24" s="324"/>
      <c r="M24" s="324"/>
      <c r="N24" s="324"/>
      <c r="O24" s="324"/>
      <c r="P24" s="324"/>
      <c r="Q24" s="324"/>
      <c r="R24" s="324"/>
    </row>
    <row r="25" spans="1:19">
      <c r="A25" s="44" t="s">
        <v>22</v>
      </c>
      <c r="B25" s="80">
        <f>B23/(B24-S2)</f>
        <v>39315.001733959951</v>
      </c>
      <c r="D25" s="133"/>
    </row>
    <row r="26" spans="1:19">
      <c r="A26" s="44" t="s">
        <v>23</v>
      </c>
      <c r="B26" s="86">
        <f>B25*L20</f>
        <v>12658.378354851913</v>
      </c>
    </row>
    <row r="27" spans="1:19">
      <c r="A27" s="44" t="s">
        <v>44</v>
      </c>
      <c r="B27" s="86">
        <f>SUM(C21:L21)</f>
        <v>2090.3796738613946</v>
      </c>
      <c r="E27" s="404"/>
    </row>
    <row r="28" spans="1:19">
      <c r="A28" s="44" t="s">
        <v>45</v>
      </c>
      <c r="B28" s="86">
        <f>B26+B27</f>
        <v>14748.758028713308</v>
      </c>
    </row>
    <row r="29" spans="1:19">
      <c r="A29" s="44" t="s">
        <v>108</v>
      </c>
      <c r="B29" s="87">
        <f>IF('Input sheet'!B54="Yes",'Input sheet'!B55,0)</f>
        <v>0.2</v>
      </c>
    </row>
    <row r="30" spans="1:19">
      <c r="A30" s="44" t="s">
        <v>109</v>
      </c>
      <c r="B30" s="88">
        <f>IF('Input sheet'!B56="B",('Input sheet'!B13+'Input sheet'!B14)*'Input sheet'!B57,'Valuation output'!B28*'Input sheet'!B57)</f>
        <v>10324.130620099315</v>
      </c>
    </row>
    <row r="31" spans="1:19">
      <c r="A31" s="44" t="s">
        <v>42</v>
      </c>
      <c r="B31" s="80">
        <f>B28*(1-B29)+B30*B29</f>
        <v>13863.83254699051</v>
      </c>
    </row>
    <row r="32" spans="1:19">
      <c r="A32" s="44" t="s">
        <v>388</v>
      </c>
      <c r="B32" s="80">
        <f>IF('Input sheet'!B16="Yes",'Input sheet'!B14+'Operating lease converter'!C28,'Input sheet'!B14)</f>
        <v>678</v>
      </c>
    </row>
    <row r="33" spans="1:19">
      <c r="A33" s="44" t="s">
        <v>390</v>
      </c>
      <c r="B33" s="80">
        <f>'Input sheet'!B19</f>
        <v>0</v>
      </c>
    </row>
    <row r="34" spans="1:19">
      <c r="A34" s="44" t="s">
        <v>387</v>
      </c>
      <c r="B34" s="80">
        <f>IF('Input sheet'!B67="YES",'Input sheet'!B17-'Input sheet'!B68*('Input sheet'!B23-'Input sheet'!B69),'Input sheet'!B17)</f>
        <v>1182</v>
      </c>
    </row>
    <row r="35" spans="1:19">
      <c r="A35" s="44" t="s">
        <v>386</v>
      </c>
      <c r="B35" s="80">
        <f>'Input sheet'!B18</f>
        <v>0</v>
      </c>
    </row>
    <row r="36" spans="1:19">
      <c r="A36" s="44" t="s">
        <v>50</v>
      </c>
      <c r="B36" s="86">
        <f>B31-B32-B33+B34+B35</f>
        <v>14367.83254699051</v>
      </c>
    </row>
    <row r="37" spans="1:19">
      <c r="A37" s="44" t="s">
        <v>56</v>
      </c>
      <c r="B37" s="89">
        <f>IF('Input sheet'!B40="No",0,'Option value'!D27)</f>
        <v>0</v>
      </c>
    </row>
    <row r="38" spans="1:19">
      <c r="A38" s="44" t="s">
        <v>57</v>
      </c>
      <c r="B38" s="86">
        <f>B36-B37</f>
        <v>14367.83254699051</v>
      </c>
    </row>
    <row r="39" spans="1:19">
      <c r="A39" s="44" t="s">
        <v>13</v>
      </c>
      <c r="B39" s="90">
        <f>'Input sheet'!B20</f>
        <v>177</v>
      </c>
    </row>
    <row r="40" spans="1:19">
      <c r="A40" s="44" t="s">
        <v>92</v>
      </c>
      <c r="B40" s="407">
        <f>B38/B39</f>
        <v>81.174195180737343</v>
      </c>
    </row>
    <row r="41" spans="1:19">
      <c r="A41" s="44" t="s">
        <v>99</v>
      </c>
      <c r="B41" s="80">
        <f>'Input sheet'!B21</f>
        <v>20.16</v>
      </c>
    </row>
    <row r="42" spans="1:19">
      <c r="A42" s="44" t="s">
        <v>48</v>
      </c>
      <c r="B42" s="83">
        <f>B41/B40</f>
        <v>0.24835478756657847</v>
      </c>
    </row>
    <row r="44" spans="1:19">
      <c r="A44" s="46" t="s">
        <v>17</v>
      </c>
      <c r="B44" s="78"/>
      <c r="C44" s="85"/>
      <c r="D44" s="85"/>
      <c r="E44" s="85"/>
      <c r="F44" s="85"/>
      <c r="G44" s="85"/>
      <c r="H44" s="85"/>
      <c r="I44" s="85"/>
      <c r="J44" s="85"/>
      <c r="K44" s="85"/>
      <c r="L44" s="85"/>
      <c r="M44" s="85"/>
      <c r="N44" s="85"/>
      <c r="O44" s="85"/>
      <c r="P44" s="85"/>
      <c r="Q44" s="85"/>
      <c r="R44" s="85"/>
      <c r="S44" s="85" t="s">
        <v>41</v>
      </c>
    </row>
    <row r="45" spans="1:19">
      <c r="A45" s="44" t="s">
        <v>36</v>
      </c>
      <c r="B45" s="78"/>
      <c r="C45" s="91">
        <f>'Input sheet'!B35</f>
        <v>1.2</v>
      </c>
      <c r="D45" s="91">
        <f>C45</f>
        <v>1.2</v>
      </c>
      <c r="E45" s="91">
        <f t="shared" ref="E45:L45" si="26">D45</f>
        <v>1.2</v>
      </c>
      <c r="F45" s="91">
        <f t="shared" si="26"/>
        <v>1.2</v>
      </c>
      <c r="G45" s="91">
        <f t="shared" si="26"/>
        <v>1.2</v>
      </c>
      <c r="H45" s="91">
        <f>'Input sheet'!C35</f>
        <v>0.79999999999999993</v>
      </c>
      <c r="I45" s="91">
        <f t="shared" si="26"/>
        <v>0.79999999999999993</v>
      </c>
      <c r="J45" s="91">
        <f t="shared" si="26"/>
        <v>0.79999999999999993</v>
      </c>
      <c r="K45" s="91">
        <f t="shared" si="26"/>
        <v>0.79999999999999993</v>
      </c>
      <c r="L45" s="91">
        <f t="shared" si="26"/>
        <v>0.79999999999999993</v>
      </c>
      <c r="M45" s="91">
        <f t="shared" ref="M45" si="27">L45</f>
        <v>0.79999999999999993</v>
      </c>
      <c r="N45" s="91">
        <f t="shared" ref="N45" si="28">M45</f>
        <v>0.79999999999999993</v>
      </c>
      <c r="O45" s="91">
        <f t="shared" ref="O45" si="29">N45</f>
        <v>0.79999999999999993</v>
      </c>
      <c r="P45" s="91">
        <f t="shared" ref="P45" si="30">O45</f>
        <v>0.79999999999999993</v>
      </c>
      <c r="Q45" s="91">
        <f t="shared" ref="Q45" si="31">P45</f>
        <v>0.79999999999999993</v>
      </c>
      <c r="R45" s="91">
        <f t="shared" ref="R45:S45" si="32">Q45</f>
        <v>0.79999999999999993</v>
      </c>
      <c r="S45" s="91">
        <f t="shared" si="32"/>
        <v>0.79999999999999993</v>
      </c>
    </row>
    <row r="46" spans="1:19">
      <c r="A46" s="44" t="s">
        <v>18</v>
      </c>
      <c r="B46" s="92">
        <f>IF('Input sheet'!B16="Yes",IF('Input sheet'!B15="Yes",'Input sheet'!B13+'Input sheet'!B14-'Input sheet'!B17+'Operating lease converter'!F33+'R&amp; D converter'!D35,'Input sheet'!B13+'Input sheet'!B14-'Input sheet'!B17+'Operating lease converter'!F33),IF('Input sheet'!B15="Yes",'Input sheet'!B13+'Input sheet'!B14-'Input sheet'!B17+'R&amp; D converter'!D35,'Input sheet'!B13+'Input sheet'!B14-'Input sheet'!B17))</f>
        <v>809</v>
      </c>
      <c r="C46" s="93">
        <f>B46+C15</f>
        <v>940.75</v>
      </c>
      <c r="D46" s="93">
        <f t="shared" ref="C46:L46" si="33">C46+D15</f>
        <v>1112.0250000000001</v>
      </c>
      <c r="E46" s="93">
        <f t="shared" si="33"/>
        <v>1334.6825000000001</v>
      </c>
      <c r="F46" s="93">
        <f t="shared" si="33"/>
        <v>1575.8947916666666</v>
      </c>
      <c r="G46" s="93">
        <f t="shared" si="33"/>
        <v>1877.41015625</v>
      </c>
      <c r="H46" s="93">
        <f t="shared" si="33"/>
        <v>2329.6832031250001</v>
      </c>
      <c r="I46" s="93">
        <f t="shared" si="33"/>
        <v>2872.4108593749997</v>
      </c>
      <c r="J46" s="93">
        <f t="shared" si="33"/>
        <v>3360.8657499999999</v>
      </c>
      <c r="K46" s="93">
        <f t="shared" si="33"/>
        <v>3742.8374744687503</v>
      </c>
      <c r="L46" s="93">
        <f>K46+L15</f>
        <v>4163.770314833313</v>
      </c>
      <c r="M46" s="93">
        <f t="shared" ref="M46:S46" si="34">L46+M15</f>
        <v>4627.6383049150609</v>
      </c>
      <c r="N46" s="93">
        <f t="shared" si="34"/>
        <v>5138.8208299851467</v>
      </c>
      <c r="O46" s="93">
        <f t="shared" si="34"/>
        <v>5702.1439726123808</v>
      </c>
      <c r="P46" s="93">
        <f t="shared" si="34"/>
        <v>6189.0318966713712</v>
      </c>
      <c r="Q46" s="93">
        <f t="shared" si="34"/>
        <v>6714.8708546550806</v>
      </c>
      <c r="R46" s="93">
        <f t="shared" si="34"/>
        <v>7282.7769292774865</v>
      </c>
      <c r="S46" s="93">
        <f t="shared" si="34"/>
        <v>7896.1154898696859</v>
      </c>
    </row>
    <row r="47" spans="1:19">
      <c r="A47" s="44" t="s">
        <v>19</v>
      </c>
      <c r="B47" s="82">
        <f t="shared" ref="B47:R47" si="35">B14/B46</f>
        <v>0.34235970333745364</v>
      </c>
      <c r="C47" s="79">
        <f t="shared" si="35"/>
        <v>0.36047023502524583</v>
      </c>
      <c r="D47" s="79">
        <f t="shared" si="35"/>
        <v>0.37194717866954424</v>
      </c>
      <c r="E47" s="79">
        <f t="shared" si="35"/>
        <v>0.37634264939564271</v>
      </c>
      <c r="F47" s="79">
        <f t="shared" si="35"/>
        <v>0.3703427482952476</v>
      </c>
      <c r="G47" s="79">
        <f t="shared" si="35"/>
        <v>0.35911837069433661</v>
      </c>
      <c r="H47" s="79">
        <f t="shared" si="35"/>
        <v>0.33932685678877006</v>
      </c>
      <c r="I47" s="79">
        <f t="shared" si="35"/>
        <v>0.32251368902134397</v>
      </c>
      <c r="J47" s="79">
        <f t="shared" si="35"/>
        <v>0.30937801177187751</v>
      </c>
      <c r="K47" s="408">
        <f t="shared" si="35"/>
        <v>0.29861148994361275</v>
      </c>
      <c r="L47" s="408">
        <f t="shared" si="35"/>
        <v>0.28834431607908173</v>
      </c>
      <c r="M47" s="408">
        <f t="shared" si="35"/>
        <v>0.28590407589057681</v>
      </c>
      <c r="N47" s="408">
        <f t="shared" si="35"/>
        <v>0.28372517508949474</v>
      </c>
      <c r="O47" s="408">
        <f t="shared" si="35"/>
        <v>0.28177649619368705</v>
      </c>
      <c r="P47" s="408">
        <f t="shared" si="35"/>
        <v>0.28037802847316334</v>
      </c>
      <c r="Q47" s="408">
        <f t="shared" si="35"/>
        <v>0.27909547135291946</v>
      </c>
      <c r="R47" s="408">
        <f t="shared" si="35"/>
        <v>0.2779183365918439</v>
      </c>
      <c r="S47" s="79">
        <f>IF('Input sheet'!B51="Yes",'Input sheet'!B52,'Valuation output'!L19)</f>
        <v>0.12</v>
      </c>
    </row>
    <row r="57" spans="5:5">
      <c r="E57" s="48">
        <v>1</v>
      </c>
    </row>
  </sheetData>
  <phoneticPr fontId="6" type="noConversion"/>
  <pageMargins left="0.75" right="0.75" top="1" bottom="1" header="0.5" footer="0.5"/>
  <pageSetup orientation="landscape" horizontalDpi="4294967292" verticalDpi="4294967292"/>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5"/>
  <sheetViews>
    <sheetView zoomScale="85" zoomScaleNormal="124" workbookViewId="0">
      <selection activeCell="M9" sqref="M9"/>
    </sheetView>
  </sheetViews>
  <sheetFormatPr baseColWidth="10" defaultRowHeight="16"/>
  <cols>
    <col min="1" max="1" width="20.33203125" style="235" customWidth="1"/>
    <col min="2" max="2" width="14.5" style="235" bestFit="1" customWidth="1"/>
    <col min="3" max="3" width="17.6640625" style="235" customWidth="1"/>
    <col min="4" max="4" width="16.5" style="235" customWidth="1"/>
    <col min="5" max="5" width="13.83203125" style="235" customWidth="1"/>
    <col min="6" max="6" width="24.6640625" style="236" customWidth="1"/>
    <col min="7" max="7" width="45.5" style="235" customWidth="1"/>
    <col min="8" max="8" width="17" customWidth="1"/>
  </cols>
  <sheetData>
    <row r="1" spans="1:11" ht="18">
      <c r="A1" s="390" t="str">
        <f>'Input sheet'!B2</f>
        <v>MP Materials</v>
      </c>
      <c r="B1" s="391"/>
      <c r="C1" s="391"/>
      <c r="D1" s="391"/>
      <c r="E1" s="391"/>
      <c r="F1" s="391"/>
      <c r="G1" s="392"/>
    </row>
    <row r="2" spans="1:11" ht="18">
      <c r="A2" s="393" t="s">
        <v>797</v>
      </c>
      <c r="B2" s="393"/>
      <c r="C2" s="393"/>
      <c r="D2" s="393"/>
      <c r="E2" s="393"/>
      <c r="F2" s="393"/>
      <c r="G2" s="334">
        <f>'Input sheet'!B1</f>
        <v>43799</v>
      </c>
    </row>
    <row r="3" spans="1:11" ht="16" customHeight="1">
      <c r="A3" s="366" t="s">
        <v>829</v>
      </c>
      <c r="B3" s="367"/>
      <c r="C3" s="367"/>
      <c r="D3" s="367"/>
      <c r="E3" s="367"/>
      <c r="F3" s="367"/>
      <c r="G3" s="367"/>
      <c r="H3" s="368" t="s">
        <v>553</v>
      </c>
      <c r="I3" s="369"/>
      <c r="J3" s="369"/>
      <c r="K3" s="370"/>
    </row>
    <row r="4" spans="1:11" ht="16" customHeight="1">
      <c r="A4" s="367"/>
      <c r="B4" s="367"/>
      <c r="C4" s="367"/>
      <c r="D4" s="367"/>
      <c r="E4" s="367"/>
      <c r="F4" s="367"/>
      <c r="G4" s="367"/>
      <c r="H4" s="371"/>
      <c r="I4" s="371"/>
      <c r="J4" s="371"/>
      <c r="K4" s="372"/>
    </row>
    <row r="5" spans="1:11" ht="12" customHeight="1">
      <c r="A5" s="367"/>
      <c r="B5" s="367"/>
      <c r="C5" s="367"/>
      <c r="D5" s="367"/>
      <c r="E5" s="367"/>
      <c r="F5" s="367"/>
      <c r="G5" s="367"/>
      <c r="H5" s="371"/>
      <c r="I5" s="371"/>
      <c r="J5" s="371"/>
      <c r="K5" s="372"/>
    </row>
    <row r="6" spans="1:11" ht="53" customHeight="1">
      <c r="A6" s="367"/>
      <c r="B6" s="367"/>
      <c r="C6" s="367"/>
      <c r="D6" s="367"/>
      <c r="E6" s="367"/>
      <c r="F6" s="367"/>
      <c r="G6" s="367"/>
      <c r="H6" s="373"/>
      <c r="I6" s="373"/>
      <c r="J6" s="373"/>
      <c r="K6" s="374"/>
    </row>
    <row r="7" spans="1:11" ht="18">
      <c r="A7" s="393" t="s">
        <v>530</v>
      </c>
      <c r="B7" s="393"/>
      <c r="C7" s="393"/>
      <c r="D7" s="393"/>
      <c r="E7" s="393"/>
      <c r="F7" s="393"/>
      <c r="G7" s="393"/>
    </row>
    <row r="8" spans="1:11" ht="18">
      <c r="A8" s="335"/>
      <c r="B8" s="336" t="s">
        <v>531</v>
      </c>
      <c r="C8" s="337" t="s">
        <v>396</v>
      </c>
      <c r="D8" s="336" t="s">
        <v>795</v>
      </c>
      <c r="E8" s="336"/>
      <c r="F8" s="336" t="s">
        <v>41</v>
      </c>
      <c r="G8" s="336" t="s">
        <v>540</v>
      </c>
    </row>
    <row r="9" spans="1:11" ht="95">
      <c r="A9" s="335" t="s">
        <v>541</v>
      </c>
      <c r="B9" s="338">
        <f>'Valuation output'!B7</f>
        <v>527</v>
      </c>
      <c r="C9" s="339"/>
      <c r="D9" s="339">
        <f>21.5%</f>
        <v>0.215</v>
      </c>
      <c r="E9" s="340"/>
      <c r="F9" s="339">
        <f>'Valuation output'!S2</f>
        <v>0.08</v>
      </c>
      <c r="G9" s="341" t="s">
        <v>816</v>
      </c>
      <c r="H9" s="375" t="s">
        <v>554</v>
      </c>
      <c r="I9" s="375"/>
      <c r="J9" s="375"/>
      <c r="K9" s="376"/>
    </row>
    <row r="10" spans="1:11" ht="19">
      <c r="A10" s="335" t="s">
        <v>542</v>
      </c>
      <c r="B10" s="339">
        <f>'Valuation output'!B12/'Valuation output'!B7</f>
        <v>0.62049335863377608</v>
      </c>
      <c r="C10" s="339">
        <f>B10</f>
        <v>0.62049335863377608</v>
      </c>
      <c r="D10" s="339">
        <f>'Valuation output'!G12/'Valuation output'!G7</f>
        <v>0.44</v>
      </c>
      <c r="E10" s="339"/>
      <c r="F10" s="339">
        <f>'Valuation output'!L12/'Valuation output'!L7</f>
        <v>0.44</v>
      </c>
      <c r="G10" s="342" t="s">
        <v>817</v>
      </c>
      <c r="H10" s="377"/>
      <c r="I10" s="377"/>
      <c r="J10" s="377"/>
      <c r="K10" s="378"/>
    </row>
    <row r="11" spans="1:11" ht="18">
      <c r="A11" s="335" t="s">
        <v>138</v>
      </c>
      <c r="B11" s="339">
        <f>'Valuation output'!B13</f>
        <v>0.153</v>
      </c>
      <c r="C11" s="339">
        <f>B11</f>
        <v>0.153</v>
      </c>
      <c r="D11" s="339">
        <f>F11</f>
        <v>0.25</v>
      </c>
      <c r="E11" s="339"/>
      <c r="F11" s="339">
        <f>'Valuation output'!S13</f>
        <v>0.25</v>
      </c>
      <c r="G11" s="335" t="s">
        <v>648</v>
      </c>
      <c r="H11" s="377"/>
      <c r="I11" s="377"/>
      <c r="J11" s="377"/>
      <c r="K11" s="378"/>
    </row>
    <row r="12" spans="1:11" ht="38">
      <c r="A12" s="335" t="s">
        <v>543</v>
      </c>
      <c r="B12" s="340"/>
      <c r="C12" s="343" t="s">
        <v>547</v>
      </c>
      <c r="D12" s="344">
        <f>'Input sheet'!B35</f>
        <v>1.2</v>
      </c>
      <c r="E12" s="345" t="s">
        <v>558</v>
      </c>
      <c r="F12" s="346">
        <f>'Valuation output'!S2/'Valuation output'!S47</f>
        <v>0.66666666666666674</v>
      </c>
      <c r="G12" s="342" t="s">
        <v>649</v>
      </c>
      <c r="H12" s="377"/>
      <c r="I12" s="377"/>
      <c r="J12" s="377"/>
      <c r="K12" s="378"/>
    </row>
    <row r="13" spans="1:11" ht="38">
      <c r="A13" s="335" t="s">
        <v>556</v>
      </c>
      <c r="B13" s="339">
        <f>'Valuation output'!B47</f>
        <v>0.34235970333745364</v>
      </c>
      <c r="C13" s="343" t="s">
        <v>557</v>
      </c>
      <c r="D13" s="347">
        <f>Diagnostics!B6</f>
        <v>0.37969792825730803</v>
      </c>
      <c r="E13" s="345"/>
      <c r="F13" s="346">
        <f>'Valuation output'!S47</f>
        <v>0.12</v>
      </c>
      <c r="G13" s="342" t="s">
        <v>818</v>
      </c>
      <c r="H13" s="377"/>
      <c r="I13" s="377"/>
      <c r="J13" s="377"/>
      <c r="K13" s="378"/>
    </row>
    <row r="14" spans="1:11" ht="18">
      <c r="A14" s="335" t="s">
        <v>544</v>
      </c>
      <c r="B14" s="340"/>
      <c r="C14" s="339">
        <f>'Valuation output'!C19</f>
        <v>0.12</v>
      </c>
      <c r="D14" s="339">
        <f>F14</f>
        <v>0.12</v>
      </c>
      <c r="E14" s="340"/>
      <c r="F14" s="339">
        <f>'Valuation output'!S19</f>
        <v>0.12</v>
      </c>
      <c r="G14" s="335" t="s">
        <v>650</v>
      </c>
      <c r="H14" s="379"/>
      <c r="I14" s="379"/>
      <c r="J14" s="379"/>
      <c r="K14" s="380"/>
    </row>
    <row r="15" spans="1:11" ht="18">
      <c r="A15" s="393" t="s">
        <v>535</v>
      </c>
      <c r="B15" s="393"/>
      <c r="C15" s="393"/>
      <c r="D15" s="393"/>
      <c r="E15" s="393"/>
      <c r="F15" s="393"/>
      <c r="G15" s="393"/>
    </row>
    <row r="16" spans="1:11" ht="18">
      <c r="A16" s="336"/>
      <c r="B16" s="348" t="s">
        <v>11</v>
      </c>
      <c r="C16" s="348" t="s">
        <v>534</v>
      </c>
      <c r="D16" s="348" t="s">
        <v>548</v>
      </c>
      <c r="E16" s="348" t="s">
        <v>536</v>
      </c>
      <c r="F16" s="348" t="s">
        <v>545</v>
      </c>
      <c r="G16" s="349" t="s">
        <v>16</v>
      </c>
      <c r="H16" s="381" t="s">
        <v>555</v>
      </c>
      <c r="I16" s="382"/>
      <c r="J16" s="382"/>
      <c r="K16" s="383"/>
    </row>
    <row r="17" spans="1:11" ht="18">
      <c r="A17" s="340">
        <v>1</v>
      </c>
      <c r="B17" s="355">
        <f>'Valuation output'!C7</f>
        <v>685.1</v>
      </c>
      <c r="C17" s="346">
        <f>D17/B17</f>
        <v>0.5843946869070209</v>
      </c>
      <c r="D17" s="356">
        <f>'Valuation output'!C12</f>
        <v>400.36880000000002</v>
      </c>
      <c r="E17" s="355">
        <f>'Valuation output'!C14</f>
        <v>339.11237360000001</v>
      </c>
      <c r="F17" s="355">
        <f>'Valuation output'!C15</f>
        <v>131.75000000000003</v>
      </c>
      <c r="G17" s="356">
        <f>E17-F17</f>
        <v>207.36237359999998</v>
      </c>
      <c r="H17" s="384"/>
      <c r="I17" s="384"/>
      <c r="J17" s="384"/>
      <c r="K17" s="385"/>
    </row>
    <row r="18" spans="1:11" ht="18">
      <c r="A18" s="340">
        <v>2</v>
      </c>
      <c r="B18" s="355">
        <f>'Valuation output'!D7</f>
        <v>890.63</v>
      </c>
      <c r="C18" s="346">
        <f t="shared" ref="C18:C33" si="0">D18/B18</f>
        <v>0.54829601518026561</v>
      </c>
      <c r="D18" s="356">
        <f>'Valuation output'!D12</f>
        <v>488.32887999999997</v>
      </c>
      <c r="E18" s="355">
        <f>'Valuation output'!D14</f>
        <v>413.61456135999998</v>
      </c>
      <c r="F18" s="355">
        <f>'Valuation output'!D15</f>
        <v>171.27499999999998</v>
      </c>
      <c r="G18" s="356">
        <f t="shared" ref="G18:G33" si="1">E18-F18</f>
        <v>242.33956136</v>
      </c>
      <c r="H18" s="384"/>
      <c r="I18" s="384"/>
      <c r="J18" s="384"/>
      <c r="K18" s="385"/>
    </row>
    <row r="19" spans="1:11" ht="18">
      <c r="A19" s="340">
        <v>3</v>
      </c>
      <c r="B19" s="355">
        <f>'Valuation output'!E7</f>
        <v>1157.819</v>
      </c>
      <c r="C19" s="346">
        <f t="shared" si="0"/>
        <v>0.51219734345351042</v>
      </c>
      <c r="D19" s="356">
        <f>'Valuation output'!E12</f>
        <v>593.03181599999994</v>
      </c>
      <c r="E19" s="355">
        <f>'Valuation output'!E14</f>
        <v>502.29794815199995</v>
      </c>
      <c r="F19" s="355">
        <f>'Valuation output'!E15</f>
        <v>222.65749999999997</v>
      </c>
      <c r="G19" s="356">
        <f t="shared" si="1"/>
        <v>279.64044815199998</v>
      </c>
      <c r="H19" s="384"/>
      <c r="I19" s="384"/>
      <c r="J19" s="384"/>
      <c r="K19" s="385"/>
    </row>
    <row r="20" spans="1:11" ht="18">
      <c r="A20" s="340">
        <v>4</v>
      </c>
      <c r="B20" s="355">
        <f>'Valuation output'!F7</f>
        <v>1447.2737499999998</v>
      </c>
      <c r="C20" s="346">
        <f t="shared" si="0"/>
        <v>0.47609867172675518</v>
      </c>
      <c r="D20" s="356">
        <f>'Valuation output'!F12</f>
        <v>689.04510999999991</v>
      </c>
      <c r="E20" s="355">
        <f>'Valuation output'!F14</f>
        <v>583.62120816999993</v>
      </c>
      <c r="F20" s="355">
        <f>'Valuation output'!F15</f>
        <v>241.21229166666657</v>
      </c>
      <c r="G20" s="356">
        <f t="shared" si="1"/>
        <v>342.40891650333333</v>
      </c>
      <c r="H20" s="384"/>
      <c r="I20" s="384"/>
      <c r="J20" s="384"/>
      <c r="K20" s="385"/>
    </row>
    <row r="21" spans="1:11" ht="18">
      <c r="A21" s="340">
        <v>5</v>
      </c>
      <c r="B21" s="355">
        <f>'Valuation output'!G7</f>
        <v>1809.0921874999999</v>
      </c>
      <c r="C21" s="346">
        <f t="shared" si="0"/>
        <v>0.44</v>
      </c>
      <c r="D21" s="356">
        <f>'Valuation output'!G12</f>
        <v>796.0005625</v>
      </c>
      <c r="E21" s="355">
        <f>'Valuation output'!G14</f>
        <v>674.21247643749996</v>
      </c>
      <c r="F21" s="355">
        <f>'Valuation output'!G15</f>
        <v>301.51536458333339</v>
      </c>
      <c r="G21" s="356">
        <f t="shared" si="1"/>
        <v>372.69711185416656</v>
      </c>
      <c r="H21" s="384"/>
      <c r="I21" s="384"/>
      <c r="J21" s="384"/>
      <c r="K21" s="385"/>
    </row>
    <row r="22" spans="1:11" ht="18">
      <c r="A22" s="340">
        <v>6</v>
      </c>
      <c r="B22" s="355">
        <f>'Valuation output'!H7</f>
        <v>2170.910625</v>
      </c>
      <c r="C22" s="346">
        <f t="shared" si="0"/>
        <v>0.44</v>
      </c>
      <c r="D22" s="356">
        <f>'Valuation output'!H12</f>
        <v>955.20067500000005</v>
      </c>
      <c r="E22" s="355">
        <f>'Valuation output'!H14</f>
        <v>790.52407863000008</v>
      </c>
      <c r="F22" s="355">
        <f>'Valuation output'!H15</f>
        <v>452.27304687500015</v>
      </c>
      <c r="G22" s="356">
        <f t="shared" si="1"/>
        <v>338.25103175499993</v>
      </c>
      <c r="H22" s="384"/>
      <c r="I22" s="384"/>
      <c r="J22" s="384"/>
      <c r="K22" s="385"/>
    </row>
    <row r="23" spans="1:11" ht="18">
      <c r="A23" s="340">
        <v>7</v>
      </c>
      <c r="B23" s="355">
        <f>'Valuation output'!I7</f>
        <v>2605.0927499999998</v>
      </c>
      <c r="C23" s="346">
        <f t="shared" si="0"/>
        <v>0.44000000000000006</v>
      </c>
      <c r="D23" s="356">
        <f>'Valuation output'!I12</f>
        <v>1146.24081</v>
      </c>
      <c r="E23" s="355">
        <f>'Valuation output'!I14</f>
        <v>926.39182264200008</v>
      </c>
      <c r="F23" s="355">
        <f>'Valuation output'!I15</f>
        <v>542.72765624999977</v>
      </c>
      <c r="G23" s="356">
        <f t="shared" si="1"/>
        <v>383.66416639200031</v>
      </c>
      <c r="H23" s="384"/>
      <c r="I23" s="384"/>
      <c r="J23" s="384"/>
      <c r="K23" s="385"/>
    </row>
    <row r="24" spans="1:11" ht="19" customHeight="1">
      <c r="A24" s="340">
        <v>8</v>
      </c>
      <c r="B24" s="355">
        <f>'Valuation output'!J7</f>
        <v>2995.8566624999999</v>
      </c>
      <c r="C24" s="346">
        <f t="shared" si="0"/>
        <v>0.44</v>
      </c>
      <c r="D24" s="356">
        <f>'Valuation output'!J12</f>
        <v>1318.1769314999999</v>
      </c>
      <c r="E24" s="355">
        <f>'Valuation output'!J14</f>
        <v>1039.7779635672</v>
      </c>
      <c r="F24" s="355">
        <f>'Valuation output'!J$15</f>
        <v>488.45489062500013</v>
      </c>
      <c r="G24" s="356">
        <f t="shared" si="1"/>
        <v>551.32307294219981</v>
      </c>
      <c r="H24" s="384"/>
      <c r="I24" s="384"/>
      <c r="J24" s="384"/>
      <c r="K24" s="385"/>
    </row>
    <row r="25" spans="1:11" ht="19" customHeight="1">
      <c r="A25" s="340">
        <v>9</v>
      </c>
      <c r="B25" s="355">
        <f>'Valuation output'!K7</f>
        <v>3301.434042075</v>
      </c>
      <c r="C25" s="346">
        <f t="shared" si="0"/>
        <v>0.44</v>
      </c>
      <c r="D25" s="356">
        <f>'Valuation output'!K12</f>
        <v>1452.6309785129999</v>
      </c>
      <c r="E25" s="355">
        <f>'Valuation output'!K14</f>
        <v>1117.6542748679021</v>
      </c>
      <c r="F25" s="355">
        <f>'Valuation output'!K$15</f>
        <v>381.97172446875021</v>
      </c>
      <c r="G25" s="356">
        <f t="shared" si="1"/>
        <v>735.68255039915198</v>
      </c>
      <c r="H25" s="384"/>
      <c r="I25" s="384"/>
      <c r="J25" s="384"/>
      <c r="K25" s="385"/>
    </row>
    <row r="26" spans="1:11" ht="19" customHeight="1">
      <c r="A26" s="340">
        <v>10</v>
      </c>
      <c r="B26" s="355">
        <f>'Valuation output'!L7</f>
        <v>3638.1803143666498</v>
      </c>
      <c r="C26" s="346">
        <f t="shared" si="0"/>
        <v>0.44</v>
      </c>
      <c r="D26" s="356">
        <f>'Valuation output'!L12</f>
        <v>1600.7993383213259</v>
      </c>
      <c r="E26" s="355">
        <f>'Valuation output'!L14</f>
        <v>1200.5995037409944</v>
      </c>
      <c r="F26" s="355">
        <f>'Valuation output'!L$15</f>
        <v>420.93284036456231</v>
      </c>
      <c r="G26" s="356">
        <f t="shared" si="1"/>
        <v>779.6666633764321</v>
      </c>
      <c r="H26" s="384"/>
      <c r="I26" s="384"/>
      <c r="J26" s="384"/>
      <c r="K26" s="385"/>
    </row>
    <row r="27" spans="1:11" ht="19" customHeight="1">
      <c r="A27" s="340">
        <v>11</v>
      </c>
      <c r="B27" s="355">
        <f>'Valuation output'!M7</f>
        <v>4009.2747064320479</v>
      </c>
      <c r="C27" s="346">
        <f t="shared" si="0"/>
        <v>0.44</v>
      </c>
      <c r="D27" s="356">
        <f>'Valuation output'!M12</f>
        <v>1764.080870830101</v>
      </c>
      <c r="E27" s="355">
        <f>'Valuation output'!M14</f>
        <v>1323.0606531225758</v>
      </c>
      <c r="F27" s="355">
        <f>'Valuation output'!O$15</f>
        <v>563.32314262723457</v>
      </c>
      <c r="G27" s="356">
        <f t="shared" si="1"/>
        <v>759.73751049534121</v>
      </c>
      <c r="H27" s="384"/>
      <c r="I27" s="384"/>
      <c r="J27" s="384"/>
      <c r="K27" s="385"/>
    </row>
    <row r="28" spans="1:11" ht="18">
      <c r="A28" s="340">
        <v>12</v>
      </c>
      <c r="B28" s="355">
        <f>'Valuation output'!N7</f>
        <v>4418.2207264881163</v>
      </c>
      <c r="C28" s="346">
        <f t="shared" si="0"/>
        <v>0.44</v>
      </c>
      <c r="D28" s="356">
        <f>'Valuation output'!N12</f>
        <v>1944.0171196547712</v>
      </c>
      <c r="E28" s="355">
        <f>'Valuation output'!N14</f>
        <v>1458.0128397410786</v>
      </c>
      <c r="F28" s="355">
        <f>'Valuation output'!N$15</f>
        <v>511.18252507008555</v>
      </c>
      <c r="G28" s="356">
        <f t="shared" si="1"/>
        <v>946.83031467099295</v>
      </c>
      <c r="H28" s="384"/>
      <c r="I28" s="384"/>
      <c r="J28" s="384"/>
      <c r="K28" s="385"/>
    </row>
    <row r="29" spans="1:11" ht="18">
      <c r="A29" s="340">
        <v>13</v>
      </c>
      <c r="B29" s="355">
        <f>'Valuation output'!O7</f>
        <v>4868.8792405899039</v>
      </c>
      <c r="C29" s="346">
        <f t="shared" si="0"/>
        <v>0.43999999999999995</v>
      </c>
      <c r="D29" s="356">
        <f>'Valuation output'!O12</f>
        <v>2142.3068658595575</v>
      </c>
      <c r="E29" s="355">
        <f>'Valuation output'!O14</f>
        <v>1606.7301493946682</v>
      </c>
      <c r="F29" s="355">
        <f>'Valuation output'!O$15</f>
        <v>563.32314262723457</v>
      </c>
      <c r="G29" s="356">
        <f t="shared" si="1"/>
        <v>1043.4070067674336</v>
      </c>
      <c r="H29" s="384"/>
      <c r="I29" s="384"/>
      <c r="J29" s="384"/>
      <c r="K29" s="385"/>
    </row>
    <row r="30" spans="1:11" ht="19" customHeight="1">
      <c r="A30" s="340">
        <v>14</v>
      </c>
      <c r="B30" s="355">
        <f>'Valuation output'!P7</f>
        <v>5258.3895798370959</v>
      </c>
      <c r="C30" s="346">
        <f t="shared" si="0"/>
        <v>0.44</v>
      </c>
      <c r="D30" s="356">
        <f>'Valuation output'!P12</f>
        <v>2313.6914151283222</v>
      </c>
      <c r="E30" s="355">
        <f>'Valuation output'!P14</f>
        <v>1735.2685613462418</v>
      </c>
      <c r="F30" s="355">
        <f>'Valuation output'!P$15</f>
        <v>486.88792405899</v>
      </c>
      <c r="G30" s="356">
        <f t="shared" si="1"/>
        <v>1248.3806372872518</v>
      </c>
      <c r="H30" s="384"/>
      <c r="I30" s="384"/>
      <c r="J30" s="384"/>
      <c r="K30" s="385"/>
    </row>
    <row r="31" spans="1:11" ht="18">
      <c r="A31" s="340">
        <v>15</v>
      </c>
      <c r="B31" s="355">
        <f>'Valuation output'!Q7</f>
        <v>5679.0607462240632</v>
      </c>
      <c r="C31" s="346">
        <f t="shared" si="0"/>
        <v>0.43999999999999995</v>
      </c>
      <c r="D31" s="356">
        <f>'Valuation output'!Q12</f>
        <v>2498.7867283385876</v>
      </c>
      <c r="E31" s="355">
        <f>'Valuation output'!Q14</f>
        <v>1874.0900462539407</v>
      </c>
      <c r="F31" s="355">
        <f>'Valuation output'!Q$15</f>
        <v>525.83895798370918</v>
      </c>
      <c r="G31" s="356">
        <f t="shared" si="1"/>
        <v>1348.2510882702315</v>
      </c>
      <c r="H31" s="384"/>
      <c r="I31" s="384"/>
      <c r="J31" s="384"/>
      <c r="K31" s="385"/>
    </row>
    <row r="32" spans="1:11" ht="19" customHeight="1">
      <c r="A32" s="403">
        <v>16</v>
      </c>
      <c r="B32" s="355">
        <f>'Valuation output'!R7</f>
        <v>6133.3856059219879</v>
      </c>
      <c r="C32" s="346">
        <f t="shared" si="0"/>
        <v>0.44</v>
      </c>
      <c r="D32" s="356">
        <f>'Valuation output'!R12</f>
        <v>2698.6896666056746</v>
      </c>
      <c r="E32" s="355">
        <f>'Valuation output'!R14</f>
        <v>2024.0172499542559</v>
      </c>
      <c r="F32" s="355">
        <f>'Valuation output'!R$15</f>
        <v>567.90607462240587</v>
      </c>
      <c r="G32" s="356">
        <f t="shared" si="1"/>
        <v>1456.1111753318501</v>
      </c>
      <c r="H32" s="384"/>
      <c r="I32" s="384"/>
      <c r="J32" s="384"/>
      <c r="K32" s="385"/>
    </row>
    <row r="33" spans="1:11" ht="18">
      <c r="A33" s="340" t="s">
        <v>43</v>
      </c>
      <c r="B33" s="355">
        <f>'Valuation output'!S7</f>
        <v>6624.0564543957471</v>
      </c>
      <c r="C33" s="346">
        <f t="shared" si="0"/>
        <v>0.44000000000000006</v>
      </c>
      <c r="D33" s="356">
        <f>'Valuation output'!S12</f>
        <v>2914.5848399341289</v>
      </c>
      <c r="E33" s="355">
        <f>'Valuation output'!S14</f>
        <v>2185.9386299505968</v>
      </c>
      <c r="F33" s="355">
        <f>'Valuation output'!S$15</f>
        <v>613.33856059219897</v>
      </c>
      <c r="G33" s="356">
        <f t="shared" si="1"/>
        <v>1572.6000693583978</v>
      </c>
      <c r="H33" s="386"/>
      <c r="I33" s="386"/>
      <c r="J33" s="386"/>
      <c r="K33" s="387"/>
    </row>
    <row r="34" spans="1:11" ht="18">
      <c r="A34" s="393" t="s">
        <v>537</v>
      </c>
      <c r="B34" s="393"/>
      <c r="C34" s="393"/>
      <c r="D34" s="393"/>
      <c r="E34" s="393"/>
      <c r="F34" s="393"/>
      <c r="G34" s="393"/>
    </row>
    <row r="35" spans="1:11" ht="18">
      <c r="A35" s="365" t="s">
        <v>538</v>
      </c>
      <c r="B35" s="365"/>
      <c r="C35" s="365"/>
      <c r="D35" s="351">
        <f>'Valuation output'!B25</f>
        <v>39315.001733959951</v>
      </c>
      <c r="E35" s="351"/>
      <c r="F35" s="335"/>
      <c r="G35" s="335"/>
      <c r="H35" s="377" t="s">
        <v>559</v>
      </c>
      <c r="I35" s="377"/>
      <c r="J35" s="377"/>
      <c r="K35" s="377"/>
    </row>
    <row r="36" spans="1:11" ht="18">
      <c r="A36" s="365" t="s">
        <v>539</v>
      </c>
      <c r="B36" s="365"/>
      <c r="C36" s="365"/>
      <c r="D36" s="351">
        <f>'Valuation output'!B26</f>
        <v>12658.378354851913</v>
      </c>
      <c r="E36" s="351"/>
      <c r="F36" s="335"/>
      <c r="G36" s="335"/>
      <c r="H36" s="377"/>
      <c r="I36" s="377"/>
      <c r="J36" s="377"/>
      <c r="K36" s="377"/>
    </row>
    <row r="37" spans="1:11" ht="18">
      <c r="A37" s="365" t="s">
        <v>44</v>
      </c>
      <c r="B37" s="365"/>
      <c r="C37" s="365"/>
      <c r="D37" s="351">
        <f>'Valuation output'!B27</f>
        <v>2090.3796738613946</v>
      </c>
      <c r="E37" s="351"/>
      <c r="F37" s="335"/>
      <c r="G37" s="335"/>
      <c r="H37" s="377"/>
      <c r="I37" s="377"/>
      <c r="J37" s="377"/>
      <c r="K37" s="377"/>
    </row>
    <row r="38" spans="1:11" ht="18">
      <c r="A38" s="365" t="s">
        <v>42</v>
      </c>
      <c r="B38" s="365"/>
      <c r="C38" s="365"/>
      <c r="D38" s="351">
        <f>'Valuation output'!B28</f>
        <v>14748.758028713308</v>
      </c>
      <c r="E38" s="351"/>
      <c r="F38" s="335"/>
      <c r="G38" s="335"/>
      <c r="H38" s="377"/>
      <c r="I38" s="377"/>
      <c r="J38" s="377"/>
      <c r="K38" s="377"/>
    </row>
    <row r="39" spans="1:11" ht="18">
      <c r="A39" s="365" t="s">
        <v>549</v>
      </c>
      <c r="B39" s="365"/>
      <c r="C39" s="365"/>
      <c r="D39" s="351">
        <f>D38-'Valuation output'!B31</f>
        <v>884.92548172279749</v>
      </c>
      <c r="E39" s="388" t="s">
        <v>108</v>
      </c>
      <c r="F39" s="388"/>
      <c r="G39" s="352">
        <f>'Valuation output'!B29</f>
        <v>0.2</v>
      </c>
      <c r="H39" s="377"/>
      <c r="I39" s="377"/>
      <c r="J39" s="377"/>
      <c r="K39" s="377"/>
    </row>
    <row r="40" spans="1:11" ht="18">
      <c r="A40" s="365" t="s">
        <v>676</v>
      </c>
      <c r="B40" s="365"/>
      <c r="C40" s="365"/>
      <c r="D40" s="351">
        <f>'Valuation output'!B32+'Valuation output'!B33</f>
        <v>678</v>
      </c>
      <c r="E40" s="351"/>
      <c r="F40" s="335"/>
      <c r="G40" s="335"/>
      <c r="H40" s="377"/>
      <c r="I40" s="377"/>
      <c r="J40" s="377"/>
      <c r="K40" s="377"/>
    </row>
    <row r="41" spans="1:11" ht="18">
      <c r="A41" s="365" t="s">
        <v>550</v>
      </c>
      <c r="B41" s="365"/>
      <c r="C41" s="365"/>
      <c r="D41" s="351">
        <f>'Valuation output'!B34+'Valuation output'!B35</f>
        <v>1182</v>
      </c>
      <c r="E41" s="351"/>
      <c r="F41" s="335"/>
      <c r="G41" s="335"/>
      <c r="H41" s="377"/>
      <c r="I41" s="377"/>
      <c r="J41" s="377"/>
      <c r="K41" s="377"/>
    </row>
    <row r="42" spans="1:11" ht="18">
      <c r="A42" s="365" t="s">
        <v>50</v>
      </c>
      <c r="B42" s="365"/>
      <c r="C42" s="365"/>
      <c r="D42" s="351">
        <f>D38-D39-D40+D41</f>
        <v>14367.83254699051</v>
      </c>
      <c r="E42" s="351"/>
      <c r="F42" s="335"/>
      <c r="G42" s="335"/>
      <c r="H42" s="377"/>
      <c r="I42" s="377"/>
      <c r="J42" s="377"/>
      <c r="K42" s="377"/>
    </row>
    <row r="43" spans="1:11" ht="18">
      <c r="A43" s="365" t="s">
        <v>551</v>
      </c>
      <c r="B43" s="365"/>
      <c r="C43" s="365"/>
      <c r="D43" s="351">
        <f>'Valuation output'!B37</f>
        <v>0</v>
      </c>
      <c r="E43" s="351"/>
      <c r="F43" s="335"/>
      <c r="G43" s="335"/>
      <c r="H43" s="377"/>
      <c r="I43" s="377"/>
      <c r="J43" s="377"/>
      <c r="K43" s="377"/>
    </row>
    <row r="44" spans="1:11" ht="18">
      <c r="A44" s="365" t="s">
        <v>546</v>
      </c>
      <c r="B44" s="365"/>
      <c r="C44" s="365"/>
      <c r="D44" s="353">
        <f>'Valuation output'!B39</f>
        <v>177</v>
      </c>
      <c r="E44" s="335"/>
      <c r="F44" s="350"/>
      <c r="G44" s="335"/>
      <c r="H44" s="377"/>
      <c r="I44" s="377"/>
      <c r="J44" s="377"/>
      <c r="K44" s="377"/>
    </row>
    <row r="45" spans="1:11" ht="18">
      <c r="A45" s="409" t="s">
        <v>524</v>
      </c>
      <c r="B45" s="409"/>
      <c r="C45" s="409"/>
      <c r="D45" s="410">
        <f>(D42-D43)/D44</f>
        <v>81.174195180737343</v>
      </c>
      <c r="E45" s="389" t="s">
        <v>552</v>
      </c>
      <c r="F45" s="389"/>
      <c r="G45" s="354">
        <f>'Input sheet'!B21</f>
        <v>20.16</v>
      </c>
      <c r="H45" s="377"/>
      <c r="I45" s="377"/>
      <c r="J45" s="377"/>
      <c r="K45" s="377"/>
    </row>
  </sheetData>
  <mergeCells count="23">
    <mergeCell ref="A42:C42"/>
    <mergeCell ref="A1:G1"/>
    <mergeCell ref="A7:G7"/>
    <mergeCell ref="A15:G15"/>
    <mergeCell ref="A34:G34"/>
    <mergeCell ref="A36:C36"/>
    <mergeCell ref="A2:F2"/>
    <mergeCell ref="A43:C43"/>
    <mergeCell ref="A35:C35"/>
    <mergeCell ref="A3:G6"/>
    <mergeCell ref="H3:K6"/>
    <mergeCell ref="H9:K14"/>
    <mergeCell ref="H16:K33"/>
    <mergeCell ref="H35:K45"/>
    <mergeCell ref="E39:F39"/>
    <mergeCell ref="A44:C44"/>
    <mergeCell ref="A45:C45"/>
    <mergeCell ref="A39:C39"/>
    <mergeCell ref="A38:C38"/>
    <mergeCell ref="E45:F45"/>
    <mergeCell ref="A37:C37"/>
    <mergeCell ref="A40:C40"/>
    <mergeCell ref="A41:C41"/>
  </mergeCells>
  <pageMargins left="0.75" right="0.75" top="1" bottom="1" header="0.3" footer="0.3"/>
  <pageSetup orientation="portrait"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C34" sqref="C34"/>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23" customFormat="1" ht="13">
      <c r="A1" s="125" t="s">
        <v>93</v>
      </c>
      <c r="B1" s="126"/>
    </row>
    <row r="2" spans="1:4" s="123" customFormat="1" ht="13">
      <c r="A2" s="126" t="s">
        <v>7</v>
      </c>
      <c r="B2" s="127">
        <f>'Valuation output'!B46</f>
        <v>809</v>
      </c>
    </row>
    <row r="3" spans="1:4" s="123" customFormat="1" ht="13">
      <c r="A3" s="126" t="s">
        <v>8</v>
      </c>
      <c r="B3" s="127">
        <f>'Valuation output'!L46</f>
        <v>4163.770314833313</v>
      </c>
    </row>
    <row r="4" spans="1:4" s="123" customFormat="1" ht="13">
      <c r="A4" s="126" t="s">
        <v>9</v>
      </c>
      <c r="B4" s="127">
        <f>B3-B2</f>
        <v>3354.770314833313</v>
      </c>
    </row>
    <row r="5" spans="1:4" s="123" customFormat="1" ht="13">
      <c r="A5" s="126" t="s">
        <v>10</v>
      </c>
      <c r="B5" s="127">
        <f>'Valuation output'!L12-'Valuation output'!B12</f>
        <v>1273.7993383213259</v>
      </c>
    </row>
    <row r="6" spans="1:4" s="123" customFormat="1" ht="13">
      <c r="A6" s="126" t="s">
        <v>4</v>
      </c>
      <c r="B6" s="128">
        <f>B5/B4</f>
        <v>0.37969792825730803</v>
      </c>
    </row>
    <row r="7" spans="1:4" s="123" customFormat="1" ht="13">
      <c r="A7" s="126" t="s">
        <v>5</v>
      </c>
      <c r="B7" s="128">
        <f>'Valuation output'!L47</f>
        <v>0.28834431607908173</v>
      </c>
    </row>
    <row r="8" spans="1:4" s="123" customFormat="1" ht="13">
      <c r="A8" s="126" t="s">
        <v>236</v>
      </c>
      <c r="B8" s="128">
        <f>(1/'Valuation output'!L20)^(1/10)-1</f>
        <v>0.12000000000000011</v>
      </c>
    </row>
    <row r="9" spans="1:4" s="123" customFormat="1" ht="14" thickBot="1">
      <c r="A9" s="129" t="s">
        <v>26</v>
      </c>
      <c r="B9" s="130">
        <f>'Valuation output'!B40/'Valuation output'!B41</f>
        <v>4.0264977768222892</v>
      </c>
    </row>
    <row r="10" spans="1:4" s="123" customFormat="1" ht="14" thickBot="1">
      <c r="A10" s="131"/>
      <c r="B10" s="394" t="str">
        <f>IF(B9="NA","Value is negative. See below",IF(B9&gt;2,"Value seems high. See below",IF(B9&lt;0.5,"Value seems low. See below"," ")))</f>
        <v>Value seems high. See below</v>
      </c>
      <c r="C10" s="395"/>
    </row>
    <row r="11" spans="1:4" s="8" customFormat="1" ht="14">
      <c r="A11" s="184" t="s">
        <v>6</v>
      </c>
      <c r="B11" s="185" t="s">
        <v>0</v>
      </c>
      <c r="C11" s="186" t="s">
        <v>1</v>
      </c>
    </row>
    <row r="12" spans="1:4" s="8" customFormat="1" ht="14">
      <c r="A12" s="195" t="s">
        <v>150</v>
      </c>
      <c r="B12" s="187" t="s">
        <v>2</v>
      </c>
      <c r="C12" s="188" t="s">
        <v>3</v>
      </c>
    </row>
    <row r="13" spans="1:4" s="8" customFormat="1" ht="14">
      <c r="A13" s="195" t="s">
        <v>151</v>
      </c>
      <c r="B13" s="189" t="s">
        <v>148</v>
      </c>
      <c r="C13" s="190" t="s">
        <v>149</v>
      </c>
      <c r="D13" s="8" t="s">
        <v>155</v>
      </c>
    </row>
    <row r="14" spans="1:4" s="8" customFormat="1" ht="13">
      <c r="A14" s="196" t="s">
        <v>152</v>
      </c>
      <c r="B14" s="191" t="s">
        <v>146</v>
      </c>
      <c r="C14" s="192" t="s">
        <v>147</v>
      </c>
      <c r="D14" s="8" t="s">
        <v>155</v>
      </c>
    </row>
    <row r="15" spans="1:4" s="8" customFormat="1" ht="14" thickBot="1">
      <c r="A15" s="197" t="s">
        <v>157</v>
      </c>
      <c r="B15" s="193" t="s">
        <v>153</v>
      </c>
      <c r="C15" s="194" t="s">
        <v>154</v>
      </c>
      <c r="D15" s="8" t="s">
        <v>156</v>
      </c>
    </row>
    <row r="16" spans="1:4">
      <c r="B16" s="69"/>
    </row>
  </sheetData>
  <mergeCells count="1">
    <mergeCell ref="B10:C10"/>
  </mergeCells>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workbookViewId="0">
      <selection activeCell="J7" sqref="J7"/>
    </sheetView>
  </sheetViews>
  <sheetFormatPr baseColWidth="10" defaultRowHeight="13"/>
  <sheetData>
    <row r="1" spans="1:8" s="246" customFormat="1" ht="46" thickBot="1">
      <c r="A1" s="245" t="s">
        <v>116</v>
      </c>
      <c r="B1" s="245" t="s">
        <v>11</v>
      </c>
      <c r="C1" s="245" t="s">
        <v>564</v>
      </c>
      <c r="D1" s="245" t="s">
        <v>580</v>
      </c>
      <c r="E1" s="245" t="s">
        <v>565</v>
      </c>
      <c r="F1" s="245" t="s">
        <v>46</v>
      </c>
      <c r="G1" s="245" t="s">
        <v>566</v>
      </c>
      <c r="H1" s="245" t="s">
        <v>567</v>
      </c>
    </row>
    <row r="2" spans="1:8" s="246" customFormat="1" ht="12">
      <c r="A2" s="246" t="s">
        <v>579</v>
      </c>
      <c r="B2" s="247">
        <f>'Valuation output'!B3</f>
        <v>527</v>
      </c>
      <c r="D2" s="248">
        <f>'Valuation output'!B8</f>
        <v>0.62049335863377608</v>
      </c>
      <c r="E2" s="247">
        <f>B2*D2</f>
        <v>327</v>
      </c>
      <c r="F2" s="247">
        <f>'Valuation output'!B17</f>
        <v>0</v>
      </c>
      <c r="G2" s="247">
        <f>E2-H2</f>
        <v>50.031000000000006</v>
      </c>
      <c r="H2" s="247">
        <f>'Valuation output'!B14</f>
        <v>276.96899999999999</v>
      </c>
    </row>
    <row r="3" spans="1:8" s="246" customFormat="1" ht="12">
      <c r="A3" s="246">
        <v>1</v>
      </c>
      <c r="B3" s="247">
        <f>'Valuation output'!C3</f>
        <v>1293.6117647058823</v>
      </c>
      <c r="C3" s="248">
        <f>'Valuation output'!C2</f>
        <v>0.3</v>
      </c>
      <c r="D3" s="248">
        <f>'Valuation output'!C8</f>
        <v>0.5843946869070209</v>
      </c>
      <c r="E3" s="247">
        <f>B3*D3</f>
        <v>755.97984221453282</v>
      </c>
      <c r="F3" s="247">
        <f>'Valuation output'!C17</f>
        <v>0</v>
      </c>
      <c r="G3" s="247">
        <f t="shared" ref="G3:G12" si="0">E3-H3</f>
        <v>416.86746861453281</v>
      </c>
      <c r="H3" s="247">
        <f>'Valuation output'!C14</f>
        <v>339.11237360000001</v>
      </c>
    </row>
    <row r="4" spans="1:8" s="246" customFormat="1" ht="12">
      <c r="A4" s="246">
        <v>2</v>
      </c>
      <c r="B4" s="250">
        <f>'Valuation output'!D3</f>
        <v>2015.1287197231832</v>
      </c>
      <c r="C4" s="248">
        <f>B4/B3-1</f>
        <v>0.55775385993134208</v>
      </c>
      <c r="D4" s="248">
        <f>'Valuation output'!D8</f>
        <v>0.54829601518026561</v>
      </c>
      <c r="E4" s="247">
        <f t="shared" ref="E4:E12" si="1">B4*D4</f>
        <v>1104.8870470995316</v>
      </c>
      <c r="F4" s="247">
        <f>'Valuation output'!D17</f>
        <v>0</v>
      </c>
      <c r="G4" s="247">
        <f t="shared" si="0"/>
        <v>691.2724857395317</v>
      </c>
      <c r="H4" s="247">
        <f>'Valuation output'!D14</f>
        <v>413.61456135999998</v>
      </c>
    </row>
    <row r="5" spans="1:8" s="246" customFormat="1" ht="12">
      <c r="A5" s="246">
        <v>3</v>
      </c>
      <c r="B5" s="247">
        <f>'Valuation output'!E3</f>
        <v>2694.2035009159372</v>
      </c>
      <c r="C5" s="248">
        <f t="shared" ref="C5:C12" si="2">B5/B4-1</f>
        <v>0.33698828990241281</v>
      </c>
      <c r="D5" s="248">
        <f>'Valuation output'!E8</f>
        <v>0.51219734345351042</v>
      </c>
      <c r="E5" s="247">
        <f t="shared" si="1"/>
        <v>1379.9638758922904</v>
      </c>
      <c r="F5" s="247">
        <f>'Valuation output'!E17</f>
        <v>0</v>
      </c>
      <c r="G5" s="247">
        <f t="shared" si="0"/>
        <v>877.6659277402905</v>
      </c>
      <c r="H5" s="247">
        <f>'Valuation output'!E14</f>
        <v>502.29794815199995</v>
      </c>
    </row>
    <row r="6" spans="1:8" s="246" customFormat="1" ht="12">
      <c r="A6" s="246">
        <v>4</v>
      </c>
      <c r="B6" s="247">
        <f>'Valuation output'!F3</f>
        <v>3333.3327067444116</v>
      </c>
      <c r="C6" s="248">
        <f t="shared" si="2"/>
        <v>0.23722380496172324</v>
      </c>
      <c r="D6" s="248">
        <f>'Valuation output'!F8</f>
        <v>0.47609867172675524</v>
      </c>
      <c r="E6" s="247">
        <f t="shared" si="1"/>
        <v>1586.9952741043642</v>
      </c>
      <c r="F6" s="247">
        <f>'Valuation output'!F17</f>
        <v>0</v>
      </c>
      <c r="G6" s="247">
        <f t="shared" si="0"/>
        <v>1003.3740659343642</v>
      </c>
      <c r="H6" s="247">
        <f>'Valuation output'!F14</f>
        <v>583.62120816999993</v>
      </c>
    </row>
    <row r="7" spans="1:8" s="246" customFormat="1" ht="12">
      <c r="A7" s="246">
        <v>5</v>
      </c>
      <c r="B7" s="247">
        <f>'Valuation output'!G3</f>
        <v>3934.8660769359167</v>
      </c>
      <c r="C7" s="248">
        <f t="shared" si="2"/>
        <v>0.18046004497973112</v>
      </c>
      <c r="D7" s="248">
        <f>'Valuation output'!G8</f>
        <v>0.44</v>
      </c>
      <c r="E7" s="247">
        <f t="shared" si="1"/>
        <v>1731.3410738518035</v>
      </c>
      <c r="F7" s="247">
        <f>'Valuation output'!G17</f>
        <v>0</v>
      </c>
      <c r="G7" s="247">
        <f t="shared" si="0"/>
        <v>1057.1285974143034</v>
      </c>
      <c r="H7" s="247">
        <f>'Valuation output'!G14</f>
        <v>674.21247643749996</v>
      </c>
    </row>
    <row r="8" spans="1:8" s="246" customFormat="1" ht="12">
      <c r="A8" s="246">
        <v>6</v>
      </c>
      <c r="B8" s="247">
        <f>'Valuation output'!H3</f>
        <v>4501.0151312338039</v>
      </c>
      <c r="C8" s="248">
        <f t="shared" si="2"/>
        <v>0.1438801329520083</v>
      </c>
      <c r="D8" s="248">
        <f>'Valuation output'!H8</f>
        <v>0.44</v>
      </c>
      <c r="E8" s="247">
        <f t="shared" si="1"/>
        <v>1980.4466577428736</v>
      </c>
      <c r="F8" s="247">
        <f>'Valuation output'!H17</f>
        <v>0</v>
      </c>
      <c r="G8" s="247">
        <f t="shared" si="0"/>
        <v>1189.9225791128736</v>
      </c>
      <c r="H8" s="247">
        <f>'Valuation output'!H14</f>
        <v>790.52407863000008</v>
      </c>
    </row>
    <row r="9" spans="1:8" s="246" customFormat="1" ht="12">
      <c r="A9" s="246">
        <v>7</v>
      </c>
      <c r="B9" s="247">
        <f>'Valuation output'!I3</f>
        <v>5033.8612999847564</v>
      </c>
      <c r="C9" s="248">
        <f t="shared" si="2"/>
        <v>0.11838355420166979</v>
      </c>
      <c r="D9" s="248">
        <f>'Valuation output'!I8</f>
        <v>0.44</v>
      </c>
      <c r="E9" s="247">
        <f t="shared" si="1"/>
        <v>2214.8989719932929</v>
      </c>
      <c r="F9" s="247">
        <f>'Valuation output'!I17</f>
        <v>0</v>
      </c>
      <c r="G9" s="247">
        <f t="shared" si="0"/>
        <v>1288.5071493512928</v>
      </c>
      <c r="H9" s="247">
        <f>'Valuation output'!I14</f>
        <v>926.39182264200008</v>
      </c>
    </row>
    <row r="10" spans="1:8" s="246" customFormat="1" ht="12">
      <c r="A10" s="246">
        <v>8</v>
      </c>
      <c r="B10" s="247">
        <f>'Valuation output'!J3</f>
        <v>5535.3635764562414</v>
      </c>
      <c r="C10" s="248">
        <f t="shared" si="2"/>
        <v>9.9625763719990434E-2</v>
      </c>
      <c r="D10" s="248">
        <f>'Valuation output'!J8</f>
        <v>0.44</v>
      </c>
      <c r="E10" s="247">
        <f t="shared" si="1"/>
        <v>2435.5599736407462</v>
      </c>
      <c r="F10" s="247">
        <f>'Valuation output'!J17</f>
        <v>0</v>
      </c>
      <c r="G10" s="247">
        <f t="shared" si="0"/>
        <v>1395.7820100735462</v>
      </c>
      <c r="H10" s="247">
        <f>'Valuation output'!J14</f>
        <v>1039.7779635672</v>
      </c>
    </row>
    <row r="11" spans="1:8" s="246" customFormat="1" ht="12">
      <c r="A11" s="246">
        <v>9</v>
      </c>
      <c r="B11" s="247">
        <f>'Valuation output'!K3</f>
        <v>6007.3657190176391</v>
      </c>
      <c r="C11" s="248">
        <f t="shared" si="2"/>
        <v>8.5270305381381029E-2</v>
      </c>
      <c r="D11" s="248">
        <f>'Valuation output'!K8</f>
        <v>0.44</v>
      </c>
      <c r="E11" s="247">
        <f t="shared" si="1"/>
        <v>2643.2409163677612</v>
      </c>
      <c r="F11" s="247">
        <f>'Valuation output'!K17</f>
        <v>0</v>
      </c>
      <c r="G11" s="247">
        <f t="shared" si="0"/>
        <v>1525.5866414998591</v>
      </c>
      <c r="H11" s="247">
        <f>'Valuation output'!K14</f>
        <v>1117.6542748679021</v>
      </c>
    </row>
    <row r="12" spans="1:8" s="246" customFormat="1" ht="12">
      <c r="A12" s="246">
        <v>10</v>
      </c>
      <c r="B12" s="247">
        <f>'Valuation output'!R3</f>
        <v>8619.0083203126887</v>
      </c>
      <c r="C12" s="248">
        <f t="shared" si="2"/>
        <v>0.43474007134729953</v>
      </c>
      <c r="D12" s="248">
        <f>'Valuation output'!L8</f>
        <v>0.44</v>
      </c>
      <c r="E12" s="247">
        <f t="shared" si="1"/>
        <v>3792.3636609375831</v>
      </c>
      <c r="F12" s="247">
        <f>'Valuation output'!L17</f>
        <v>0</v>
      </c>
      <c r="G12" s="247">
        <f t="shared" si="0"/>
        <v>2591.7641571965887</v>
      </c>
      <c r="H12" s="247">
        <f>'Valuation output'!L14</f>
        <v>1200.5995037409944</v>
      </c>
    </row>
    <row r="13" spans="1:8" s="246" customFormat="1" thickBot="1"/>
    <row r="14" spans="1:8" s="246" customFormat="1" ht="46" thickBot="1">
      <c r="A14" s="245" t="s">
        <v>116</v>
      </c>
      <c r="B14" s="245" t="s">
        <v>567</v>
      </c>
      <c r="C14" s="245" t="s">
        <v>568</v>
      </c>
      <c r="D14" s="245" t="s">
        <v>569</v>
      </c>
      <c r="E14" s="245" t="s">
        <v>570</v>
      </c>
      <c r="F14" s="245" t="s">
        <v>16</v>
      </c>
      <c r="G14" s="245" t="s">
        <v>571</v>
      </c>
      <c r="H14" s="245" t="s">
        <v>572</v>
      </c>
    </row>
    <row r="15" spans="1:8" s="246" customFormat="1" ht="12">
      <c r="A15" s="246" t="str">
        <f>A2</f>
        <v>Traling 12 month</v>
      </c>
      <c r="B15" s="247">
        <f>H2</f>
        <v>276.96899999999999</v>
      </c>
      <c r="G15" s="252">
        <f>'Valuation output'!B46</f>
        <v>809</v>
      </c>
      <c r="H15" s="253">
        <f>B15/G15</f>
        <v>0.34235970333745364</v>
      </c>
    </row>
    <row r="16" spans="1:8" s="246" customFormat="1" ht="12">
      <c r="A16" s="246">
        <f t="shared" ref="A16:A24" si="3">A3</f>
        <v>1</v>
      </c>
      <c r="B16" s="247">
        <f t="shared" ref="B16:B25" si="4">H3</f>
        <v>339.11237360000001</v>
      </c>
      <c r="C16" s="247">
        <f>B3-B2</f>
        <v>766.61176470588225</v>
      </c>
      <c r="D16" s="251">
        <f>'Valuation output'!C45</f>
        <v>1.2</v>
      </c>
      <c r="E16" s="247">
        <f>C16/D16</f>
        <v>638.84313725490188</v>
      </c>
      <c r="F16" s="247">
        <f>B16-E16</f>
        <v>-299.73076365490186</v>
      </c>
      <c r="G16" s="247">
        <f>G15+E16</f>
        <v>1447.8431372549019</v>
      </c>
      <c r="H16" s="253">
        <f t="shared" ref="H16:H25" si="5">B16/G16</f>
        <v>0.23421900126760564</v>
      </c>
    </row>
    <row r="17" spans="1:8" s="246" customFormat="1" ht="12">
      <c r="A17" s="246">
        <f t="shared" si="3"/>
        <v>2</v>
      </c>
      <c r="B17" s="247">
        <f t="shared" si="4"/>
        <v>413.61456135999998</v>
      </c>
      <c r="C17" s="247">
        <f t="shared" ref="C17:C25" si="6">B4-B3</f>
        <v>721.51695501730092</v>
      </c>
      <c r="D17" s="251">
        <f>'Valuation output'!D45</f>
        <v>1.2</v>
      </c>
      <c r="E17" s="247">
        <f t="shared" ref="E17:E25" si="7">C17/D17</f>
        <v>601.26412918108417</v>
      </c>
      <c r="F17" s="247">
        <f t="shared" ref="F17:F25" si="8">B17-E17</f>
        <v>-187.64956782108419</v>
      </c>
      <c r="G17" s="247">
        <f t="shared" ref="G17:G25" si="9">G16+E17</f>
        <v>2049.1072664359863</v>
      </c>
      <c r="H17" s="253">
        <f t="shared" si="5"/>
        <v>0.20185110273870635</v>
      </c>
    </row>
    <row r="18" spans="1:8" s="246" customFormat="1" ht="12">
      <c r="A18" s="246">
        <f t="shared" si="3"/>
        <v>3</v>
      </c>
      <c r="B18" s="247">
        <f t="shared" si="4"/>
        <v>502.29794815199995</v>
      </c>
      <c r="C18" s="247">
        <f t="shared" si="6"/>
        <v>679.07478119275402</v>
      </c>
      <c r="D18" s="251">
        <f>'Valuation output'!E45</f>
        <v>1.2</v>
      </c>
      <c r="E18" s="247">
        <f t="shared" si="7"/>
        <v>565.89565099396168</v>
      </c>
      <c r="F18" s="247">
        <f t="shared" si="8"/>
        <v>-63.597702841961734</v>
      </c>
      <c r="G18" s="247">
        <f t="shared" si="9"/>
        <v>2615.002917429948</v>
      </c>
      <c r="H18" s="253">
        <f t="shared" si="5"/>
        <v>0.19208313107568675</v>
      </c>
    </row>
    <row r="19" spans="1:8" s="246" customFormat="1" ht="12">
      <c r="A19" s="246">
        <f t="shared" si="3"/>
        <v>4</v>
      </c>
      <c r="B19" s="247">
        <f t="shared" si="4"/>
        <v>583.62120816999993</v>
      </c>
      <c r="C19" s="247">
        <f t="shared" si="6"/>
        <v>639.12920582847437</v>
      </c>
      <c r="D19" s="251">
        <f>'Valuation output'!F45</f>
        <v>1.2</v>
      </c>
      <c r="E19" s="247">
        <f t="shared" si="7"/>
        <v>532.60767152372864</v>
      </c>
      <c r="F19" s="247">
        <f t="shared" si="8"/>
        <v>51.013536646271291</v>
      </c>
      <c r="G19" s="247">
        <f t="shared" si="9"/>
        <v>3147.6105889536766</v>
      </c>
      <c r="H19" s="253">
        <f t="shared" si="5"/>
        <v>0.18541722099238658</v>
      </c>
    </row>
    <row r="20" spans="1:8" s="246" customFormat="1" ht="12">
      <c r="A20" s="246">
        <f t="shared" si="3"/>
        <v>5</v>
      </c>
      <c r="B20" s="247">
        <f t="shared" si="4"/>
        <v>674.21247643749996</v>
      </c>
      <c r="C20" s="247">
        <f t="shared" si="6"/>
        <v>601.53337019150513</v>
      </c>
      <c r="D20" s="251">
        <f>'Valuation output'!G45</f>
        <v>1.2</v>
      </c>
      <c r="E20" s="247">
        <f t="shared" si="7"/>
        <v>501.27780849292094</v>
      </c>
      <c r="F20" s="247">
        <f t="shared" si="8"/>
        <v>172.93466794457902</v>
      </c>
      <c r="G20" s="247">
        <f t="shared" si="9"/>
        <v>3648.8883974465975</v>
      </c>
      <c r="H20" s="253">
        <f t="shared" si="5"/>
        <v>0.18477201903716686</v>
      </c>
    </row>
    <row r="21" spans="1:8" s="246" customFormat="1" ht="12">
      <c r="A21" s="246">
        <f t="shared" si="3"/>
        <v>6</v>
      </c>
      <c r="B21" s="247">
        <f t="shared" si="4"/>
        <v>790.52407863000008</v>
      </c>
      <c r="C21" s="247">
        <f t="shared" si="6"/>
        <v>566.14905429788723</v>
      </c>
      <c r="D21" s="251">
        <f>'Valuation output'!H45</f>
        <v>0.79999999999999993</v>
      </c>
      <c r="E21" s="247">
        <f t="shared" si="7"/>
        <v>707.68631787235915</v>
      </c>
      <c r="F21" s="247">
        <f t="shared" si="8"/>
        <v>82.837760757640922</v>
      </c>
      <c r="G21" s="247">
        <f t="shared" si="9"/>
        <v>4356.5747153189568</v>
      </c>
      <c r="H21" s="253">
        <f t="shared" si="5"/>
        <v>0.18145541630453219</v>
      </c>
    </row>
    <row r="22" spans="1:8" s="246" customFormat="1" ht="12">
      <c r="A22" s="246">
        <f t="shared" si="3"/>
        <v>7</v>
      </c>
      <c r="B22" s="247">
        <f t="shared" si="4"/>
        <v>926.39182264200008</v>
      </c>
      <c r="C22" s="247">
        <f t="shared" si="6"/>
        <v>532.84616875095253</v>
      </c>
      <c r="D22" s="251">
        <f>'Valuation output'!I45</f>
        <v>0.79999999999999993</v>
      </c>
      <c r="E22" s="247">
        <f t="shared" si="7"/>
        <v>666.05771093869066</v>
      </c>
      <c r="F22" s="247">
        <f t="shared" si="8"/>
        <v>260.33411170330942</v>
      </c>
      <c r="G22" s="247">
        <f t="shared" si="9"/>
        <v>5022.6324262576472</v>
      </c>
      <c r="H22" s="253">
        <f t="shared" si="5"/>
        <v>0.1844434838191519</v>
      </c>
    </row>
    <row r="23" spans="1:8" s="246" customFormat="1" ht="12">
      <c r="A23" s="246">
        <f t="shared" si="3"/>
        <v>8</v>
      </c>
      <c r="B23" s="247">
        <f t="shared" si="4"/>
        <v>1039.7779635672</v>
      </c>
      <c r="C23" s="247">
        <f t="shared" si="6"/>
        <v>501.50227647148495</v>
      </c>
      <c r="D23" s="251">
        <f>'Valuation output'!J45</f>
        <v>0.79999999999999993</v>
      </c>
      <c r="E23" s="247">
        <f t="shared" si="7"/>
        <v>626.87784558935618</v>
      </c>
      <c r="F23" s="247">
        <f t="shared" si="8"/>
        <v>412.90011797784382</v>
      </c>
      <c r="G23" s="247">
        <f t="shared" si="9"/>
        <v>5649.5102718470034</v>
      </c>
      <c r="H23" s="253">
        <f t="shared" si="5"/>
        <v>0.18404745075846438</v>
      </c>
    </row>
    <row r="24" spans="1:8" s="246" customFormat="1" ht="12">
      <c r="A24" s="246">
        <f t="shared" si="3"/>
        <v>9</v>
      </c>
      <c r="B24" s="247">
        <f t="shared" si="4"/>
        <v>1117.6542748679021</v>
      </c>
      <c r="C24" s="247">
        <f t="shared" si="6"/>
        <v>472.0021425613977</v>
      </c>
      <c r="D24" s="251">
        <f>'Valuation output'!K45</f>
        <v>0.79999999999999993</v>
      </c>
      <c r="E24" s="247">
        <f t="shared" si="7"/>
        <v>590.00267820174713</v>
      </c>
      <c r="F24" s="247">
        <f t="shared" si="8"/>
        <v>527.651596666155</v>
      </c>
      <c r="G24" s="247">
        <f t="shared" si="9"/>
        <v>6239.512950048751</v>
      </c>
      <c r="H24" s="253">
        <f t="shared" si="5"/>
        <v>0.17912524323860399</v>
      </c>
    </row>
    <row r="25" spans="1:8" s="246" customFormat="1" ht="12">
      <c r="A25" s="246">
        <f>A12</f>
        <v>10</v>
      </c>
      <c r="B25" s="247">
        <f t="shared" si="4"/>
        <v>1200.5995037409944</v>
      </c>
      <c r="C25" s="247">
        <f t="shared" si="6"/>
        <v>2611.6426012950496</v>
      </c>
      <c r="D25" s="251">
        <f>'Valuation output'!L45</f>
        <v>0.79999999999999993</v>
      </c>
      <c r="E25" s="247">
        <f t="shared" si="7"/>
        <v>3264.5532516188123</v>
      </c>
      <c r="F25" s="247">
        <f t="shared" si="8"/>
        <v>-2063.9537478778179</v>
      </c>
      <c r="G25" s="247">
        <f t="shared" si="9"/>
        <v>9504.0662016675633</v>
      </c>
      <c r="H25" s="253">
        <f t="shared" si="5"/>
        <v>0.12632482542370546</v>
      </c>
    </row>
    <row r="26" spans="1:8" s="246" customFormat="1" thickBot="1"/>
    <row r="27" spans="1:8" s="246" customFormat="1" ht="31" thickBot="1">
      <c r="A27" s="245" t="s">
        <v>116</v>
      </c>
      <c r="B27" s="245" t="s">
        <v>473</v>
      </c>
      <c r="C27" s="245" t="s">
        <v>573</v>
      </c>
      <c r="D27" s="245" t="s">
        <v>574</v>
      </c>
      <c r="E27" s="245" t="s">
        <v>575</v>
      </c>
      <c r="F27" s="245" t="s">
        <v>576</v>
      </c>
      <c r="G27" s="245" t="s">
        <v>577</v>
      </c>
      <c r="H27" s="245" t="s">
        <v>578</v>
      </c>
    </row>
    <row r="28" spans="1:8">
      <c r="A28">
        <f>A16</f>
        <v>1</v>
      </c>
      <c r="H28" s="241">
        <f>'Valuation output'!C19</f>
        <v>0.12</v>
      </c>
    </row>
    <row r="29" spans="1:8">
      <c r="A29">
        <f t="shared" ref="A29:A37" si="10">A17</f>
        <v>2</v>
      </c>
      <c r="H29" s="241">
        <f>'Valuation output'!D19</f>
        <v>0.12</v>
      </c>
    </row>
    <row r="30" spans="1:8">
      <c r="A30">
        <f t="shared" si="10"/>
        <v>3</v>
      </c>
      <c r="H30" s="241">
        <f>'Valuation output'!E19</f>
        <v>0.12</v>
      </c>
    </row>
    <row r="31" spans="1:8">
      <c r="A31">
        <f t="shared" si="10"/>
        <v>4</v>
      </c>
      <c r="H31" s="241">
        <f>'Valuation output'!F19</f>
        <v>0.12</v>
      </c>
    </row>
    <row r="32" spans="1:8">
      <c r="A32">
        <f t="shared" si="10"/>
        <v>5</v>
      </c>
      <c r="H32" s="241">
        <f>'Valuation output'!G19</f>
        <v>0.12</v>
      </c>
    </row>
    <row r="33" spans="1:8">
      <c r="A33">
        <f t="shared" si="10"/>
        <v>6</v>
      </c>
      <c r="H33" s="241">
        <f>'Valuation output'!H19</f>
        <v>0.12</v>
      </c>
    </row>
    <row r="34" spans="1:8">
      <c r="A34">
        <f t="shared" si="10"/>
        <v>7</v>
      </c>
      <c r="H34" s="241">
        <f>'Valuation output'!I19</f>
        <v>0.12</v>
      </c>
    </row>
    <row r="35" spans="1:8">
      <c r="A35">
        <f t="shared" si="10"/>
        <v>8</v>
      </c>
      <c r="H35" s="241">
        <f>'Valuation output'!J19</f>
        <v>0.12</v>
      </c>
    </row>
    <row r="36" spans="1:8">
      <c r="A36">
        <f t="shared" si="10"/>
        <v>9</v>
      </c>
      <c r="H36" s="241">
        <f>'Valuation output'!K19</f>
        <v>0.12</v>
      </c>
    </row>
    <row r="37" spans="1:8">
      <c r="A37">
        <f t="shared" si="10"/>
        <v>10</v>
      </c>
      <c r="H37" s="241">
        <f>'Valuation output'!L19</f>
        <v>0.12</v>
      </c>
    </row>
    <row r="38" spans="1:8" ht="14" thickBot="1"/>
    <row r="39" spans="1:8" ht="31" thickBot="1">
      <c r="A39" s="245" t="s">
        <v>116</v>
      </c>
      <c r="B39" s="245" t="s">
        <v>578</v>
      </c>
      <c r="C39" s="245" t="s">
        <v>581</v>
      </c>
      <c r="D39" s="245" t="s">
        <v>16</v>
      </c>
      <c r="E39" s="245" t="s">
        <v>582</v>
      </c>
      <c r="F39" s="245" t="s">
        <v>126</v>
      </c>
    </row>
    <row r="40" spans="1:8">
      <c r="A40">
        <f>A28</f>
        <v>1</v>
      </c>
      <c r="B40" s="254">
        <f>H28</f>
        <v>0.12</v>
      </c>
      <c r="C40" s="255">
        <f>(1+'Summary Sheet'!B40)</f>
        <v>1.1200000000000001</v>
      </c>
      <c r="D40" s="249">
        <f>F16</f>
        <v>-299.73076365490186</v>
      </c>
      <c r="F40" s="249">
        <f>D40/C40</f>
        <v>-267.61675326330521</v>
      </c>
    </row>
    <row r="41" spans="1:8">
      <c r="A41">
        <f t="shared" ref="A41:A49" si="11">A29</f>
        <v>2</v>
      </c>
      <c r="B41" s="254">
        <f t="shared" ref="B41:B49" si="12">H29</f>
        <v>0.12</v>
      </c>
      <c r="C41" s="255">
        <f>C40*(1+B41)</f>
        <v>1.2544000000000002</v>
      </c>
      <c r="D41" s="249">
        <f t="shared" ref="D41:D49" si="13">F17</f>
        <v>-187.64956782108419</v>
      </c>
      <c r="F41" s="249">
        <f t="shared" ref="F41:F48" si="14">D41/C41</f>
        <v>-149.59308659206326</v>
      </c>
    </row>
    <row r="42" spans="1:8">
      <c r="A42">
        <f t="shared" si="11"/>
        <v>3</v>
      </c>
      <c r="B42" s="254">
        <f t="shared" si="12"/>
        <v>0.12</v>
      </c>
      <c r="C42" s="255">
        <f t="shared" ref="C42:C49" si="15">C41*(1+B42)</f>
        <v>1.4049280000000004</v>
      </c>
      <c r="D42" s="249">
        <f t="shared" si="13"/>
        <v>-63.597702841961734</v>
      </c>
      <c r="F42" s="249">
        <f t="shared" si="14"/>
        <v>-45.267588689215188</v>
      </c>
    </row>
    <row r="43" spans="1:8">
      <c r="A43">
        <f t="shared" si="11"/>
        <v>4</v>
      </c>
      <c r="B43" s="254">
        <f t="shared" si="12"/>
        <v>0.12</v>
      </c>
      <c r="C43" s="255">
        <f t="shared" si="15"/>
        <v>1.5735193600000006</v>
      </c>
      <c r="D43" s="249">
        <f t="shared" si="13"/>
        <v>51.013536646271291</v>
      </c>
      <c r="F43" s="249">
        <f t="shared" si="14"/>
        <v>32.420024782072765</v>
      </c>
    </row>
    <row r="44" spans="1:8">
      <c r="A44">
        <f t="shared" si="11"/>
        <v>5</v>
      </c>
      <c r="B44" s="254">
        <f t="shared" si="12"/>
        <v>0.12</v>
      </c>
      <c r="C44" s="255">
        <f t="shared" si="15"/>
        <v>1.7623416832000007</v>
      </c>
      <c r="D44" s="249">
        <f t="shared" si="13"/>
        <v>172.93466794457902</v>
      </c>
      <c r="F44" s="249">
        <f t="shared" si="14"/>
        <v>98.127774876532499</v>
      </c>
    </row>
    <row r="45" spans="1:8">
      <c r="A45">
        <f t="shared" si="11"/>
        <v>6</v>
      </c>
      <c r="B45" s="254">
        <f t="shared" si="12"/>
        <v>0.12</v>
      </c>
      <c r="C45" s="255">
        <f t="shared" si="15"/>
        <v>1.9738226851840011</v>
      </c>
      <c r="D45" s="249">
        <f t="shared" si="13"/>
        <v>82.837760757640922</v>
      </c>
      <c r="F45" s="249">
        <f t="shared" si="14"/>
        <v>41.968187608462273</v>
      </c>
    </row>
    <row r="46" spans="1:8">
      <c r="A46">
        <f t="shared" si="11"/>
        <v>7</v>
      </c>
      <c r="B46" s="254">
        <f t="shared" si="12"/>
        <v>0.12</v>
      </c>
      <c r="C46" s="255">
        <f t="shared" si="15"/>
        <v>2.2106814074060814</v>
      </c>
      <c r="D46" s="249">
        <f t="shared" si="13"/>
        <v>260.33411170330942</v>
      </c>
      <c r="F46" s="249">
        <f t="shared" si="14"/>
        <v>117.76193115441916</v>
      </c>
    </row>
    <row r="47" spans="1:8">
      <c r="A47">
        <f t="shared" si="11"/>
        <v>8</v>
      </c>
      <c r="B47" s="254">
        <f t="shared" si="12"/>
        <v>0.12</v>
      </c>
      <c r="C47" s="255">
        <f t="shared" si="15"/>
        <v>2.4759631762948113</v>
      </c>
      <c r="D47" s="249">
        <f t="shared" si="13"/>
        <v>412.90011797784382</v>
      </c>
      <c r="F47" s="249">
        <f t="shared" si="14"/>
        <v>166.76343248195388</v>
      </c>
    </row>
    <row r="48" spans="1:8">
      <c r="A48">
        <f t="shared" si="11"/>
        <v>9</v>
      </c>
      <c r="B48" s="254">
        <f t="shared" si="12"/>
        <v>0.12</v>
      </c>
      <c r="C48" s="255">
        <f t="shared" si="15"/>
        <v>2.7730787574501892</v>
      </c>
      <c r="D48" s="249">
        <f t="shared" si="13"/>
        <v>527.651596666155</v>
      </c>
      <c r="F48" s="249">
        <f t="shared" si="14"/>
        <v>190.27645545535245</v>
      </c>
    </row>
    <row r="49" spans="1:6">
      <c r="A49">
        <f t="shared" si="11"/>
        <v>10</v>
      </c>
      <c r="B49" s="254">
        <f t="shared" si="12"/>
        <v>0.12</v>
      </c>
      <c r="C49" s="255">
        <f t="shared" si="15"/>
        <v>3.105848208344212</v>
      </c>
      <c r="D49" s="249">
        <f t="shared" si="13"/>
        <v>-2063.9537478778179</v>
      </c>
      <c r="E49" s="249">
        <f>'Valuation output'!B25</f>
        <v>39315.001733959951</v>
      </c>
      <c r="F49" s="249">
        <f>(D49+E49)/C49</f>
        <v>11993.84048647419</v>
      </c>
    </row>
    <row r="50" spans="1:6">
      <c r="A50" t="s">
        <v>42</v>
      </c>
      <c r="F50" s="249">
        <f>SUM(F40:F49)</f>
        <v>12178.680864288399</v>
      </c>
    </row>
  </sheetData>
  <pageMargins left="0.75" right="0.75" top="1" bottom="1"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58</v>
      </c>
      <c r="B1" s="6"/>
    </row>
    <row r="2" spans="1:7" ht="14">
      <c r="A2" s="8" t="s">
        <v>59</v>
      </c>
      <c r="B2" s="8"/>
      <c r="D2" s="28">
        <f>'Valuation output'!B40</f>
        <v>81.174195180737343</v>
      </c>
    </row>
    <row r="3" spans="1:7" ht="14">
      <c r="A3" s="8" t="s">
        <v>60</v>
      </c>
      <c r="B3" s="8"/>
      <c r="D3" s="9">
        <f>'Input sheet'!B42</f>
        <v>0</v>
      </c>
    </row>
    <row r="4" spans="1:7" ht="14">
      <c r="A4" s="8" t="s">
        <v>61</v>
      </c>
      <c r="B4" s="8"/>
      <c r="D4" s="12">
        <f>'Input sheet'!B43</f>
        <v>0</v>
      </c>
    </row>
    <row r="5" spans="1:7" ht="14">
      <c r="A5" s="8" t="s">
        <v>62</v>
      </c>
      <c r="B5" s="8"/>
      <c r="D5" s="10">
        <f>'Input sheet'!B44</f>
        <v>0</v>
      </c>
      <c r="E5" s="8" t="s">
        <v>63</v>
      </c>
    </row>
    <row r="6" spans="1:7" ht="14">
      <c r="A6" s="8" t="s">
        <v>64</v>
      </c>
      <c r="B6" s="8"/>
      <c r="D6" s="11">
        <v>0</v>
      </c>
    </row>
    <row r="7" spans="1:7" ht="14">
      <c r="A7" s="8" t="s">
        <v>65</v>
      </c>
      <c r="B7" s="8"/>
      <c r="D7" s="11">
        <f>'Input sheet'!B37</f>
        <v>3.7999999999999999E-2</v>
      </c>
    </row>
    <row r="8" spans="1:7" ht="14">
      <c r="A8" s="8" t="s">
        <v>66</v>
      </c>
      <c r="B8" s="8"/>
      <c r="D8" s="12">
        <f>'Input sheet'!B41</f>
        <v>0</v>
      </c>
    </row>
    <row r="9" spans="1:7" ht="14">
      <c r="A9" s="8" t="s">
        <v>67</v>
      </c>
      <c r="B9" s="8"/>
      <c r="D9" s="13">
        <f>'Input sheet'!B20</f>
        <v>177</v>
      </c>
    </row>
    <row r="10" spans="1:7" ht="14">
      <c r="A10" s="8"/>
      <c r="B10" s="8"/>
    </row>
    <row r="11" spans="1:7" s="16" customFormat="1" ht="14">
      <c r="A11" s="14" t="s">
        <v>68</v>
      </c>
      <c r="B11" s="15"/>
    </row>
    <row r="12" spans="1:7" s="8" customFormat="1">
      <c r="A12" s="17" t="s">
        <v>69</v>
      </c>
    </row>
    <row r="13" spans="1:7" s="8" customFormat="1">
      <c r="A13" s="8" t="s">
        <v>70</v>
      </c>
      <c r="C13" s="18">
        <f>D2</f>
        <v>81.174195180737343</v>
      </c>
      <c r="D13" s="8" t="s">
        <v>71</v>
      </c>
      <c r="F13" s="19">
        <f>D8</f>
        <v>0</v>
      </c>
      <c r="G13" s="20"/>
    </row>
    <row r="14" spans="1:7" s="8" customFormat="1">
      <c r="A14" s="8" t="s">
        <v>72</v>
      </c>
      <c r="C14" s="18">
        <f>D3</f>
        <v>0</v>
      </c>
      <c r="D14" s="8" t="s">
        <v>73</v>
      </c>
      <c r="F14" s="21">
        <f>D9</f>
        <v>177</v>
      </c>
      <c r="G14" s="20"/>
    </row>
    <row r="15" spans="1:7" s="8" customFormat="1">
      <c r="A15" s="8" t="s">
        <v>74</v>
      </c>
      <c r="C15" s="18" t="e">
        <f ca="1">(C13*F14+C26*F13)/(F14+F13)</f>
        <v>#DIV/0!</v>
      </c>
      <c r="D15" s="8" t="s">
        <v>75</v>
      </c>
      <c r="F15" s="22">
        <f>D7</f>
        <v>3.7999999999999999E-2</v>
      </c>
    </row>
    <row r="16" spans="1:7" s="8" customFormat="1">
      <c r="A16" s="8" t="s">
        <v>76</v>
      </c>
      <c r="C16" s="18">
        <f>C14</f>
        <v>0</v>
      </c>
      <c r="D16" s="8" t="s">
        <v>77</v>
      </c>
      <c r="F16" s="23">
        <f>D5^2</f>
        <v>0</v>
      </c>
    </row>
    <row r="17" spans="1:7" s="8" customFormat="1">
      <c r="A17" s="8" t="s">
        <v>78</v>
      </c>
      <c r="C17" s="18">
        <f>D4</f>
        <v>0</v>
      </c>
      <c r="D17" s="8" t="s">
        <v>79</v>
      </c>
      <c r="F17" s="22">
        <f>D6</f>
        <v>0</v>
      </c>
    </row>
    <row r="18" spans="1:7" s="8" customFormat="1">
      <c r="C18" s="17"/>
      <c r="D18" s="8" t="s">
        <v>80</v>
      </c>
      <c r="F18" s="24">
        <f>F15-F17</f>
        <v>3.7999999999999999E-2</v>
      </c>
    </row>
    <row r="19" spans="1:7" s="8" customFormat="1"/>
    <row r="20" spans="1:7" s="8" customFormat="1">
      <c r="A20" s="8" t="s">
        <v>81</v>
      </c>
      <c r="B20" s="19" t="e">
        <f ca="1">(LN(C15/C16)+(F18+(F16/2))*C17)/(((F16)^(0.5))*(C17^0.5))</f>
        <v>#DIV/0!</v>
      </c>
    </row>
    <row r="21" spans="1:7" s="8" customFormat="1">
      <c r="A21" s="8" t="s">
        <v>82</v>
      </c>
      <c r="B21" s="19" t="e">
        <f ca="1">NORMSDIST(B20)</f>
        <v>#DIV/0!</v>
      </c>
    </row>
    <row r="22" spans="1:7" s="8" customFormat="1"/>
    <row r="23" spans="1:7" s="8" customFormat="1" ht="15.75" customHeight="1">
      <c r="A23" s="8" t="s">
        <v>83</v>
      </c>
      <c r="B23" s="19" t="e">
        <f ca="1">B20-((F16^0.5)*(C17^(0.5)))</f>
        <v>#DIV/0!</v>
      </c>
    </row>
    <row r="24" spans="1:7" s="8" customFormat="1">
      <c r="A24" s="8" t="s">
        <v>84</v>
      </c>
      <c r="B24" s="19" t="e">
        <f ca="1">NORMSDIST(B23)</f>
        <v>#DIV/0!</v>
      </c>
    </row>
    <row r="25" spans="1:7" ht="15" thickBot="1">
      <c r="A25" s="8"/>
      <c r="B25" s="8"/>
    </row>
    <row r="26" spans="1:7" s="8" customFormat="1" ht="14" thickBot="1">
      <c r="A26" s="8" t="s">
        <v>85</v>
      </c>
      <c r="C26" s="25" t="e">
        <f ca="1">((EXP((0-F17)*C17))*C15*B21-C16*(EXP((0-F15)*C17))*B24)</f>
        <v>#DIV/0!</v>
      </c>
      <c r="G26" s="26"/>
    </row>
    <row r="27" spans="1:7" s="8" customFormat="1" ht="14" thickBot="1">
      <c r="A27" s="8" t="s">
        <v>86</v>
      </c>
      <c r="D27" s="27" t="e">
        <f ca="1">C26*D8</f>
        <v>#DIV/0!</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19" workbookViewId="0">
      <selection activeCell="E34" sqref="E34"/>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397" t="s">
        <v>633</v>
      </c>
      <c r="B1" s="397"/>
      <c r="C1" s="397"/>
      <c r="D1" s="397"/>
      <c r="E1" s="397"/>
      <c r="F1" s="397"/>
      <c r="G1" s="397"/>
      <c r="H1" s="397"/>
      <c r="I1" s="397"/>
      <c r="J1" s="397"/>
      <c r="K1" s="397"/>
    </row>
    <row r="2" spans="1:17">
      <c r="A2" s="397"/>
      <c r="B2" s="397"/>
      <c r="C2" s="397"/>
      <c r="D2" s="397"/>
      <c r="E2" s="397"/>
      <c r="F2" s="397"/>
      <c r="G2" s="397"/>
      <c r="H2" s="397"/>
      <c r="I2" s="397"/>
      <c r="J2" s="397"/>
      <c r="K2" s="397"/>
    </row>
    <row r="3" spans="1:17" s="95" customFormat="1" ht="18">
      <c r="A3" s="95" t="s">
        <v>179</v>
      </c>
      <c r="B3" s="214"/>
      <c r="C3" s="208"/>
      <c r="G3" s="108" t="s">
        <v>508</v>
      </c>
    </row>
    <row r="4" spans="1:17" s="14" customFormat="1" ht="15" customHeight="1">
      <c r="A4" s="14" t="s">
        <v>6</v>
      </c>
      <c r="B4" s="213"/>
      <c r="C4" s="208"/>
      <c r="G4" s="140" t="s">
        <v>350</v>
      </c>
      <c r="H4" s="140" t="s">
        <v>11</v>
      </c>
      <c r="I4" s="140" t="s">
        <v>377</v>
      </c>
      <c r="J4" s="140" t="s">
        <v>379</v>
      </c>
      <c r="K4" s="140" t="s">
        <v>378</v>
      </c>
    </row>
    <row r="5" spans="1:17" s="8" customFormat="1" ht="15" customHeight="1">
      <c r="A5" s="17" t="s">
        <v>180</v>
      </c>
      <c r="G5" s="138" t="s">
        <v>376</v>
      </c>
      <c r="H5" s="272"/>
      <c r="I5" s="102">
        <f>IF(H5=0,0,VLOOKUP(G5,'Country equity risk premiums'!$A$5:$D$190,4))</f>
        <v>0</v>
      </c>
      <c r="J5" s="102">
        <f t="shared" ref="J5:J12" si="0">IF(H5&gt;0,H5/$H$18,)</f>
        <v>0</v>
      </c>
      <c r="K5" s="102">
        <f t="shared" ref="K5:K12" si="1">IF(J5=0,0,I5*J5)</f>
        <v>0</v>
      </c>
      <c r="M5" s="396" t="s">
        <v>561</v>
      </c>
      <c r="N5" s="396"/>
      <c r="O5" s="396"/>
      <c r="P5" s="396"/>
      <c r="Q5" s="396"/>
    </row>
    <row r="6" spans="1:17" s="8" customFormat="1" ht="15" customHeight="1">
      <c r="A6" s="8" t="s">
        <v>181</v>
      </c>
      <c r="B6" s="99">
        <f>'Input sheet'!B20</f>
        <v>177</v>
      </c>
      <c r="G6" s="138" t="s">
        <v>269</v>
      </c>
      <c r="H6" s="272"/>
      <c r="I6" s="102">
        <f>IF(H6=0,0,VLOOKUP(G6,'Country equity risk premiums'!$A$5:$D$190,4))</f>
        <v>0</v>
      </c>
      <c r="J6" s="102">
        <f t="shared" si="0"/>
        <v>0</v>
      </c>
      <c r="K6" s="102">
        <f t="shared" si="1"/>
        <v>0</v>
      </c>
      <c r="M6" s="396"/>
      <c r="N6" s="396"/>
      <c r="O6" s="396"/>
      <c r="P6" s="396"/>
      <c r="Q6" s="396"/>
    </row>
    <row r="7" spans="1:17" s="8" customFormat="1" ht="15" customHeight="1">
      <c r="A7" s="8" t="s">
        <v>182</v>
      </c>
      <c r="B7" s="100">
        <f>'Input sheet'!B21</f>
        <v>20.16</v>
      </c>
      <c r="G7" s="138"/>
      <c r="H7" s="272"/>
      <c r="I7" s="102">
        <f>IF(H7=0,0,VLOOKUP(G7,'Country equity risk premiums'!$A$5:$D$190,4))</f>
        <v>0</v>
      </c>
      <c r="J7" s="102">
        <f t="shared" si="0"/>
        <v>0</v>
      </c>
      <c r="K7" s="102">
        <f t="shared" si="1"/>
        <v>0</v>
      </c>
      <c r="M7" s="396"/>
      <c r="N7" s="396"/>
      <c r="O7" s="396"/>
      <c r="P7" s="396"/>
      <c r="Q7" s="396"/>
    </row>
    <row r="8" spans="1:17" s="8" customFormat="1" ht="15" customHeight="1">
      <c r="G8" s="138"/>
      <c r="H8" s="272"/>
      <c r="I8" s="102">
        <f>IF(H8=0,0,VLOOKUP(G8,'Country equity risk premiums'!$A$5:$D$190,4))</f>
        <v>0</v>
      </c>
      <c r="J8" s="102">
        <f t="shared" si="0"/>
        <v>0</v>
      </c>
      <c r="K8" s="102">
        <f t="shared" si="1"/>
        <v>0</v>
      </c>
      <c r="M8" s="396"/>
      <c r="N8" s="396"/>
      <c r="O8" s="396"/>
      <c r="P8" s="396"/>
      <c r="Q8" s="396"/>
    </row>
    <row r="9" spans="1:17" s="8" customFormat="1" ht="15" customHeight="1">
      <c r="A9" s="8" t="s">
        <v>472</v>
      </c>
      <c r="B9" s="138" t="s">
        <v>477</v>
      </c>
      <c r="G9" s="138"/>
      <c r="H9" s="138"/>
      <c r="I9" s="102">
        <f>IF(H9=0,0,VLOOKUP(G9,'Country equity risk premiums'!$A$5:$D$190,4))</f>
        <v>0</v>
      </c>
      <c r="J9" s="102">
        <f t="shared" si="0"/>
        <v>0</v>
      </c>
      <c r="K9" s="102">
        <f t="shared" si="1"/>
        <v>0</v>
      </c>
      <c r="M9" s="396"/>
      <c r="N9" s="396"/>
      <c r="O9" s="396"/>
      <c r="P9" s="396"/>
      <c r="Q9" s="396"/>
    </row>
    <row r="10" spans="1:17" s="8" customFormat="1" ht="15" customHeight="1">
      <c r="A10" s="8" t="s">
        <v>474</v>
      </c>
      <c r="B10" s="209">
        <v>1.2</v>
      </c>
      <c r="G10" s="138"/>
      <c r="H10" s="138"/>
      <c r="I10" s="102">
        <f>IF(H10=0,0,VLOOKUP(G10,'Country equity risk premiums'!$A$5:$D$190,4))</f>
        <v>0</v>
      </c>
      <c r="J10" s="102">
        <f t="shared" si="0"/>
        <v>0</v>
      </c>
      <c r="K10" s="102">
        <f t="shared" si="1"/>
        <v>0</v>
      </c>
      <c r="M10" s="396"/>
      <c r="N10" s="396"/>
      <c r="O10" s="396"/>
      <c r="P10" s="396"/>
      <c r="Q10" s="396"/>
    </row>
    <row r="11" spans="1:17" s="8" customFormat="1" ht="15" customHeight="1">
      <c r="A11" s="8" t="s">
        <v>207</v>
      </c>
      <c r="B11" s="143" t="e">
        <f>IF(B9="Single Business(US)",VLOOKUP('Input sheet'!B6,'Industry Average Beta (US)'!A2:G95,7),IF(B9="Multibusiness(US)",K48,IF(B9="Single Business(Global)",VLOOKUP('Input sheet'!B7,'Industry Average Beta (Global)'!A2:G95,7),'Cost of capital worksheet'!K64)))</f>
        <v>#DIV/0!</v>
      </c>
      <c r="G11" s="138"/>
      <c r="H11" s="138"/>
      <c r="I11" s="102">
        <f>IF(H11=0,0,VLOOKUP(G11,'Country equity risk premiums'!$A$5:$D$190,4))</f>
        <v>0</v>
      </c>
      <c r="J11" s="102">
        <f t="shared" si="0"/>
        <v>0</v>
      </c>
      <c r="K11" s="102">
        <f t="shared" si="1"/>
        <v>0</v>
      </c>
      <c r="M11" s="396"/>
      <c r="N11" s="396"/>
      <c r="O11" s="396"/>
      <c r="P11" s="396"/>
      <c r="Q11" s="396"/>
    </row>
    <row r="12" spans="1:17" s="8" customFormat="1" ht="15" customHeight="1">
      <c r="A12" s="8" t="s">
        <v>183</v>
      </c>
      <c r="B12" s="104">
        <f>'Input sheet'!B37</f>
        <v>3.7999999999999999E-2</v>
      </c>
      <c r="G12" s="138"/>
      <c r="H12" s="138"/>
      <c r="I12" s="102">
        <f>IF(H12=0,0,VLOOKUP(G12,'Country equity risk premiums'!$A$5:$D$190,4))</f>
        <v>0</v>
      </c>
      <c r="J12" s="102">
        <f t="shared" si="0"/>
        <v>0</v>
      </c>
      <c r="K12" s="102">
        <f t="shared" si="1"/>
        <v>0</v>
      </c>
      <c r="M12" s="396"/>
      <c r="N12" s="396"/>
      <c r="O12" s="396"/>
      <c r="P12" s="396"/>
      <c r="Q12" s="396"/>
    </row>
    <row r="13" spans="1:17" s="8" customFormat="1" ht="15" customHeight="1">
      <c r="A13" s="8" t="s">
        <v>438</v>
      </c>
      <c r="B13" s="202" t="s">
        <v>441</v>
      </c>
      <c r="G13" s="138"/>
      <c r="H13" s="138"/>
      <c r="I13" s="102">
        <f>IF(H13=0,0,VLOOKUP(G13,'Country equity risk premiums'!$A$5:$D$190,4))</f>
        <v>0</v>
      </c>
      <c r="J13" s="102">
        <f>IF(H13&gt;0,H13/$H$18,)</f>
        <v>0</v>
      </c>
      <c r="K13" s="102">
        <f>IF(J13=0,0,I13*J13)</f>
        <v>0</v>
      </c>
      <c r="M13" s="396"/>
      <c r="N13" s="396"/>
      <c r="O13" s="396"/>
      <c r="P13" s="396"/>
      <c r="Q13" s="396"/>
    </row>
    <row r="14" spans="1:17" s="8" customFormat="1" ht="15" customHeight="1">
      <c r="A14" s="8" t="s">
        <v>444</v>
      </c>
      <c r="B14" s="202">
        <v>0.06</v>
      </c>
      <c r="G14" s="138"/>
      <c r="H14" s="138"/>
      <c r="I14" s="102">
        <f>IF(H14=0,0,VLOOKUP(G14,'Country equity risk premiums'!$A$5:$D$190,4))</f>
        <v>0</v>
      </c>
      <c r="J14" s="102">
        <f>IF(H14&gt;0,H14/$H$18,)</f>
        <v>0</v>
      </c>
      <c r="K14" s="102">
        <f>IF(J14=0,0,I14*J14)</f>
        <v>0</v>
      </c>
      <c r="M14" s="396"/>
      <c r="N14" s="396"/>
      <c r="O14" s="396"/>
      <c r="P14" s="396"/>
      <c r="Q14" s="396"/>
    </row>
    <row r="15" spans="1:17" s="8" customFormat="1" ht="15" customHeight="1">
      <c r="A15" s="8" t="s">
        <v>445</v>
      </c>
      <c r="B15" s="203">
        <f>IF(B13="Will Input",B14,IF(B13="Country of Incorporation",VLOOKUP('Input sheet'!B5,'Country equity risk premiums'!A5:E190,4),IF(B13="Operating regions",'Cost of capital worksheet'!K32,'Cost of capital worksheet'!K18)))</f>
        <v>0</v>
      </c>
      <c r="G15" s="138"/>
      <c r="H15" s="138"/>
      <c r="I15" s="102">
        <f>IF(H15=0,0,VLOOKUP(G15,'Country equity risk premiums'!$A$5:$D$190,4))</f>
        <v>0</v>
      </c>
      <c r="J15" s="102">
        <f>IF(H15&gt;0,H15/$H$18,)</f>
        <v>0</v>
      </c>
      <c r="K15" s="102">
        <f>IF(J15=0,0,I15*J15)</f>
        <v>0</v>
      </c>
      <c r="M15" s="396"/>
      <c r="N15" s="396"/>
      <c r="O15" s="396"/>
      <c r="P15" s="396"/>
      <c r="Q15" s="396"/>
    </row>
    <row r="16" spans="1:17" s="8" customFormat="1" ht="15" customHeight="1">
      <c r="G16" s="238" t="s">
        <v>639</v>
      </c>
      <c r="H16" s="138"/>
      <c r="I16" s="258"/>
      <c r="J16" s="102">
        <f>IF(H16&gt;0,H16/$H$18,)</f>
        <v>0</v>
      </c>
      <c r="K16" s="102">
        <f>IF(J16=0,0,I16*J16)</f>
        <v>0</v>
      </c>
      <c r="M16" s="396"/>
      <c r="N16" s="396"/>
      <c r="O16" s="396"/>
      <c r="P16" s="396"/>
      <c r="Q16" s="396"/>
    </row>
    <row r="17" spans="1:17" s="8" customFormat="1" ht="15" customHeight="1">
      <c r="A17" s="17" t="s">
        <v>184</v>
      </c>
      <c r="G17" s="238"/>
      <c r="H17" s="138"/>
      <c r="I17" s="238"/>
      <c r="J17" s="102">
        <f>IF(H17&gt;0,H17/$H$18,)</f>
        <v>0</v>
      </c>
      <c r="K17" s="102">
        <f>IF(J17=0,0,I17*J17)</f>
        <v>0</v>
      </c>
      <c r="M17" s="396"/>
      <c r="N17" s="396"/>
      <c r="O17" s="396"/>
      <c r="P17" s="396"/>
      <c r="Q17" s="396"/>
    </row>
    <row r="18" spans="1:17" s="8" customFormat="1" ht="15" customHeight="1">
      <c r="A18" s="8" t="s">
        <v>185</v>
      </c>
      <c r="B18" s="100">
        <f>'Input sheet'!B14</f>
        <v>678</v>
      </c>
      <c r="G18" s="139" t="s">
        <v>380</v>
      </c>
      <c r="H18" s="139">
        <f>SUM(H5:H17)</f>
        <v>0</v>
      </c>
      <c r="I18" s="139"/>
      <c r="J18" s="102">
        <f>SUM(J5:J17)</f>
        <v>0</v>
      </c>
      <c r="K18" s="102">
        <f>SUM(K5:K17)</f>
        <v>0</v>
      </c>
      <c r="M18" s="396"/>
      <c r="N18" s="396"/>
      <c r="O18" s="396"/>
      <c r="P18" s="396"/>
      <c r="Q18" s="396"/>
    </row>
    <row r="19" spans="1:17" s="8" customFormat="1" ht="15" customHeight="1">
      <c r="A19" s="8" t="s">
        <v>186</v>
      </c>
      <c r="B19" s="100">
        <f>'Input sheet'!B12</f>
        <v>5.7</v>
      </c>
      <c r="G19" s="108" t="s">
        <v>446</v>
      </c>
      <c r="M19" s="396"/>
      <c r="N19" s="396"/>
      <c r="O19" s="396"/>
      <c r="P19" s="396"/>
      <c r="Q19" s="396"/>
    </row>
    <row r="20" spans="1:17" s="8" customFormat="1" ht="15" customHeight="1">
      <c r="A20" s="8" t="s">
        <v>187</v>
      </c>
      <c r="B20" s="96">
        <v>3</v>
      </c>
      <c r="G20" s="19" t="s">
        <v>353</v>
      </c>
      <c r="H20" s="19" t="s">
        <v>11</v>
      </c>
      <c r="I20" s="19" t="s">
        <v>377</v>
      </c>
      <c r="J20" s="19" t="s">
        <v>379</v>
      </c>
      <c r="K20" s="19" t="s">
        <v>378</v>
      </c>
    </row>
    <row r="21" spans="1:17" s="8" customFormat="1" ht="15" customHeight="1">
      <c r="A21" s="8" t="s">
        <v>451</v>
      </c>
      <c r="B21" s="111" t="s">
        <v>450</v>
      </c>
      <c r="G21" s="19" t="str">
        <f>'Country equity risk premiums'!A194</f>
        <v>Global</v>
      </c>
      <c r="H21" s="138">
        <v>0</v>
      </c>
      <c r="I21" s="24">
        <f>'Country equity risk premiums'!B194</f>
        <v>7.0033027266880377E-2</v>
      </c>
      <c r="J21" s="102">
        <f t="shared" ref="J21:J29" si="2">H21/$H$32</f>
        <v>0</v>
      </c>
      <c r="K21" s="141">
        <f>I21*J21</f>
        <v>0</v>
      </c>
    </row>
    <row r="22" spans="1:17" s="8" customFormat="1" ht="15" customHeight="1">
      <c r="A22" s="8" t="s">
        <v>453</v>
      </c>
      <c r="B22" s="204">
        <v>0.04</v>
      </c>
      <c r="G22" s="19">
        <f>'Country equity risk premiums'!A195</f>
        <v>0</v>
      </c>
      <c r="H22" s="138">
        <f>3159+4281</f>
        <v>7440</v>
      </c>
      <c r="I22" s="24">
        <f>'Country equity risk premiums'!B195</f>
        <v>0</v>
      </c>
      <c r="J22" s="102">
        <f t="shared" si="2"/>
        <v>7.3442312248282404E-2</v>
      </c>
      <c r="K22" s="141">
        <f t="shared" ref="K22:K29" si="3">I22*J22</f>
        <v>0</v>
      </c>
    </row>
    <row r="23" spans="1:17" s="8" customFormat="1" ht="15" customHeight="1">
      <c r="A23" s="8" t="s">
        <v>452</v>
      </c>
      <c r="B23" s="111" t="s">
        <v>461</v>
      </c>
      <c r="G23" s="19">
        <f>'Country equity risk premiums'!A196</f>
        <v>0</v>
      </c>
      <c r="H23" s="138"/>
      <c r="I23" s="24">
        <f>'Country equity risk premiums'!B196</f>
        <v>0</v>
      </c>
      <c r="J23" s="102">
        <f t="shared" si="2"/>
        <v>0</v>
      </c>
      <c r="K23" s="141">
        <f t="shared" si="3"/>
        <v>0</v>
      </c>
    </row>
    <row r="24" spans="1:17" s="8" customFormat="1" ht="15" customHeight="1">
      <c r="A24" s="8" t="s">
        <v>469</v>
      </c>
      <c r="B24" s="111">
        <v>1</v>
      </c>
      <c r="G24" s="19">
        <f>'Country equity risk premiums'!A197</f>
        <v>0</v>
      </c>
      <c r="H24" s="138">
        <v>0</v>
      </c>
      <c r="I24" s="24">
        <f>'Country equity risk premiums'!B197</f>
        <v>0</v>
      </c>
      <c r="J24" s="102">
        <f t="shared" si="2"/>
        <v>0</v>
      </c>
      <c r="K24" s="141">
        <f t="shared" si="3"/>
        <v>0</v>
      </c>
    </row>
    <row r="25" spans="1:17" s="8" customFormat="1" ht="15" customHeight="1">
      <c r="A25" s="8" t="s">
        <v>121</v>
      </c>
      <c r="B25" s="203">
        <f>IF(B21="Direct Input",B22,IF(B21="Synthetic Rating",'Synthetic rating'!D13,B12+VLOOKUP('Cost of capital worksheet'!B23,'Synthetic rating'!G39:H53,2)))</f>
        <v>6.93E-2</v>
      </c>
      <c r="G25" s="19">
        <f>'Country equity risk premiums'!A198</f>
        <v>0</v>
      </c>
      <c r="H25" s="138">
        <v>0</v>
      </c>
      <c r="I25" s="24">
        <f>'Country equity risk premiums'!B198</f>
        <v>0</v>
      </c>
      <c r="J25" s="102">
        <f t="shared" si="2"/>
        <v>0</v>
      </c>
      <c r="K25" s="141">
        <f t="shared" si="3"/>
        <v>0</v>
      </c>
    </row>
    <row r="26" spans="1:17" s="8" customFormat="1" ht="15" customHeight="1">
      <c r="A26" s="8" t="s">
        <v>188</v>
      </c>
      <c r="B26" s="206">
        <f>'Input sheet'!B23</f>
        <v>0.25</v>
      </c>
      <c r="G26" s="19">
        <f>'Country equity risk premiums'!A199</f>
        <v>0</v>
      </c>
      <c r="H26" s="138"/>
      <c r="I26" s="24">
        <f>'Country equity risk premiums'!B199</f>
        <v>0</v>
      </c>
      <c r="J26" s="102">
        <f t="shared" si="2"/>
        <v>0</v>
      </c>
      <c r="K26" s="141">
        <f t="shared" si="3"/>
        <v>0</v>
      </c>
    </row>
    <row r="27" spans="1:17" s="8" customFormat="1" ht="15" customHeight="1">
      <c r="G27" s="19">
        <f>'Country equity risk premiums'!A200</f>
        <v>0</v>
      </c>
      <c r="H27" s="138">
        <v>0</v>
      </c>
      <c r="I27" s="24">
        <f>'Country equity risk premiums'!B200</f>
        <v>0</v>
      </c>
      <c r="J27" s="102">
        <f t="shared" si="2"/>
        <v>0</v>
      </c>
      <c r="K27" s="141">
        <f t="shared" si="3"/>
        <v>0</v>
      </c>
    </row>
    <row r="28" spans="1:17" s="8" customFormat="1" ht="15" customHeight="1">
      <c r="A28" s="8" t="s">
        <v>189</v>
      </c>
      <c r="B28" s="96">
        <v>0</v>
      </c>
      <c r="G28" s="19">
        <f>'Country equity risk premiums'!A201</f>
        <v>0</v>
      </c>
      <c r="H28" s="138">
        <v>93864</v>
      </c>
      <c r="I28" s="24">
        <f>'Country equity risk premiums'!B201</f>
        <v>0</v>
      </c>
      <c r="J28" s="102">
        <f t="shared" si="2"/>
        <v>0.92655768775171765</v>
      </c>
      <c r="K28" s="141">
        <f t="shared" si="3"/>
        <v>0</v>
      </c>
    </row>
    <row r="29" spans="1:17" s="8" customFormat="1" ht="15" customHeight="1">
      <c r="A29" s="8" t="s">
        <v>190</v>
      </c>
      <c r="B29" s="96">
        <v>0</v>
      </c>
      <c r="G29" s="19">
        <f>'Country equity risk premiums'!A202</f>
        <v>0</v>
      </c>
      <c r="H29" s="138"/>
      <c r="I29" s="24">
        <f>'Country equity risk premiums'!B202</f>
        <v>0</v>
      </c>
      <c r="J29" s="102">
        <f t="shared" si="2"/>
        <v>0</v>
      </c>
      <c r="K29" s="141">
        <f t="shared" si="3"/>
        <v>0</v>
      </c>
    </row>
    <row r="30" spans="1:17" s="8" customFormat="1" ht="15" customHeight="1">
      <c r="A30" s="8" t="s">
        <v>191</v>
      </c>
      <c r="B30" s="96">
        <v>0</v>
      </c>
      <c r="G30" s="138"/>
      <c r="H30" s="138"/>
      <c r="I30" s="239"/>
      <c r="J30" s="102">
        <f>H30/$H$32</f>
        <v>0</v>
      </c>
      <c r="K30" s="141">
        <f>I30*J30</f>
        <v>0</v>
      </c>
    </row>
    <row r="31" spans="1:17" s="8" customFormat="1" ht="15" customHeight="1">
      <c r="A31" s="8" t="s">
        <v>192</v>
      </c>
      <c r="B31" s="96">
        <v>0</v>
      </c>
      <c r="G31" s="138"/>
      <c r="H31" s="138"/>
      <c r="I31" s="239"/>
      <c r="J31" s="102">
        <f>H31/$H$32</f>
        <v>0</v>
      </c>
      <c r="K31" s="141">
        <f>I31*J31</f>
        <v>0</v>
      </c>
    </row>
    <row r="32" spans="1:17" s="8" customFormat="1" ht="15" customHeight="1">
      <c r="G32" s="139" t="s">
        <v>380</v>
      </c>
      <c r="H32" s="139">
        <f>SUM(H21:H31)</f>
        <v>101304</v>
      </c>
      <c r="I32" s="104"/>
      <c r="J32" s="102">
        <f>SUM(J21:J31)</f>
        <v>1</v>
      </c>
      <c r="K32" s="142">
        <f>SUM(K21:K31)</f>
        <v>0</v>
      </c>
    </row>
    <row r="33" spans="1:11" s="8" customFormat="1" ht="15" customHeight="1">
      <c r="A33" s="8" t="s">
        <v>193</v>
      </c>
      <c r="B33" s="100">
        <f>IF('Input sheet'!B16="Yes",'Operating lease converter'!F33,0)</f>
        <v>0</v>
      </c>
    </row>
    <row r="34" spans="1:11" s="8" customFormat="1" ht="15" customHeight="1">
      <c r="G34" s="95" t="s">
        <v>475</v>
      </c>
    </row>
    <row r="35" spans="1:11" s="8" customFormat="1" ht="15" customHeight="1">
      <c r="A35" s="17" t="s">
        <v>194</v>
      </c>
      <c r="G35" s="19" t="s">
        <v>391</v>
      </c>
      <c r="H35" s="19" t="s">
        <v>11</v>
      </c>
      <c r="I35" s="19" t="s">
        <v>166</v>
      </c>
      <c r="J35" s="19" t="s">
        <v>392</v>
      </c>
      <c r="K35" s="19" t="s">
        <v>208</v>
      </c>
    </row>
    <row r="36" spans="1:11" s="8" customFormat="1" ht="15" customHeight="1">
      <c r="A36" s="8" t="s">
        <v>195</v>
      </c>
      <c r="B36" s="96">
        <v>0</v>
      </c>
      <c r="G36" s="138"/>
      <c r="H36" s="149"/>
      <c r="I36" s="150">
        <f>IF(G36=0,,VLOOKUP(G36,'Industry Average Beta (US)'!$A$2:$S$95,15))</f>
        <v>0</v>
      </c>
      <c r="J36" s="151">
        <f>H36*I36</f>
        <v>0</v>
      </c>
      <c r="K36" s="150">
        <f>IF(I36=0,0,VLOOKUP(G36,'Industry Average Beta (US)'!$A$2:$S$95,7))</f>
        <v>0</v>
      </c>
    </row>
    <row r="37" spans="1:11" s="8" customFormat="1" ht="15" customHeight="1">
      <c r="A37" s="8" t="s">
        <v>196</v>
      </c>
      <c r="B37" s="96">
        <v>70</v>
      </c>
      <c r="G37" s="138"/>
      <c r="H37" s="149"/>
      <c r="I37" s="150">
        <f>IF(G37=0,,VLOOKUP(G37,'Industry Average Beta (US)'!$A$2:$S$95,15))</f>
        <v>0</v>
      </c>
      <c r="J37" s="151">
        <f>H37*I37</f>
        <v>0</v>
      </c>
      <c r="K37" s="150">
        <f>IF(I37=0,0,VLOOKUP(G37,'Industry Average Beta (US)'!$A$2:$S$95,7))</f>
        <v>0</v>
      </c>
    </row>
    <row r="38" spans="1:11" s="8" customFormat="1" ht="15" customHeight="1">
      <c r="A38" s="8" t="s">
        <v>197</v>
      </c>
      <c r="B38" s="96">
        <v>5</v>
      </c>
      <c r="G38" s="138"/>
      <c r="H38" s="149"/>
      <c r="I38" s="150">
        <f>IF(G38=0,,VLOOKUP(G38,'Industry Average Beta (US)'!$A$2:$S$95,15))</f>
        <v>0</v>
      </c>
      <c r="J38" s="151">
        <f t="shared" ref="J38:J47" si="4">H38*I38</f>
        <v>0</v>
      </c>
      <c r="K38" s="150">
        <f>IF(I38=0,0,VLOOKUP(G38,'Industry Average Beta (US)'!$A$2:$S$95,7))</f>
        <v>0</v>
      </c>
    </row>
    <row r="39" spans="1:11" s="8" customFormat="1" ht="15" customHeight="1">
      <c r="G39" s="138"/>
      <c r="H39" s="149"/>
      <c r="I39" s="150">
        <f>IF(G39=0,,VLOOKUP(G39,'Industry Average Beta (US)'!$A$2:$S$95,15))</f>
        <v>0</v>
      </c>
      <c r="J39" s="151">
        <f t="shared" si="4"/>
        <v>0</v>
      </c>
      <c r="K39" s="150">
        <f>IF(I39=0,0,VLOOKUP(G39,'Industry Average Beta (US)'!$A$2:$S$95,7))</f>
        <v>0</v>
      </c>
    </row>
    <row r="40" spans="1:11" s="97" customFormat="1" ht="15" customHeight="1">
      <c r="A40" s="14" t="s">
        <v>120</v>
      </c>
      <c r="B40" s="8"/>
      <c r="C40" s="8"/>
      <c r="D40" s="8"/>
      <c r="E40" s="8"/>
      <c r="F40" s="8"/>
      <c r="G40" s="138"/>
      <c r="H40" s="149"/>
      <c r="I40" s="150">
        <f>IF(G40=0,,VLOOKUP(G40,'Industry Average Beta (US)'!$A$2:$S$95,15))</f>
        <v>0</v>
      </c>
      <c r="J40" s="151">
        <f t="shared" si="4"/>
        <v>0</v>
      </c>
      <c r="K40" s="150">
        <f>IF(I40=0,0,VLOOKUP(G40,'Industry Average Beta (US)'!$A$2:$S$95,7))</f>
        <v>0</v>
      </c>
    </row>
    <row r="41" spans="1:11" s="8" customFormat="1" ht="15" customHeight="1">
      <c r="A41" s="19" t="s">
        <v>198</v>
      </c>
      <c r="B41" s="19"/>
      <c r="C41" s="101">
        <f>B19*(1-(1+B25)^(-B20))/B25+B18/(1+B25)^B20</f>
        <v>569.51534652264968</v>
      </c>
      <c r="G41" s="138"/>
      <c r="H41" s="149"/>
      <c r="I41" s="150">
        <f>IF(G41=0,,VLOOKUP(G41,'Industry Average Beta (US)'!$A$2:$S$95,15))</f>
        <v>0</v>
      </c>
      <c r="J41" s="151">
        <f t="shared" si="4"/>
        <v>0</v>
      </c>
      <c r="K41" s="150">
        <f>IF(I41=0,0,VLOOKUP(G41,'Industry Average Beta (US)'!$A$2:$S$95,7))</f>
        <v>0</v>
      </c>
    </row>
    <row r="42" spans="1:11" s="8" customFormat="1" ht="15" customHeight="1">
      <c r="A42" s="19" t="s">
        <v>199</v>
      </c>
      <c r="B42" s="19"/>
      <c r="C42" s="101">
        <f>B29*(1-(1+B25)^(-B30))/B25+B28/(1+B25)^B30</f>
        <v>0</v>
      </c>
      <c r="G42" s="138"/>
      <c r="H42" s="149"/>
      <c r="I42" s="150">
        <f>IF(G42=0,,VLOOKUP(G42,'Industry Average Beta (US)'!$A$2:$S$95,15))</f>
        <v>0</v>
      </c>
      <c r="J42" s="151">
        <f t="shared" si="4"/>
        <v>0</v>
      </c>
      <c r="K42" s="150">
        <f>IF(I42=0,0,VLOOKUP(G42,'Industry Average Beta (US)'!$A$2:$S$95,7))</f>
        <v>0</v>
      </c>
    </row>
    <row r="43" spans="1:11" s="8" customFormat="1" ht="15" customHeight="1">
      <c r="A43" s="19" t="s">
        <v>200</v>
      </c>
      <c r="B43" s="19"/>
      <c r="C43" s="101">
        <f>B33</f>
        <v>0</v>
      </c>
      <c r="G43" s="138"/>
      <c r="H43" s="149"/>
      <c r="I43" s="150">
        <f>IF(G43=0,,VLOOKUP(G43,'Industry Average Beta (US)'!$A$2:$S$95,15))</f>
        <v>0</v>
      </c>
      <c r="J43" s="151">
        <f t="shared" si="4"/>
        <v>0</v>
      </c>
      <c r="K43" s="150">
        <f>IF(I43=0,0,VLOOKUP(G43,'Industry Average Beta (US)'!$A$2:$S$95,7))</f>
        <v>0</v>
      </c>
    </row>
    <row r="44" spans="1:11" ht="14">
      <c r="A44" s="19" t="s">
        <v>201</v>
      </c>
      <c r="B44" s="19"/>
      <c r="C44" s="101">
        <f>B31-C42</f>
        <v>0</v>
      </c>
      <c r="D44" s="8"/>
      <c r="E44" s="8"/>
      <c r="F44" s="8"/>
      <c r="G44" s="138"/>
      <c r="H44" s="149"/>
      <c r="I44" s="150">
        <f>IF(G44=0,,VLOOKUP(G44,'Industry Average Beta (US)'!$A$2:$S$95,15))</f>
        <v>0</v>
      </c>
      <c r="J44" s="151">
        <f t="shared" si="4"/>
        <v>0</v>
      </c>
      <c r="K44" s="150">
        <f>IF(I44=0,0,VLOOKUP(G44,'Industry Average Beta (US)'!$A$2:$S$95,7))</f>
        <v>0</v>
      </c>
    </row>
    <row r="45" spans="1:11" ht="14">
      <c r="A45" s="19" t="s">
        <v>209</v>
      </c>
      <c r="B45" s="19"/>
      <c r="C45" s="107" t="e">
        <f>IF(B9="Direct Input",B10,B11*(1+(1-B26)*(C48/B48)))</f>
        <v>#DIV/0!</v>
      </c>
      <c r="D45" s="8"/>
      <c r="E45" s="8"/>
      <c r="F45" s="8"/>
      <c r="G45" s="138"/>
      <c r="H45" s="149"/>
      <c r="I45" s="150">
        <f>IF(G45=0,,VLOOKUP(G45,'Industry Average Beta (US)'!$A$2:$S$95,15))</f>
        <v>0</v>
      </c>
      <c r="J45" s="151">
        <f t="shared" si="4"/>
        <v>0</v>
      </c>
      <c r="K45" s="150">
        <f>IF(I45=0,0,VLOOKUP(G45,'Industry Average Beta (US)'!$A$2:$S$95,7))</f>
        <v>0</v>
      </c>
    </row>
    <row r="46" spans="1:11" ht="14">
      <c r="A46" s="8"/>
      <c r="B46" s="8"/>
      <c r="C46" s="107"/>
      <c r="D46" s="8"/>
      <c r="E46" s="8"/>
      <c r="F46" s="8"/>
      <c r="G46" s="138"/>
      <c r="H46" s="149"/>
      <c r="I46" s="150">
        <f>IF(G46=0,,VLOOKUP(G46,'Industry Average Beta (US)'!$A$2:$S$95,15))</f>
        <v>0</v>
      </c>
      <c r="J46" s="151">
        <f t="shared" si="4"/>
        <v>0</v>
      </c>
      <c r="K46" s="150">
        <f>IF(I46=0,0,VLOOKUP(G46,'Industry Average Beta (US)'!$A$2:$S$95,7))</f>
        <v>0</v>
      </c>
    </row>
    <row r="47" spans="1:11" ht="14">
      <c r="A47" s="97"/>
      <c r="B47" s="98" t="s">
        <v>180</v>
      </c>
      <c r="C47" s="98" t="s">
        <v>202</v>
      </c>
      <c r="D47" s="98" t="s">
        <v>194</v>
      </c>
      <c r="E47" s="98" t="s">
        <v>203</v>
      </c>
      <c r="F47" s="97"/>
      <c r="G47" s="138"/>
      <c r="H47" s="149"/>
      <c r="I47" s="150">
        <f>IF(G47=0,,VLOOKUP(G47,'Industry Average Beta (US)'!$A$2:$S$95,15))</f>
        <v>0</v>
      </c>
      <c r="J47" s="151">
        <f t="shared" si="4"/>
        <v>0</v>
      </c>
      <c r="K47" s="150">
        <f>IF(I47=0,0,VLOOKUP(G47,'Industry Average Beta (US)'!$A$2:$S$95,7))</f>
        <v>0</v>
      </c>
    </row>
    <row r="48" spans="1:11" ht="14">
      <c r="A48" s="19" t="s">
        <v>204</v>
      </c>
      <c r="B48" s="101">
        <f>B6*B7</f>
        <v>3568.32</v>
      </c>
      <c r="C48" s="101">
        <f>C41+C42+C43</f>
        <v>569.51534652264968</v>
      </c>
      <c r="D48" s="101">
        <f>B36*B37</f>
        <v>0</v>
      </c>
      <c r="E48" s="100">
        <f>SUM(B48:D48)</f>
        <v>4137.8353465226501</v>
      </c>
      <c r="F48" s="8"/>
      <c r="G48" s="152" t="s">
        <v>237</v>
      </c>
      <c r="H48" s="153">
        <f>SUM(H36:H47)</f>
        <v>0</v>
      </c>
      <c r="I48" s="154"/>
      <c r="J48" s="151">
        <f>SUM(J36:J47)</f>
        <v>0</v>
      </c>
      <c r="K48" s="154" t="e">
        <f>K36*(J36/J48)+K37*J37/J48+K38*J38/J48+K39*J39/J48+K40*J40/J48+K41*J41/J48+K42*J42/J48+K43*J43/J48+K44*J44/J48+K45*J45/J48+K46*J46/J48+K47*J47/J48</f>
        <v>#DIV/0!</v>
      </c>
    </row>
    <row r="49" spans="1:11" ht="15" thickBot="1">
      <c r="A49" s="19" t="s">
        <v>205</v>
      </c>
      <c r="B49" s="102">
        <f>B48/$E$48</f>
        <v>0.86236394181289533</v>
      </c>
      <c r="C49" s="102">
        <f>C48/$E$48</f>
        <v>0.13763605818710462</v>
      </c>
      <c r="D49" s="102">
        <f>D48/$E$48</f>
        <v>0</v>
      </c>
      <c r="E49" s="103">
        <f>SUM(B49:D49)</f>
        <v>1</v>
      </c>
      <c r="F49" s="8"/>
    </row>
    <row r="50" spans="1:11" ht="19" thickBot="1">
      <c r="A50" s="19" t="s">
        <v>206</v>
      </c>
      <c r="B50" s="104" t="e">
        <f>B12+C45*B15</f>
        <v>#DIV/0!</v>
      </c>
      <c r="C50" s="102">
        <f>B25*(1-B26)</f>
        <v>5.1975E-2</v>
      </c>
      <c r="D50" s="105">
        <f>B38/B37</f>
        <v>7.1428571428571425E-2</v>
      </c>
      <c r="E50" s="106" t="e">
        <f>B49*B50+C49*C50+D49*D50</f>
        <v>#DIV/0!</v>
      </c>
      <c r="F50" s="8"/>
      <c r="G50" s="210" t="s">
        <v>476</v>
      </c>
    </row>
    <row r="51" spans="1:11" ht="14">
      <c r="G51" s="19" t="s">
        <v>391</v>
      </c>
      <c r="H51" s="19" t="s">
        <v>11</v>
      </c>
      <c r="I51" s="19" t="s">
        <v>166</v>
      </c>
      <c r="J51" s="19" t="s">
        <v>392</v>
      </c>
      <c r="K51" s="19" t="s">
        <v>208</v>
      </c>
    </row>
    <row r="52" spans="1:11" ht="14">
      <c r="G52" s="138" t="s">
        <v>743</v>
      </c>
      <c r="H52" s="149"/>
      <c r="I52" s="150">
        <f>IF(G52=0,,VLOOKUP(G52,'Industry Average Beta (Global)'!$A$2:$O$95,15))</f>
        <v>1.1859212203390777</v>
      </c>
      <c r="J52" s="151">
        <f>H52*I52</f>
        <v>0</v>
      </c>
      <c r="K52" s="150">
        <f>IF(G52=0,,VLOOKUP(G52,'Industry Average Beta (Global)'!$A$2:$O$95,7))</f>
        <v>1.109674282355319</v>
      </c>
    </row>
    <row r="53" spans="1:11" ht="14">
      <c r="G53" s="138"/>
      <c r="H53" s="149"/>
      <c r="I53" s="150">
        <f>IF(G53=0,,VLOOKUP(G53,'Industry Average Beta (Global)'!$A$2:$O$95,15))</f>
        <v>0</v>
      </c>
      <c r="J53" s="151">
        <f>H53*I53</f>
        <v>0</v>
      </c>
      <c r="K53" s="150">
        <f>IF(G53=0,,VLOOKUP(G53,'Industry Average Beta (Global)'!$A$2:$O$95,7))</f>
        <v>0</v>
      </c>
    </row>
    <row r="54" spans="1:11" ht="14">
      <c r="G54" s="138"/>
      <c r="H54" s="149"/>
      <c r="I54" s="150">
        <f>IF(G54=0,,VLOOKUP(G54,'Industry Average Beta (Global)'!$A$2:$O$95,15))</f>
        <v>0</v>
      </c>
      <c r="J54" s="151">
        <f t="shared" ref="J54:J63" si="5">H54*I54</f>
        <v>0</v>
      </c>
      <c r="K54" s="150">
        <f>IF(G54=0,,VLOOKUP(G54,'Industry Average Beta (Global)'!$A$2:$O$95,7))</f>
        <v>0</v>
      </c>
    </row>
    <row r="55" spans="1:11" ht="14">
      <c r="G55" s="138"/>
      <c r="H55" s="149"/>
      <c r="I55" s="150">
        <f>IF(G55=0,,VLOOKUP(G55,'Industry Average Beta (Global)'!$A$2:$O$95,15))</f>
        <v>0</v>
      </c>
      <c r="J55" s="151">
        <f t="shared" si="5"/>
        <v>0</v>
      </c>
      <c r="K55" s="150">
        <f>IF(G55=0,,VLOOKUP(G55,'Industry Average Beta (Global)'!$A$2:$O$95,7))</f>
        <v>0</v>
      </c>
    </row>
    <row r="56" spans="1:11" ht="14">
      <c r="G56" s="138"/>
      <c r="H56" s="149"/>
      <c r="I56" s="150">
        <f>IF(G56=0,,VLOOKUP(G56,'Industry Average Beta (Global)'!$A$2:$O$95,15))</f>
        <v>0</v>
      </c>
      <c r="J56" s="151">
        <f t="shared" si="5"/>
        <v>0</v>
      </c>
      <c r="K56" s="150">
        <f>IF(G56=0,,VLOOKUP(G56,'Industry Average Beta (Global)'!$A$2:$O$95,7))</f>
        <v>0</v>
      </c>
    </row>
    <row r="57" spans="1:11" ht="14">
      <c r="G57" s="138"/>
      <c r="H57" s="149"/>
      <c r="I57" s="150">
        <f>IF(G57=0,,VLOOKUP(G57,'Industry Average Beta (Global)'!$A$2:$O$95,15))</f>
        <v>0</v>
      </c>
      <c r="J57" s="151">
        <f t="shared" si="5"/>
        <v>0</v>
      </c>
      <c r="K57" s="150">
        <f>IF(G57=0,,VLOOKUP(G57,'Industry Average Beta (Global)'!$A$2:$O$95,7))</f>
        <v>0</v>
      </c>
    </row>
    <row r="58" spans="1:11" ht="14">
      <c r="G58" s="138"/>
      <c r="H58" s="149"/>
      <c r="I58" s="150">
        <f>IF(G58=0,,VLOOKUP(G58,'Industry Average Beta (Global)'!$A$2:$O$95,15))</f>
        <v>0</v>
      </c>
      <c r="J58" s="151">
        <f t="shared" si="5"/>
        <v>0</v>
      </c>
      <c r="K58" s="150">
        <f>IF(G58=0,,VLOOKUP(G58,'Industry Average Beta (Global)'!$A$2:$O$95,7))</f>
        <v>0</v>
      </c>
    </row>
    <row r="59" spans="1:11" ht="14">
      <c r="G59" s="138"/>
      <c r="H59" s="149"/>
      <c r="I59" s="150">
        <f>IF(G59=0,,VLOOKUP(G59,'Industry Average Beta (Global)'!$A$2:$O$95,15))</f>
        <v>0</v>
      </c>
      <c r="J59" s="151">
        <f t="shared" si="5"/>
        <v>0</v>
      </c>
      <c r="K59" s="150">
        <f>IF(G59=0,,VLOOKUP(G59,'Industry Average Beta (Global)'!$A$2:$O$95,7))</f>
        <v>0</v>
      </c>
    </row>
    <row r="60" spans="1:11" ht="14">
      <c r="G60" s="138"/>
      <c r="H60" s="149"/>
      <c r="I60" s="150">
        <f>IF(G60=0,,VLOOKUP(G60,'Industry Average Beta (Global)'!$A$2:$O$95,15))</f>
        <v>0</v>
      </c>
      <c r="J60" s="151">
        <f t="shared" si="5"/>
        <v>0</v>
      </c>
      <c r="K60" s="150">
        <f>IF(G60=0,,VLOOKUP(G60,'Industry Average Beta (Global)'!$A$2:$O$95,7))</f>
        <v>0</v>
      </c>
    </row>
    <row r="61" spans="1:11" ht="14">
      <c r="G61" s="138"/>
      <c r="H61" s="149"/>
      <c r="I61" s="150">
        <f>IF(G61=0,,VLOOKUP(G61,'Industry Average Beta (Global)'!$A$2:$O$95,15))</f>
        <v>0</v>
      </c>
      <c r="J61" s="151">
        <f t="shared" si="5"/>
        <v>0</v>
      </c>
      <c r="K61" s="150">
        <f>IF(G61=0,,VLOOKUP(G61,'Industry Average Beta (Global)'!$A$2:$O$95,7))</f>
        <v>0</v>
      </c>
    </row>
    <row r="62" spans="1:11" ht="14">
      <c r="G62" s="138"/>
      <c r="H62" s="149"/>
      <c r="I62" s="150">
        <f>IF(G62=0,,VLOOKUP(G62,'Industry Average Beta (Global)'!$A$2:$O$95,15))</f>
        <v>0</v>
      </c>
      <c r="J62" s="151">
        <f t="shared" si="5"/>
        <v>0</v>
      </c>
      <c r="K62" s="150">
        <f>IF(G62=0,,VLOOKUP(G62,'Industry Average Beta (Global)'!$A$2:$O$95,7))</f>
        <v>0</v>
      </c>
    </row>
    <row r="63" spans="1:11" ht="14">
      <c r="G63" s="138"/>
      <c r="H63" s="149"/>
      <c r="I63" s="150">
        <f>IF(G63=0,,VLOOKUP(G63,'Industry Average Beta (Global)'!$A$2:$O$95,15))</f>
        <v>0</v>
      </c>
      <c r="J63" s="151">
        <f t="shared" si="5"/>
        <v>0</v>
      </c>
      <c r="K63" s="150">
        <f>IF(G63=0,,VLOOKUP(G63,'Industry Average Beta (Global)'!$A$2:$O$95,7))</f>
        <v>0</v>
      </c>
    </row>
    <row r="64" spans="1:11" ht="14">
      <c r="G64" s="152" t="s">
        <v>237</v>
      </c>
      <c r="H64" s="153">
        <f>SUM(H52:H63)</f>
        <v>0</v>
      </c>
      <c r="I64" s="154"/>
      <c r="J64" s="151">
        <f>SUM(J52:J63)</f>
        <v>0</v>
      </c>
      <c r="K64" s="154" t="e">
        <f>K52*(J52/J64)+K53*J53/J64+K54*J54/J64+K55*J55/J64+K56*J56/J64+K57*J57/J64+K58*J58/J64+K59*J59/J64+K60*J60/J64+K61*J61/J64+K62*J62/J64+K63*J63/J64</f>
        <v>#DIV/0!</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premiums'!$A$5:$A$190</xm:f>
          </x14:formula1>
          <xm:sqref>G5:G15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K34" sqref="K34"/>
    </sheetView>
  </sheetViews>
  <sheetFormatPr baseColWidth="10" defaultRowHeight="13"/>
  <sheetData>
    <row r="1" spans="1:10" s="6" customFormat="1" ht="18">
      <c r="A1" s="29" t="s">
        <v>402</v>
      </c>
      <c r="B1" s="29"/>
      <c r="C1" s="29"/>
      <c r="D1" s="29"/>
      <c r="E1" s="29"/>
      <c r="F1" s="29"/>
      <c r="G1" s="29"/>
      <c r="H1" s="29"/>
      <c r="I1" s="29"/>
      <c r="J1" s="29"/>
    </row>
    <row r="2" spans="1:10" s="8" customFormat="1">
      <c r="A2" s="8" t="s">
        <v>403</v>
      </c>
    </row>
    <row r="3" spans="1:10" s="8" customFormat="1">
      <c r="A3" s="8" t="s">
        <v>404</v>
      </c>
    </row>
    <row r="4" spans="1:10" s="8" customFormat="1"/>
    <row r="5" spans="1:10" s="8" customFormat="1">
      <c r="A5" s="17" t="s">
        <v>6</v>
      </c>
    </row>
    <row r="6" spans="1:10" s="8" customFormat="1">
      <c r="A6" s="8" t="s">
        <v>405</v>
      </c>
      <c r="F6" s="111"/>
      <c r="G6" s="8" t="s">
        <v>406</v>
      </c>
    </row>
    <row r="7" spans="1:10" s="8" customFormat="1">
      <c r="A7" s="8" t="s">
        <v>407</v>
      </c>
      <c r="F7" s="33"/>
      <c r="G7" s="8" t="s">
        <v>408</v>
      </c>
    </row>
    <row r="8" spans="1:10" s="8" customFormat="1">
      <c r="A8" s="8" t="s">
        <v>409</v>
      </c>
    </row>
    <row r="9" spans="1:10" s="8" customFormat="1">
      <c r="A9" s="8" t="s">
        <v>410</v>
      </c>
    </row>
    <row r="10" spans="1:10" s="160" customFormat="1">
      <c r="A10" s="158" t="s">
        <v>116</v>
      </c>
      <c r="B10" s="158" t="s">
        <v>411</v>
      </c>
      <c r="C10" s="159"/>
      <c r="D10" s="159"/>
      <c r="E10" s="159"/>
      <c r="F10" s="159"/>
      <c r="G10" s="159"/>
      <c r="H10" s="159"/>
      <c r="I10" s="159"/>
    </row>
    <row r="11" spans="1:10" s="160" customFormat="1">
      <c r="A11" s="161">
        <v>-1</v>
      </c>
      <c r="B11" s="162"/>
      <c r="C11" s="159" t="s">
        <v>412</v>
      </c>
      <c r="D11" s="159"/>
      <c r="E11" s="159"/>
      <c r="F11" s="159"/>
      <c r="G11" s="159"/>
      <c r="H11" s="159"/>
      <c r="I11" s="159"/>
    </row>
    <row r="12" spans="1:10" s="160" customFormat="1">
      <c r="A12" s="161">
        <f>IF((0-A11)&lt;$F$6,IF(A11&gt;-1,,A11-1),)</f>
        <v>0</v>
      </c>
      <c r="B12" s="162"/>
      <c r="C12" s="159" t="s">
        <v>413</v>
      </c>
      <c r="D12" s="159"/>
      <c r="E12" s="159"/>
      <c r="F12" s="159"/>
      <c r="G12" s="159"/>
      <c r="H12" s="159"/>
      <c r="I12" s="159"/>
    </row>
    <row r="13" spans="1:10" s="160" customFormat="1">
      <c r="A13" s="161">
        <f t="shared" ref="A13:A20" si="0">IF((0-A12)&lt;$F$6,IF(A12&gt;-1,,A12-1),)</f>
        <v>0</v>
      </c>
      <c r="B13" s="162"/>
      <c r="C13" s="159"/>
      <c r="D13" s="159"/>
      <c r="E13" s="159"/>
      <c r="F13" s="159"/>
      <c r="G13" s="159"/>
      <c r="H13" s="159"/>
      <c r="I13" s="159"/>
    </row>
    <row r="14" spans="1:10" s="160" customFormat="1">
      <c r="A14" s="161">
        <f t="shared" si="0"/>
        <v>0</v>
      </c>
      <c r="B14" s="162"/>
      <c r="C14" s="159"/>
      <c r="D14" s="159"/>
      <c r="E14" s="159"/>
      <c r="F14" s="159"/>
      <c r="G14" s="159"/>
      <c r="H14" s="159"/>
      <c r="I14" s="159"/>
    </row>
    <row r="15" spans="1:10" s="160" customFormat="1">
      <c r="A15" s="161">
        <f t="shared" si="0"/>
        <v>0</v>
      </c>
      <c r="B15" s="162"/>
      <c r="C15" s="159"/>
      <c r="D15" s="159"/>
      <c r="E15" s="159"/>
      <c r="F15" s="159"/>
      <c r="G15" s="159"/>
      <c r="H15" s="159"/>
      <c r="I15" s="159"/>
    </row>
    <row r="16" spans="1:10" s="160" customFormat="1">
      <c r="A16" s="161">
        <f t="shared" si="0"/>
        <v>0</v>
      </c>
      <c r="B16" s="162"/>
      <c r="C16" s="159"/>
      <c r="D16" s="159"/>
      <c r="E16" s="159"/>
      <c r="F16" s="159"/>
      <c r="G16" s="159"/>
      <c r="H16" s="159"/>
      <c r="I16" s="159"/>
    </row>
    <row r="17" spans="1:9" s="160" customFormat="1">
      <c r="A17" s="161">
        <f t="shared" si="0"/>
        <v>0</v>
      </c>
      <c r="B17" s="162"/>
      <c r="C17" s="159"/>
      <c r="D17" s="159"/>
      <c r="E17" s="159"/>
      <c r="F17" s="159"/>
      <c r="G17" s="159"/>
      <c r="H17" s="159"/>
      <c r="I17" s="159"/>
    </row>
    <row r="18" spans="1:9" s="160" customFormat="1">
      <c r="A18" s="161">
        <f t="shared" si="0"/>
        <v>0</v>
      </c>
      <c r="B18" s="162"/>
      <c r="C18" s="159"/>
      <c r="D18" s="159"/>
      <c r="E18" s="159"/>
      <c r="F18" s="159"/>
      <c r="G18" s="159"/>
      <c r="H18" s="159"/>
      <c r="I18" s="159"/>
    </row>
    <row r="19" spans="1:9" s="160" customFormat="1">
      <c r="A19" s="161">
        <f t="shared" si="0"/>
        <v>0</v>
      </c>
      <c r="B19" s="162"/>
      <c r="C19" s="159"/>
      <c r="D19" s="159"/>
      <c r="E19" s="159"/>
      <c r="F19" s="159"/>
      <c r="G19" s="159"/>
      <c r="H19" s="159"/>
      <c r="I19" s="159"/>
    </row>
    <row r="20" spans="1:9" s="160" customFormat="1">
      <c r="A20" s="161">
        <f t="shared" si="0"/>
        <v>0</v>
      </c>
      <c r="B20" s="162"/>
      <c r="C20" s="159"/>
      <c r="D20" s="159"/>
      <c r="E20" s="159"/>
      <c r="F20" s="159"/>
      <c r="G20" s="159"/>
      <c r="H20" s="159"/>
      <c r="I20" s="159"/>
    </row>
    <row r="21" spans="1:9" s="160" customFormat="1">
      <c r="A21" s="159"/>
      <c r="B21" s="159"/>
      <c r="C21" s="159"/>
      <c r="D21" s="159"/>
      <c r="E21" s="159"/>
      <c r="F21" s="159"/>
      <c r="G21" s="159"/>
      <c r="H21" s="159"/>
      <c r="I21" s="159"/>
    </row>
    <row r="22" spans="1:9" s="160" customFormat="1">
      <c r="A22" s="163" t="s">
        <v>120</v>
      </c>
      <c r="B22" s="159"/>
      <c r="C22" s="159"/>
      <c r="D22" s="159"/>
      <c r="E22" s="159"/>
      <c r="F22" s="159"/>
      <c r="G22" s="159"/>
      <c r="H22" s="159"/>
      <c r="I22" s="159"/>
    </row>
    <row r="23" spans="1:9" s="160" customFormat="1">
      <c r="A23" s="158" t="s">
        <v>116</v>
      </c>
      <c r="B23" s="158" t="s">
        <v>414</v>
      </c>
      <c r="C23" s="164" t="s">
        <v>415</v>
      </c>
      <c r="D23" s="165"/>
      <c r="E23" s="159" t="s">
        <v>416</v>
      </c>
      <c r="F23" s="159"/>
      <c r="G23" s="159"/>
      <c r="H23" s="159"/>
      <c r="I23" s="159"/>
    </row>
    <row r="24" spans="1:9" s="160" customFormat="1">
      <c r="A24" s="158" t="s">
        <v>417</v>
      </c>
      <c r="B24" s="158">
        <f>F7</f>
        <v>0</v>
      </c>
      <c r="C24" s="158">
        <f>1</f>
        <v>1</v>
      </c>
      <c r="D24" s="158">
        <f>B24*C24</f>
        <v>0</v>
      </c>
      <c r="E24" s="159"/>
      <c r="F24" s="159"/>
      <c r="G24" s="159"/>
      <c r="H24" s="159"/>
      <c r="I24" s="159"/>
    </row>
    <row r="25" spans="1:9" s="160" customFormat="1">
      <c r="A25" s="161">
        <f>A11</f>
        <v>-1</v>
      </c>
      <c r="B25" s="158">
        <f>B11</f>
        <v>0</v>
      </c>
      <c r="C25" s="158" t="e">
        <f>IF(A25&lt;0,($F$6+A25)/$F$6,0)</f>
        <v>#DIV/0!</v>
      </c>
      <c r="D25" s="158" t="e">
        <f>B25*C25</f>
        <v>#DIV/0!</v>
      </c>
      <c r="E25" s="166" t="e">
        <f t="shared" ref="E25:E34" si="1">IF(A25&lt;0,B25/$F$6,0)</f>
        <v>#DIV/0!</v>
      </c>
      <c r="F25" s="159"/>
      <c r="G25" s="159"/>
      <c r="H25" s="159"/>
      <c r="I25" s="159"/>
    </row>
    <row r="26" spans="1:9" s="160" customFormat="1">
      <c r="A26" s="161">
        <f t="shared" ref="A26:B34" si="2">A12</f>
        <v>0</v>
      </c>
      <c r="B26" s="158">
        <f t="shared" si="2"/>
        <v>0</v>
      </c>
      <c r="C26" s="158">
        <f>IF(A26&lt;0,($F$6+A26)/$F$6,0)</f>
        <v>0</v>
      </c>
      <c r="D26" s="158">
        <f t="shared" ref="D26:D34" si="3">B26*C26</f>
        <v>0</v>
      </c>
      <c r="E26" s="166">
        <f t="shared" si="1"/>
        <v>0</v>
      </c>
      <c r="F26" s="159"/>
      <c r="G26" s="159"/>
      <c r="H26" s="159"/>
      <c r="I26" s="159"/>
    </row>
    <row r="27" spans="1:9" s="160" customFormat="1">
      <c r="A27" s="161">
        <f t="shared" si="2"/>
        <v>0</v>
      </c>
      <c r="B27" s="158">
        <f t="shared" si="2"/>
        <v>0</v>
      </c>
      <c r="C27" s="158">
        <f>IF(A27&lt;0,($F$6+A27)/$F$6,0)</f>
        <v>0</v>
      </c>
      <c r="D27" s="158">
        <f t="shared" si="3"/>
        <v>0</v>
      </c>
      <c r="E27" s="166">
        <f t="shared" si="1"/>
        <v>0</v>
      </c>
      <c r="F27" s="159"/>
      <c r="G27" s="159"/>
      <c r="H27" s="159"/>
      <c r="I27" s="159"/>
    </row>
    <row r="28" spans="1:9" s="160" customFormat="1">
      <c r="A28" s="161">
        <f t="shared" si="2"/>
        <v>0</v>
      </c>
      <c r="B28" s="158">
        <f t="shared" si="2"/>
        <v>0</v>
      </c>
      <c r="C28" s="158">
        <f t="shared" ref="C28:C34" si="4">IF(A28&lt;0,($F$6+A28)/$F$6,0)</f>
        <v>0</v>
      </c>
      <c r="D28" s="158">
        <f t="shared" si="3"/>
        <v>0</v>
      </c>
      <c r="E28" s="166">
        <f t="shared" si="1"/>
        <v>0</v>
      </c>
      <c r="F28" s="159"/>
      <c r="G28" s="159"/>
      <c r="H28" s="159"/>
      <c r="I28" s="159"/>
    </row>
    <row r="29" spans="1:9" s="160" customFormat="1">
      <c r="A29" s="161">
        <f t="shared" si="2"/>
        <v>0</v>
      </c>
      <c r="B29" s="158">
        <f t="shared" si="2"/>
        <v>0</v>
      </c>
      <c r="C29" s="158">
        <f t="shared" si="4"/>
        <v>0</v>
      </c>
      <c r="D29" s="158">
        <f t="shared" si="3"/>
        <v>0</v>
      </c>
      <c r="E29" s="166">
        <f t="shared" si="1"/>
        <v>0</v>
      </c>
      <c r="F29" s="159"/>
      <c r="G29" s="159"/>
      <c r="H29" s="159"/>
      <c r="I29" s="159"/>
    </row>
    <row r="30" spans="1:9" s="160" customFormat="1">
      <c r="A30" s="161">
        <f t="shared" si="2"/>
        <v>0</v>
      </c>
      <c r="B30" s="158">
        <f t="shared" si="2"/>
        <v>0</v>
      </c>
      <c r="C30" s="158">
        <f t="shared" si="4"/>
        <v>0</v>
      </c>
      <c r="D30" s="158">
        <f t="shared" si="3"/>
        <v>0</v>
      </c>
      <c r="E30" s="166">
        <f t="shared" si="1"/>
        <v>0</v>
      </c>
      <c r="F30" s="159"/>
      <c r="G30" s="159"/>
      <c r="H30" s="159"/>
      <c r="I30" s="159"/>
    </row>
    <row r="31" spans="1:9" s="160" customFormat="1">
      <c r="A31" s="161">
        <f t="shared" si="2"/>
        <v>0</v>
      </c>
      <c r="B31" s="158">
        <f t="shared" si="2"/>
        <v>0</v>
      </c>
      <c r="C31" s="158">
        <f t="shared" si="4"/>
        <v>0</v>
      </c>
      <c r="D31" s="158">
        <f t="shared" si="3"/>
        <v>0</v>
      </c>
      <c r="E31" s="166">
        <f t="shared" si="1"/>
        <v>0</v>
      </c>
      <c r="F31" s="159"/>
      <c r="G31" s="159"/>
      <c r="H31" s="159"/>
      <c r="I31" s="159"/>
    </row>
    <row r="32" spans="1:9" s="160" customFormat="1">
      <c r="A32" s="161">
        <f t="shared" si="2"/>
        <v>0</v>
      </c>
      <c r="B32" s="158">
        <f t="shared" si="2"/>
        <v>0</v>
      </c>
      <c r="C32" s="158">
        <f t="shared" si="4"/>
        <v>0</v>
      </c>
      <c r="D32" s="158">
        <f t="shared" si="3"/>
        <v>0</v>
      </c>
      <c r="E32" s="166">
        <f t="shared" si="1"/>
        <v>0</v>
      </c>
      <c r="F32" s="159"/>
      <c r="G32" s="159"/>
      <c r="H32" s="159"/>
      <c r="I32" s="159"/>
    </row>
    <row r="33" spans="1:9" s="160" customFormat="1">
      <c r="A33" s="161">
        <f t="shared" si="2"/>
        <v>0</v>
      </c>
      <c r="B33" s="158">
        <f t="shared" si="2"/>
        <v>0</v>
      </c>
      <c r="C33" s="158">
        <f t="shared" si="4"/>
        <v>0</v>
      </c>
      <c r="D33" s="158">
        <f t="shared" si="3"/>
        <v>0</v>
      </c>
      <c r="E33" s="166">
        <f t="shared" si="1"/>
        <v>0</v>
      </c>
      <c r="F33" s="159"/>
      <c r="G33" s="159"/>
      <c r="H33" s="159"/>
      <c r="I33" s="159"/>
    </row>
    <row r="34" spans="1:9" s="160" customFormat="1" ht="16" customHeight="1" thickBot="1">
      <c r="A34" s="161">
        <f t="shared" si="2"/>
        <v>0</v>
      </c>
      <c r="B34" s="158">
        <f t="shared" si="2"/>
        <v>0</v>
      </c>
      <c r="C34" s="158">
        <f t="shared" si="4"/>
        <v>0</v>
      </c>
      <c r="D34" s="167">
        <f t="shared" si="3"/>
        <v>0</v>
      </c>
      <c r="E34" s="168">
        <f t="shared" si="1"/>
        <v>0</v>
      </c>
      <c r="F34" s="159"/>
      <c r="G34" s="159"/>
      <c r="H34" s="159"/>
      <c r="I34" s="159"/>
    </row>
    <row r="35" spans="1:9" s="8" customFormat="1" ht="14" thickBot="1">
      <c r="A35" s="8" t="s">
        <v>418</v>
      </c>
      <c r="D35" s="169" t="e">
        <f>SUM(D24:D34)</f>
        <v>#DIV/0!</v>
      </c>
      <c r="E35" s="25" t="e">
        <f>SUM(E25:E34)</f>
        <v>#DIV/0!</v>
      </c>
    </row>
    <row r="36" spans="1:9" ht="14" thickBot="1"/>
    <row r="37" spans="1:9" s="8" customFormat="1" ht="14" thickBot="1">
      <c r="A37" s="8" t="s">
        <v>419</v>
      </c>
      <c r="D37" s="169" t="e">
        <f>E35</f>
        <v>#DIV/0!</v>
      </c>
    </row>
    <row r="38" spans="1:9" s="8" customFormat="1" ht="14" thickBot="1"/>
    <row r="39" spans="1:9" s="8" customFormat="1">
      <c r="A39" s="8" t="s">
        <v>420</v>
      </c>
      <c r="D39" s="170" t="e">
        <f>F7-D37</f>
        <v>#DIV/0!</v>
      </c>
      <c r="E39" s="8" t="s">
        <v>421</v>
      </c>
    </row>
    <row r="40" spans="1:9" ht="14">
      <c r="A40" t="s">
        <v>422</v>
      </c>
      <c r="D40" s="171" t="e">
        <f>D39*'Input sheet'!B23</f>
        <v>#DIV/0!</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Master Inputs</vt: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Kanchan K. Sharma</cp:lastModifiedBy>
  <cp:lastPrinted>2011-01-17T15:04:26Z</cp:lastPrinted>
  <dcterms:created xsi:type="dcterms:W3CDTF">2000-02-22T13:53:50Z</dcterms:created>
  <dcterms:modified xsi:type="dcterms:W3CDTF">2023-12-29T22:19:04Z</dcterms:modified>
</cp:coreProperties>
</file>