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Z:\CARES\2012 SOP\"/>
    </mc:Choice>
  </mc:AlternateContent>
  <bookViews>
    <workbookView xWindow="15" yWindow="0" windowWidth="9585" windowHeight="3435" tabRatio="978" activeTab="1"/>
  </bookViews>
  <sheets>
    <sheet name="TOX and EXPO INPUTS" sheetId="23" r:id="rId1"/>
    <sheet name="Inhalation_space spray" sheetId="3" r:id="rId2"/>
    <sheet name="Particle Settling Time" sheetId="28" r:id="rId3"/>
    <sheet name="Inhalation - surface directed" sheetId="18" r:id="rId4"/>
    <sheet name="Deposited residue" sheetId="8" r:id="rId5"/>
    <sheet name="Indoor - dermal" sheetId="2" r:id="rId6"/>
    <sheet name="Indoor - HTM" sheetId="20" r:id="rId7"/>
    <sheet name="Indoor - OTM" sheetId="21" r:id="rId8"/>
  </sheets>
  <definedNames>
    <definedName name="options">'Deposited residue'!$H$8:$H$10</definedName>
    <definedName name="_xlnm.Print_Area" localSheetId="6">'Indoor - HTM'!$A$1:$T$19</definedName>
    <definedName name="_xlnm.Print_Area" localSheetId="7">'Indoor - OTM'!$A$1:$S$18</definedName>
  </definedNames>
  <calcPr calcId="152511" iterateDelta="1E-4"/>
</workbook>
</file>

<file path=xl/calcChain.xml><?xml version="1.0" encoding="utf-8"?>
<calcChain xmlns="http://schemas.openxmlformats.org/spreadsheetml/2006/main">
  <c r="C39" i="3" l="1"/>
  <c r="H2" i="21" l="1"/>
  <c r="H2" i="20"/>
  <c r="F2" i="2"/>
  <c r="H52" i="8"/>
  <c r="D52" i="8"/>
  <c r="E70" i="8"/>
  <c r="G70" i="8" s="1"/>
  <c r="I62" i="8"/>
  <c r="E64" i="8"/>
  <c r="E62" i="8"/>
  <c r="F68" i="8"/>
  <c r="H68" i="8" s="1"/>
  <c r="K70" i="8"/>
  <c r="L68" i="8"/>
  <c r="I64" i="8"/>
  <c r="C36" i="8"/>
  <c r="F36" i="8" s="1"/>
  <c r="C36" i="18"/>
  <c r="A36" i="18"/>
  <c r="F2" i="18"/>
  <c r="E40" i="3"/>
  <c r="E41" i="3"/>
  <c r="E42" i="3"/>
  <c r="E43" i="3"/>
  <c r="E39" i="3"/>
  <c r="C45" i="3"/>
  <c r="E45" i="3" s="1"/>
  <c r="C46" i="3"/>
  <c r="C47" i="3"/>
  <c r="E47" i="3" s="1"/>
  <c r="C48" i="3"/>
  <c r="E48" i="3" s="1"/>
  <c r="C50" i="3"/>
  <c r="E50" i="3" s="1"/>
  <c r="C52" i="3"/>
  <c r="E52" i="3" s="1"/>
  <c r="C53" i="3"/>
  <c r="E53" i="3" s="1"/>
  <c r="C55" i="3"/>
  <c r="E55" i="3" s="1"/>
  <c r="C57" i="3"/>
  <c r="E57" i="3" s="1"/>
  <c r="C58" i="3"/>
  <c r="E58" i="3" s="1"/>
  <c r="C60" i="3"/>
  <c r="E60" i="3" s="1"/>
  <c r="C62" i="3"/>
  <c r="E62" i="3" s="1"/>
  <c r="C63" i="3"/>
  <c r="E63" i="3" s="1"/>
  <c r="C65" i="3"/>
  <c r="E65" i="3" s="1"/>
  <c r="C67" i="3"/>
  <c r="E67" i="3" s="1"/>
  <c r="C68" i="3"/>
  <c r="E68" i="3" s="1"/>
  <c r="C70" i="3"/>
  <c r="E70" i="3" s="1"/>
  <c r="C72" i="3"/>
  <c r="E72" i="3" s="1"/>
  <c r="C73" i="3"/>
  <c r="E73" i="3" s="1"/>
  <c r="C75" i="3"/>
  <c r="E75" i="3" s="1"/>
  <c r="C77" i="3"/>
  <c r="E77" i="3" s="1"/>
  <c r="C78" i="3"/>
  <c r="E78" i="3" s="1"/>
  <c r="C80" i="3"/>
  <c r="E80" i="3" s="1"/>
  <c r="C82" i="3"/>
  <c r="E82" i="3" s="1"/>
  <c r="C83" i="3"/>
  <c r="E83" i="3" s="1"/>
  <c r="C85" i="3"/>
  <c r="E85" i="3" s="1"/>
  <c r="C87" i="3"/>
  <c r="E87" i="3" s="1"/>
  <c r="C88" i="3"/>
  <c r="E88" i="3" s="1"/>
  <c r="C90" i="3"/>
  <c r="E90" i="3" s="1"/>
  <c r="C92" i="3"/>
  <c r="E92" i="3" s="1"/>
  <c r="C93" i="3"/>
  <c r="E93" i="3" s="1"/>
  <c r="C95" i="3"/>
  <c r="E95" i="3" s="1"/>
  <c r="C97" i="3"/>
  <c r="E97" i="3" s="1"/>
  <c r="C98" i="3"/>
  <c r="E98" i="3" s="1"/>
  <c r="C100" i="3"/>
  <c r="E100" i="3" s="1"/>
  <c r="C102" i="3"/>
  <c r="E102" i="3" s="1"/>
  <c r="C103" i="3"/>
  <c r="E103" i="3" s="1"/>
  <c r="C105" i="3"/>
  <c r="E105" i="3" s="1"/>
  <c r="C107" i="3"/>
  <c r="E107" i="3" s="1"/>
  <c r="C108" i="3"/>
  <c r="E108" i="3" s="1"/>
  <c r="C110" i="3"/>
  <c r="E110" i="3" s="1"/>
  <c r="C112" i="3"/>
  <c r="E112" i="3" s="1"/>
  <c r="C113" i="3"/>
  <c r="E113" i="3" s="1"/>
  <c r="C115" i="3"/>
  <c r="E115" i="3" s="1"/>
  <c r="C117" i="3"/>
  <c r="E117" i="3" s="1"/>
  <c r="C118" i="3"/>
  <c r="E118" i="3" s="1"/>
  <c r="C120" i="3"/>
  <c r="E120" i="3" s="1"/>
  <c r="C122" i="3"/>
  <c r="E122" i="3" s="1"/>
  <c r="C123" i="3"/>
  <c r="E123" i="3" s="1"/>
  <c r="C125" i="3"/>
  <c r="E125" i="3" s="1"/>
  <c r="C127" i="3"/>
  <c r="E127" i="3" s="1"/>
  <c r="C128" i="3"/>
  <c r="E128" i="3" s="1"/>
  <c r="C130" i="3"/>
  <c r="E130" i="3" s="1"/>
  <c r="C132" i="3"/>
  <c r="E132" i="3" s="1"/>
  <c r="C133" i="3"/>
  <c r="E133" i="3" s="1"/>
  <c r="C135" i="3"/>
  <c r="E135" i="3" s="1"/>
  <c r="C137" i="3"/>
  <c r="E137" i="3" s="1"/>
  <c r="C138" i="3"/>
  <c r="E138" i="3" s="1"/>
  <c r="C140" i="3"/>
  <c r="E140" i="3" s="1"/>
  <c r="C142" i="3"/>
  <c r="E142" i="3" s="1"/>
  <c r="C143" i="3"/>
  <c r="E143" i="3" s="1"/>
  <c r="C145" i="3"/>
  <c r="E145" i="3" s="1"/>
  <c r="C147" i="3"/>
  <c r="E147" i="3" s="1"/>
  <c r="C148" i="3"/>
  <c r="E148" i="3" s="1"/>
  <c r="C150" i="3"/>
  <c r="E150" i="3" s="1"/>
  <c r="C152" i="3"/>
  <c r="E152" i="3" s="1"/>
  <c r="C153" i="3"/>
  <c r="E153" i="3" s="1"/>
  <c r="C155" i="3"/>
  <c r="E155" i="3" s="1"/>
  <c r="C157" i="3"/>
  <c r="E157" i="3" s="1"/>
  <c r="C158" i="3"/>
  <c r="E158" i="3" s="1"/>
  <c r="C44" i="3"/>
  <c r="C49" i="3" s="1"/>
  <c r="E28" i="3"/>
  <c r="F22" i="3"/>
  <c r="I22" i="3" s="1"/>
  <c r="A18" i="3"/>
  <c r="A27" i="3"/>
  <c r="A24" i="3"/>
  <c r="A21" i="3"/>
  <c r="B28" i="3"/>
  <c r="H28" i="3" l="1"/>
  <c r="C51" i="3"/>
  <c r="E46" i="3"/>
  <c r="E49" i="3"/>
  <c r="C54" i="3"/>
  <c r="E44" i="3"/>
  <c r="I52" i="8"/>
  <c r="J62" i="8"/>
  <c r="M68" i="8"/>
  <c r="J64" i="8"/>
  <c r="L70" i="8"/>
  <c r="F19" i="3"/>
  <c r="C56" i="3" l="1"/>
  <c r="E51" i="3"/>
  <c r="C59" i="3"/>
  <c r="E54" i="3"/>
  <c r="F20" i="8"/>
  <c r="C61" i="3" l="1"/>
  <c r="E56" i="3"/>
  <c r="E59" i="3"/>
  <c r="C64" i="3"/>
  <c r="D56" i="8"/>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39" i="3"/>
  <c r="C33" i="21"/>
  <c r="C32" i="21"/>
  <c r="E32" i="21" s="1"/>
  <c r="C30" i="21"/>
  <c r="C29" i="21"/>
  <c r="E29" i="21" s="1"/>
  <c r="C17" i="21"/>
  <c r="J33" i="21"/>
  <c r="E33" i="21"/>
  <c r="M33" i="21" s="1"/>
  <c r="N33" i="21" s="1"/>
  <c r="O33" i="21" s="1"/>
  <c r="P33" i="21" s="1"/>
  <c r="J32" i="21"/>
  <c r="J30" i="21"/>
  <c r="E30" i="21"/>
  <c r="M30" i="21" s="1"/>
  <c r="N30" i="21" s="1"/>
  <c r="O30" i="21" s="1"/>
  <c r="P30" i="21" s="1"/>
  <c r="J29" i="21"/>
  <c r="J25" i="20"/>
  <c r="J24" i="20"/>
  <c r="J22" i="20"/>
  <c r="J21" i="20"/>
  <c r="F2" i="3"/>
  <c r="A53" i="28"/>
  <c r="A52" i="28"/>
  <c r="A51" i="28"/>
  <c r="A50" i="28"/>
  <c r="A49" i="28"/>
  <c r="A48" i="28"/>
  <c r="A47" i="28"/>
  <c r="A46" i="28"/>
  <c r="A45" i="28"/>
  <c r="A44" i="28"/>
  <c r="A43" i="28"/>
  <c r="A42" i="28"/>
  <c r="A41" i="28"/>
  <c r="A40" i="28"/>
  <c r="A39" i="28"/>
  <c r="A38" i="28"/>
  <c r="A37" i="28"/>
  <c r="A36" i="28"/>
  <c r="B25" i="28"/>
  <c r="D25" i="28" s="1"/>
  <c r="E25" i="28" s="1"/>
  <c r="F25" i="28" s="1"/>
  <c r="G25" i="28" s="1"/>
  <c r="B53" i="28" s="1"/>
  <c r="C53" i="28" s="1"/>
  <c r="G53" i="28" s="1"/>
  <c r="H53" i="28" s="1"/>
  <c r="I53" i="28" s="1"/>
  <c r="J53" i="28" s="1"/>
  <c r="B24" i="28"/>
  <c r="D24" i="28" s="1"/>
  <c r="E24" i="28" s="1"/>
  <c r="F24" i="28" s="1"/>
  <c r="G24" i="28" s="1"/>
  <c r="B52" i="28" s="1"/>
  <c r="C52" i="28" s="1"/>
  <c r="G52" i="28" s="1"/>
  <c r="H52" i="28" s="1"/>
  <c r="I52" i="28" s="1"/>
  <c r="J52" i="28" s="1"/>
  <c r="B23" i="28"/>
  <c r="D23" i="28"/>
  <c r="E23" i="28" s="1"/>
  <c r="F23" i="28" s="1"/>
  <c r="G23" i="28" s="1"/>
  <c r="B51" i="28" s="1"/>
  <c r="C51" i="28" s="1"/>
  <c r="G51" i="28" s="1"/>
  <c r="H51" i="28" s="1"/>
  <c r="I51" i="28" s="1"/>
  <c r="J51" i="28" s="1"/>
  <c r="B22" i="28"/>
  <c r="D22" i="28" s="1"/>
  <c r="E22" i="28" s="1"/>
  <c r="F22" i="28" s="1"/>
  <c r="G22" i="28" s="1"/>
  <c r="B50" i="28" s="1"/>
  <c r="C50" i="28" s="1"/>
  <c r="G50" i="28" s="1"/>
  <c r="H50" i="28" s="1"/>
  <c r="I50" i="28" s="1"/>
  <c r="J50" i="28" s="1"/>
  <c r="B21" i="28"/>
  <c r="D21" i="28" s="1"/>
  <c r="E21" i="28" s="1"/>
  <c r="F21" i="28" s="1"/>
  <c r="G21" i="28" s="1"/>
  <c r="B49" i="28" s="1"/>
  <c r="C49" i="28" s="1"/>
  <c r="G49" i="28" s="1"/>
  <c r="H49" i="28" s="1"/>
  <c r="I49" i="28" s="1"/>
  <c r="J49" i="28" s="1"/>
  <c r="B20" i="28"/>
  <c r="D20" i="28" s="1"/>
  <c r="E20" i="28" s="1"/>
  <c r="F20" i="28" s="1"/>
  <c r="G20" i="28" s="1"/>
  <c r="B48" i="28" s="1"/>
  <c r="C48" i="28" s="1"/>
  <c r="G48" i="28" s="1"/>
  <c r="H48" i="28" s="1"/>
  <c r="I48" i="28" s="1"/>
  <c r="J48" i="28" s="1"/>
  <c r="B19" i="28"/>
  <c r="D19" i="28"/>
  <c r="E19" i="28" s="1"/>
  <c r="F19" i="28" s="1"/>
  <c r="G19" i="28" s="1"/>
  <c r="B47" i="28" s="1"/>
  <c r="C47" i="28" s="1"/>
  <c r="G47" i="28" s="1"/>
  <c r="H47" i="28" s="1"/>
  <c r="I47" i="28" s="1"/>
  <c r="J47" i="28" s="1"/>
  <c r="B18" i="28"/>
  <c r="D18" i="28" s="1"/>
  <c r="E18" i="28" s="1"/>
  <c r="F18" i="28" s="1"/>
  <c r="G18" i="28" s="1"/>
  <c r="B46" i="28" s="1"/>
  <c r="C46" i="28" s="1"/>
  <c r="G46" i="28" s="1"/>
  <c r="H46" i="28" s="1"/>
  <c r="I46" i="28" s="1"/>
  <c r="J46" i="28" s="1"/>
  <c r="B17" i="28"/>
  <c r="D17" i="28" s="1"/>
  <c r="E17" i="28" s="1"/>
  <c r="F17" i="28" s="1"/>
  <c r="G17" i="28" s="1"/>
  <c r="B45" i="28" s="1"/>
  <c r="C45" i="28" s="1"/>
  <c r="G45" i="28" s="1"/>
  <c r="H45" i="28" s="1"/>
  <c r="I45" i="28" s="1"/>
  <c r="J45" i="28" s="1"/>
  <c r="B16" i="28"/>
  <c r="D16" i="28" s="1"/>
  <c r="E16" i="28" s="1"/>
  <c r="F16" i="28" s="1"/>
  <c r="G16" i="28" s="1"/>
  <c r="B44" i="28" s="1"/>
  <c r="C44" i="28" s="1"/>
  <c r="G44" i="28" s="1"/>
  <c r="H44" i="28" s="1"/>
  <c r="I44" i="28" s="1"/>
  <c r="J44" i="28" s="1"/>
  <c r="B15" i="28"/>
  <c r="D15" i="28"/>
  <c r="E15" i="28" s="1"/>
  <c r="F15" i="28" s="1"/>
  <c r="G15" i="28" s="1"/>
  <c r="B43" i="28" s="1"/>
  <c r="C43" i="28" s="1"/>
  <c r="G43" i="28" s="1"/>
  <c r="H43" i="28" s="1"/>
  <c r="I43" i="28" s="1"/>
  <c r="J43" i="28" s="1"/>
  <c r="B14" i="28"/>
  <c r="D14" i="28" s="1"/>
  <c r="E14" i="28" s="1"/>
  <c r="F14" i="28" s="1"/>
  <c r="G14" i="28" s="1"/>
  <c r="B42" i="28" s="1"/>
  <c r="C42" i="28" s="1"/>
  <c r="G42" i="28" s="1"/>
  <c r="H42" i="28" s="1"/>
  <c r="I42" i="28" s="1"/>
  <c r="J42" i="28" s="1"/>
  <c r="B13" i="28"/>
  <c r="D13" i="28" s="1"/>
  <c r="E13" i="28" s="1"/>
  <c r="F13" i="28" s="1"/>
  <c r="G13" i="28" s="1"/>
  <c r="B41" i="28" s="1"/>
  <c r="C41" i="28" s="1"/>
  <c r="G41" i="28" s="1"/>
  <c r="H41" i="28" s="1"/>
  <c r="I41" i="28" s="1"/>
  <c r="J41" i="28" s="1"/>
  <c r="B12" i="28"/>
  <c r="D12" i="28" s="1"/>
  <c r="E12" i="28" s="1"/>
  <c r="F12" i="28" s="1"/>
  <c r="G12" i="28" s="1"/>
  <c r="B40" i="28" s="1"/>
  <c r="C40" i="28" s="1"/>
  <c r="G40" i="28" s="1"/>
  <c r="H40" i="28" s="1"/>
  <c r="I40" i="28" s="1"/>
  <c r="J40" i="28" s="1"/>
  <c r="B11" i="28"/>
  <c r="D11" i="28"/>
  <c r="E11" i="28" s="1"/>
  <c r="F11" i="28" s="1"/>
  <c r="G11" i="28" s="1"/>
  <c r="B39" i="28" s="1"/>
  <c r="C39" i="28" s="1"/>
  <c r="G39" i="28" s="1"/>
  <c r="H39" i="28" s="1"/>
  <c r="I39" i="28" s="1"/>
  <c r="J39" i="28" s="1"/>
  <c r="B10" i="28"/>
  <c r="D10" i="28" s="1"/>
  <c r="E10" i="28" s="1"/>
  <c r="F10" i="28" s="1"/>
  <c r="G10" i="28" s="1"/>
  <c r="B38" i="28" s="1"/>
  <c r="C38" i="28" s="1"/>
  <c r="G38" i="28" s="1"/>
  <c r="H38" i="28" s="1"/>
  <c r="I38" i="28" s="1"/>
  <c r="J38" i="28" s="1"/>
  <c r="B9" i="28"/>
  <c r="D9" i="28" s="1"/>
  <c r="E9" i="28" s="1"/>
  <c r="F9" i="28" s="1"/>
  <c r="G9" i="28" s="1"/>
  <c r="B37" i="28" s="1"/>
  <c r="C37" i="28" s="1"/>
  <c r="G37" i="28" s="1"/>
  <c r="H37" i="28" s="1"/>
  <c r="I37" i="28" s="1"/>
  <c r="J37" i="28" s="1"/>
  <c r="B8" i="28"/>
  <c r="D8" i="28" s="1"/>
  <c r="E8" i="28" s="1"/>
  <c r="F8" i="28" s="1"/>
  <c r="G8" i="28" s="1"/>
  <c r="B36" i="28" s="1"/>
  <c r="C36" i="28" s="1"/>
  <c r="G36" i="28" s="1"/>
  <c r="H36" i="28" s="1"/>
  <c r="I36" i="28" s="1"/>
  <c r="J36" i="28" s="1"/>
  <c r="A24" i="8"/>
  <c r="A18" i="8"/>
  <c r="A12" i="8"/>
  <c r="B25" i="3"/>
  <c r="F25" i="3" s="1"/>
  <c r="H36" i="8"/>
  <c r="J36" i="8" s="1"/>
  <c r="C27" i="21"/>
  <c r="E27" i="21" s="1"/>
  <c r="C26" i="21"/>
  <c r="E26" i="21" s="1"/>
  <c r="C24" i="21"/>
  <c r="E24" i="21" s="1"/>
  <c r="C23" i="21"/>
  <c r="E23" i="21" s="1"/>
  <c r="C21" i="21"/>
  <c r="C20" i="21"/>
  <c r="E20" i="21" s="1"/>
  <c r="C18" i="21"/>
  <c r="E18" i="21" s="1"/>
  <c r="E17" i="21"/>
  <c r="J27" i="21"/>
  <c r="J26" i="21"/>
  <c r="J24" i="21"/>
  <c r="J23" i="21"/>
  <c r="J21" i="21"/>
  <c r="E21" i="21"/>
  <c r="M21" i="21" s="1"/>
  <c r="N21" i="21" s="1"/>
  <c r="O21" i="21" s="1"/>
  <c r="P21" i="21" s="1"/>
  <c r="J20" i="21"/>
  <c r="C14" i="18"/>
  <c r="E14" i="18" s="1"/>
  <c r="E29" i="8"/>
  <c r="E28" i="8"/>
  <c r="E27" i="8"/>
  <c r="E26" i="8"/>
  <c r="A18" i="18"/>
  <c r="F18" i="18" s="1"/>
  <c r="J19" i="20"/>
  <c r="J18" i="20"/>
  <c r="J16" i="20"/>
  <c r="J15" i="20"/>
  <c r="J13" i="20"/>
  <c r="J12" i="20"/>
  <c r="B36" i="18"/>
  <c r="H36" i="18" s="1"/>
  <c r="B40" i="18" s="1"/>
  <c r="G52" i="2"/>
  <c r="K52" i="2" s="1"/>
  <c r="G53" i="2"/>
  <c r="K53" i="2" s="1"/>
  <c r="G54" i="2"/>
  <c r="K54" i="2" s="1"/>
  <c r="M54" i="2" s="1"/>
  <c r="N54" i="2" s="1"/>
  <c r="G55" i="2"/>
  <c r="K55" i="2" s="1"/>
  <c r="G56" i="2"/>
  <c r="K56" i="2"/>
  <c r="L56" i="2" s="1"/>
  <c r="G57" i="2"/>
  <c r="K57" i="2"/>
  <c r="L57" i="2" s="1"/>
  <c r="G58" i="2"/>
  <c r="K58" i="2" s="1"/>
  <c r="G59" i="2"/>
  <c r="K59" i="2" s="1"/>
  <c r="J18" i="21"/>
  <c r="J17" i="21"/>
  <c r="M17" i="21" s="1"/>
  <c r="N17" i="21" s="1"/>
  <c r="O17" i="21" s="1"/>
  <c r="P17" i="21" s="1"/>
  <c r="J10" i="20"/>
  <c r="J9" i="20"/>
  <c r="F22" i="8"/>
  <c r="G22" i="8" s="1"/>
  <c r="F21" i="8"/>
  <c r="G21" i="8" s="1"/>
  <c r="G20" i="8"/>
  <c r="G16" i="8"/>
  <c r="G15" i="8"/>
  <c r="G14" i="8"/>
  <c r="D35" i="2"/>
  <c r="D33" i="2"/>
  <c r="D36" i="2"/>
  <c r="D34" i="2"/>
  <c r="F34" i="2" s="1"/>
  <c r="J34" i="2" s="1"/>
  <c r="D26" i="2"/>
  <c r="F26" i="2" s="1"/>
  <c r="J26" i="2" s="1"/>
  <c r="D28" i="2"/>
  <c r="D25" i="2"/>
  <c r="F25" i="2" s="1"/>
  <c r="J25" i="2" s="1"/>
  <c r="K25" i="2" s="1"/>
  <c r="D27" i="2"/>
  <c r="C45" i="2"/>
  <c r="I45" i="2" s="1"/>
  <c r="C46" i="2"/>
  <c r="I46" i="2" s="1"/>
  <c r="D39" i="2"/>
  <c r="F39" i="2" s="1"/>
  <c r="J39" i="2" s="1"/>
  <c r="K39" i="2" s="1"/>
  <c r="M39" i="2" s="1"/>
  <c r="N39" i="2" s="1"/>
  <c r="D37" i="2"/>
  <c r="F37" i="2" s="1"/>
  <c r="J37" i="2" s="1"/>
  <c r="K37" i="2" s="1"/>
  <c r="D40" i="2"/>
  <c r="F40" i="2" s="1"/>
  <c r="J40" i="2" s="1"/>
  <c r="D38" i="2"/>
  <c r="F38" i="2" s="1"/>
  <c r="J38" i="2" s="1"/>
  <c r="D17" i="2"/>
  <c r="F17" i="2" s="1"/>
  <c r="J17" i="2" s="1"/>
  <c r="K17" i="2" s="1"/>
  <c r="M17" i="2" s="1"/>
  <c r="N17" i="2" s="1"/>
  <c r="D19" i="2"/>
  <c r="D18" i="2"/>
  <c r="D20" i="2"/>
  <c r="F20" i="2" s="1"/>
  <c r="J20" i="2" s="1"/>
  <c r="D32" i="2"/>
  <c r="D29" i="2"/>
  <c r="F29" i="2" s="1"/>
  <c r="J29" i="2" s="1"/>
  <c r="K29" i="2" s="1"/>
  <c r="M29" i="2" s="1"/>
  <c r="N29" i="2" s="1"/>
  <c r="D31" i="2"/>
  <c r="D30" i="2"/>
  <c r="F30" i="2" s="1"/>
  <c r="J30" i="2" s="1"/>
  <c r="D24" i="2"/>
  <c r="M57" i="2"/>
  <c r="N57" i="2" s="1"/>
  <c r="D22" i="2"/>
  <c r="F22" i="2" s="1"/>
  <c r="J22" i="2" s="1"/>
  <c r="D21" i="2"/>
  <c r="F21" i="2" s="1"/>
  <c r="J21" i="2" s="1"/>
  <c r="K21" i="2" s="1"/>
  <c r="M21" i="2" s="1"/>
  <c r="N21" i="2" s="1"/>
  <c r="F36" i="2"/>
  <c r="J36" i="2" s="1"/>
  <c r="F35" i="2"/>
  <c r="J35" i="2" s="1"/>
  <c r="K35" i="2" s="1"/>
  <c r="M35" i="2" s="1"/>
  <c r="N35" i="2" s="1"/>
  <c r="F19" i="2"/>
  <c r="J19" i="2" s="1"/>
  <c r="K19" i="2" s="1"/>
  <c r="F27" i="2"/>
  <c r="J27" i="2" s="1"/>
  <c r="K27" i="2" s="1"/>
  <c r="M27" i="2" s="1"/>
  <c r="N27" i="2" s="1"/>
  <c r="F28" i="2"/>
  <c r="J28" i="2" s="1"/>
  <c r="F33" i="2"/>
  <c r="J33" i="2" s="1"/>
  <c r="K33" i="2" s="1"/>
  <c r="F32" i="2"/>
  <c r="J32" i="2" s="1"/>
  <c r="F18" i="2"/>
  <c r="J18" i="2" s="1"/>
  <c r="F24" i="2"/>
  <c r="J24" i="2" s="1"/>
  <c r="D23" i="2"/>
  <c r="F31" i="2"/>
  <c r="J31" i="2" s="1"/>
  <c r="K31" i="2" s="1"/>
  <c r="M31" i="2" s="1"/>
  <c r="N31" i="2" s="1"/>
  <c r="F23" i="2"/>
  <c r="J23" i="2" s="1"/>
  <c r="K23" i="2" s="1"/>
  <c r="L23" i="2" s="1"/>
  <c r="B33" i="3" l="1"/>
  <c r="B32" i="3"/>
  <c r="D32" i="3" s="1"/>
  <c r="G32" i="3" s="1"/>
  <c r="H32" i="3" s="1"/>
  <c r="M24" i="21"/>
  <c r="N24" i="21" s="1"/>
  <c r="O24" i="21" s="1"/>
  <c r="P24" i="21" s="1"/>
  <c r="M27" i="21"/>
  <c r="N27" i="21" s="1"/>
  <c r="O27" i="21" s="1"/>
  <c r="P27" i="21" s="1"/>
  <c r="M29" i="21"/>
  <c r="N29" i="21" s="1"/>
  <c r="O29" i="21" s="1"/>
  <c r="P29" i="21" s="1"/>
  <c r="M32" i="21"/>
  <c r="N32" i="21" s="1"/>
  <c r="O32" i="21" s="1"/>
  <c r="P32" i="21" s="1"/>
  <c r="C66" i="3"/>
  <c r="E61" i="3"/>
  <c r="G18" i="18"/>
  <c r="B41" i="18"/>
  <c r="D41" i="18" s="1"/>
  <c r="F41" i="18" s="1"/>
  <c r="G41" i="18" s="1"/>
  <c r="C69" i="3"/>
  <c r="E64" i="3"/>
  <c r="L17" i="2"/>
  <c r="M18" i="21"/>
  <c r="N18" i="21" s="1"/>
  <c r="O18" i="21" s="1"/>
  <c r="P18" i="21" s="1"/>
  <c r="M23" i="21"/>
  <c r="N23" i="21" s="1"/>
  <c r="O23" i="21" s="1"/>
  <c r="P23" i="21" s="1"/>
  <c r="M26" i="21"/>
  <c r="N26" i="21" s="1"/>
  <c r="O26" i="21" s="1"/>
  <c r="P26" i="21" s="1"/>
  <c r="M20" i="21"/>
  <c r="N20" i="21" s="1"/>
  <c r="O20" i="21" s="1"/>
  <c r="P20" i="21" s="1"/>
  <c r="L53" i="2"/>
  <c r="M53" i="2"/>
  <c r="N53" i="2" s="1"/>
  <c r="M52" i="2"/>
  <c r="N52" i="2" s="1"/>
  <c r="L52" i="2"/>
  <c r="M56" i="2"/>
  <c r="N56" i="2" s="1"/>
  <c r="M59" i="2"/>
  <c r="N59" i="2" s="1"/>
  <c r="L59" i="2"/>
  <c r="L55" i="2"/>
  <c r="M55" i="2"/>
  <c r="N55" i="2" s="1"/>
  <c r="M58" i="2"/>
  <c r="N58" i="2" s="1"/>
  <c r="L58" i="2"/>
  <c r="L54" i="2"/>
  <c r="L35" i="2"/>
  <c r="L29" i="2"/>
  <c r="L39" i="2"/>
  <c r="L31" i="2"/>
  <c r="D19" i="20"/>
  <c r="F19" i="20" s="1"/>
  <c r="M19" i="20" s="1"/>
  <c r="N19" i="20" s="1"/>
  <c r="O19" i="20" s="1"/>
  <c r="K32" i="2"/>
  <c r="M32" i="2" s="1"/>
  <c r="N32" i="2" s="1"/>
  <c r="D24" i="20"/>
  <c r="F24" i="20" s="1"/>
  <c r="M24" i="20" s="1"/>
  <c r="N24" i="20" s="1"/>
  <c r="O24" i="20" s="1"/>
  <c r="K38" i="2"/>
  <c r="L25" i="2"/>
  <c r="M25" i="2"/>
  <c r="N25" i="2" s="1"/>
  <c r="D18" i="20"/>
  <c r="F18" i="20" s="1"/>
  <c r="M18" i="20" s="1"/>
  <c r="N18" i="20" s="1"/>
  <c r="O18" i="20" s="1"/>
  <c r="K30" i="2"/>
  <c r="D10" i="20"/>
  <c r="F10" i="20" s="1"/>
  <c r="M10" i="20" s="1"/>
  <c r="N10" i="20" s="1"/>
  <c r="O10" i="20" s="1"/>
  <c r="K20" i="2"/>
  <c r="L20" i="2" s="1"/>
  <c r="L37" i="2"/>
  <c r="M37" i="2"/>
  <c r="N37" i="2" s="1"/>
  <c r="D21" i="20"/>
  <c r="F21" i="20" s="1"/>
  <c r="M21" i="20" s="1"/>
  <c r="N21" i="20" s="1"/>
  <c r="O21" i="20" s="1"/>
  <c r="K34" i="2"/>
  <c r="M34" i="2" s="1"/>
  <c r="N34" i="2" s="1"/>
  <c r="D9" i="20"/>
  <c r="F9" i="20" s="1"/>
  <c r="M9" i="20" s="1"/>
  <c r="N9" i="20" s="1"/>
  <c r="O9" i="20" s="1"/>
  <c r="K18" i="2"/>
  <c r="L18" i="2" s="1"/>
  <c r="D12" i="20"/>
  <c r="F12" i="20" s="1"/>
  <c r="M12" i="20" s="1"/>
  <c r="N12" i="20" s="1"/>
  <c r="O12" i="20" s="1"/>
  <c r="K22" i="2"/>
  <c r="M22" i="2" s="1"/>
  <c r="N22" i="2" s="1"/>
  <c r="M33" i="2"/>
  <c r="N33" i="2" s="1"/>
  <c r="L33" i="2"/>
  <c r="L19" i="2"/>
  <c r="M19" i="2"/>
  <c r="N19" i="2" s="1"/>
  <c r="D13" i="20"/>
  <c r="F13" i="20" s="1"/>
  <c r="M13" i="20" s="1"/>
  <c r="N13" i="20" s="1"/>
  <c r="O13" i="20" s="1"/>
  <c r="K24" i="2"/>
  <c r="D16" i="20"/>
  <c r="F16" i="20" s="1"/>
  <c r="M16" i="20" s="1"/>
  <c r="N16" i="20" s="1"/>
  <c r="O16" i="20" s="1"/>
  <c r="K28" i="2"/>
  <c r="D22" i="20"/>
  <c r="F22" i="20" s="1"/>
  <c r="M22" i="20" s="1"/>
  <c r="N22" i="20" s="1"/>
  <c r="O22" i="20" s="1"/>
  <c r="K36" i="2"/>
  <c r="D25" i="20"/>
  <c r="F25" i="20" s="1"/>
  <c r="M25" i="20" s="1"/>
  <c r="N25" i="20" s="1"/>
  <c r="O25" i="20" s="1"/>
  <c r="K40" i="2"/>
  <c r="D15" i="20"/>
  <c r="F15" i="20" s="1"/>
  <c r="M15" i="20" s="1"/>
  <c r="N15" i="20" s="1"/>
  <c r="O15" i="20" s="1"/>
  <c r="K26" i="2"/>
  <c r="M23" i="2"/>
  <c r="N23" i="2" s="1"/>
  <c r="L27" i="2"/>
  <c r="D40" i="18"/>
  <c r="E40" i="18" s="1"/>
  <c r="J46" i="2"/>
  <c r="K46" i="2"/>
  <c r="L46" i="2" s="1"/>
  <c r="K45" i="2"/>
  <c r="L45" i="2" s="1"/>
  <c r="J45" i="2"/>
  <c r="M20" i="2"/>
  <c r="N20" i="2" s="1"/>
  <c r="I18" i="18"/>
  <c r="A22" i="18" s="1"/>
  <c r="L21" i="2"/>
  <c r="D33" i="3"/>
  <c r="G33" i="3" s="1"/>
  <c r="C71" i="3" l="1"/>
  <c r="E66" i="3"/>
  <c r="E41" i="18"/>
  <c r="L32" i="2"/>
  <c r="L34" i="2"/>
  <c r="E69" i="3"/>
  <c r="C74" i="3"/>
  <c r="G44" i="3"/>
  <c r="L22" i="2"/>
  <c r="M18" i="2"/>
  <c r="N18" i="2" s="1"/>
  <c r="M26" i="2"/>
  <c r="N26" i="2" s="1"/>
  <c r="L26" i="2"/>
  <c r="L40" i="2"/>
  <c r="M40" i="2"/>
  <c r="N40" i="2" s="1"/>
  <c r="L36" i="2"/>
  <c r="M36" i="2"/>
  <c r="N36" i="2" s="1"/>
  <c r="L28" i="2"/>
  <c r="M28" i="2"/>
  <c r="N28" i="2" s="1"/>
  <c r="L24" i="2"/>
  <c r="M24" i="2"/>
  <c r="N24" i="2" s="1"/>
  <c r="M30" i="2"/>
  <c r="N30" i="2" s="1"/>
  <c r="L30" i="2"/>
  <c r="L38" i="2"/>
  <c r="M38" i="2"/>
  <c r="N38" i="2" s="1"/>
  <c r="G49" i="3"/>
  <c r="G39" i="3"/>
  <c r="F40" i="18"/>
  <c r="G40" i="18" s="1"/>
  <c r="H33" i="3"/>
  <c r="J33" i="3" s="1"/>
  <c r="K33" i="3" s="1"/>
  <c r="J32" i="3"/>
  <c r="K32" i="3" s="1"/>
  <c r="B26" i="18"/>
  <c r="D26" i="18" s="1"/>
  <c r="B22" i="18"/>
  <c r="G158" i="3"/>
  <c r="G150" i="3"/>
  <c r="G142" i="3"/>
  <c r="G138" i="3"/>
  <c r="G130" i="3"/>
  <c r="G122" i="3"/>
  <c r="G118" i="3"/>
  <c r="G110" i="3"/>
  <c r="G102" i="3"/>
  <c r="G98" i="3"/>
  <c r="G90" i="3"/>
  <c r="G82" i="3"/>
  <c r="G78" i="3"/>
  <c r="G70" i="3"/>
  <c r="G66" i="3"/>
  <c r="G62" i="3"/>
  <c r="G58" i="3"/>
  <c r="G54" i="3"/>
  <c r="G50" i="3"/>
  <c r="G46" i="3"/>
  <c r="G40" i="3"/>
  <c r="G157" i="3"/>
  <c r="G153" i="3"/>
  <c r="G145" i="3"/>
  <c r="G137" i="3"/>
  <c r="G133" i="3"/>
  <c r="G125" i="3"/>
  <c r="G117" i="3"/>
  <c r="G113" i="3"/>
  <c r="G105" i="3"/>
  <c r="G97" i="3"/>
  <c r="G93" i="3"/>
  <c r="G85" i="3"/>
  <c r="G77" i="3"/>
  <c r="G73" i="3"/>
  <c r="G69" i="3"/>
  <c r="G65" i="3"/>
  <c r="G61" i="3"/>
  <c r="G57" i="3"/>
  <c r="G53" i="3"/>
  <c r="G47" i="3"/>
  <c r="G45" i="3"/>
  <c r="G43" i="3"/>
  <c r="G41" i="3"/>
  <c r="G152" i="3"/>
  <c r="G148" i="3"/>
  <c r="G140" i="3"/>
  <c r="G132" i="3"/>
  <c r="G128" i="3"/>
  <c r="G120" i="3"/>
  <c r="G112" i="3"/>
  <c r="G108" i="3"/>
  <c r="G100" i="3"/>
  <c r="G92" i="3"/>
  <c r="G88" i="3"/>
  <c r="G80" i="3"/>
  <c r="G72" i="3"/>
  <c r="G68" i="3"/>
  <c r="G64" i="3"/>
  <c r="G60" i="3"/>
  <c r="G56" i="3"/>
  <c r="G52" i="3"/>
  <c r="G48" i="3"/>
  <c r="G42" i="3"/>
  <c r="G155" i="3"/>
  <c r="G147" i="3"/>
  <c r="G143" i="3"/>
  <c r="G135" i="3"/>
  <c r="G127" i="3"/>
  <c r="G123" i="3"/>
  <c r="G115" i="3"/>
  <c r="G107" i="3"/>
  <c r="G103" i="3"/>
  <c r="G95" i="3"/>
  <c r="G87" i="3"/>
  <c r="G83" i="3"/>
  <c r="G75" i="3"/>
  <c r="G67" i="3"/>
  <c r="G63" i="3"/>
  <c r="G59" i="3"/>
  <c r="G55" i="3"/>
  <c r="G51" i="3"/>
  <c r="C76" i="3" l="1"/>
  <c r="E71" i="3"/>
  <c r="G71" i="3" s="1"/>
  <c r="C79" i="3"/>
  <c r="E74" i="3"/>
  <c r="G74" i="3" s="1"/>
  <c r="E163" i="3"/>
  <c r="F163" i="3" s="1"/>
  <c r="H163" i="3" s="1"/>
  <c r="I163" i="3" s="1"/>
  <c r="E162" i="3"/>
  <c r="F162" i="3" s="1"/>
  <c r="G162" i="3" s="1"/>
  <c r="I32" i="3"/>
  <c r="I33" i="3"/>
  <c r="F26" i="18"/>
  <c r="G26" i="18" s="1"/>
  <c r="B27" i="18"/>
  <c r="C81" i="3" l="1"/>
  <c r="E76" i="3"/>
  <c r="G76" i="3" s="1"/>
  <c r="E79" i="3"/>
  <c r="G79" i="3" s="1"/>
  <c r="C84" i="3"/>
  <c r="H162" i="3"/>
  <c r="I162" i="3" s="1"/>
  <c r="G163" i="3"/>
  <c r="D27" i="18"/>
  <c r="E27" i="18" s="1"/>
  <c r="E26" i="18"/>
  <c r="C86" i="3" l="1"/>
  <c r="E81" i="3"/>
  <c r="G81" i="3" s="1"/>
  <c r="C89" i="3"/>
  <c r="E84" i="3"/>
  <c r="G84" i="3" s="1"/>
  <c r="F27" i="18"/>
  <c r="G27" i="18" s="1"/>
  <c r="C91" i="3" l="1"/>
  <c r="E86" i="3"/>
  <c r="G86" i="3" s="1"/>
  <c r="E89" i="3"/>
  <c r="G89" i="3" s="1"/>
  <c r="C94" i="3"/>
  <c r="C96" i="3" l="1"/>
  <c r="E91" i="3"/>
  <c r="G91" i="3" s="1"/>
  <c r="C99" i="3"/>
  <c r="E94" i="3"/>
  <c r="G94" i="3" s="1"/>
  <c r="C101" i="3" l="1"/>
  <c r="E96" i="3"/>
  <c r="G96" i="3" s="1"/>
  <c r="E99" i="3"/>
  <c r="G99" i="3" s="1"/>
  <c r="C104" i="3"/>
  <c r="C106" i="3" l="1"/>
  <c r="E101" i="3"/>
  <c r="G101" i="3" s="1"/>
  <c r="C109" i="3"/>
  <c r="E104" i="3"/>
  <c r="G104" i="3" s="1"/>
  <c r="C111" i="3" l="1"/>
  <c r="E106" i="3"/>
  <c r="G106" i="3" s="1"/>
  <c r="E109" i="3"/>
  <c r="G109" i="3" s="1"/>
  <c r="C114" i="3"/>
  <c r="C116" i="3" l="1"/>
  <c r="E111" i="3"/>
  <c r="G111" i="3" s="1"/>
  <c r="C119" i="3"/>
  <c r="E114" i="3"/>
  <c r="G114" i="3" s="1"/>
  <c r="C121" i="3" l="1"/>
  <c r="E116" i="3"/>
  <c r="G116" i="3" s="1"/>
  <c r="E119" i="3"/>
  <c r="G119" i="3" s="1"/>
  <c r="C124" i="3"/>
  <c r="C126" i="3" l="1"/>
  <c r="E121" i="3"/>
  <c r="G121" i="3" s="1"/>
  <c r="C129" i="3"/>
  <c r="E124" i="3"/>
  <c r="G124" i="3" s="1"/>
  <c r="C131" i="3" l="1"/>
  <c r="E126" i="3"/>
  <c r="G126" i="3" s="1"/>
  <c r="E129" i="3"/>
  <c r="G129" i="3" s="1"/>
  <c r="C134" i="3"/>
  <c r="C136" i="3" l="1"/>
  <c r="E131" i="3"/>
  <c r="G131" i="3" s="1"/>
  <c r="C139" i="3"/>
  <c r="E134" i="3"/>
  <c r="G134" i="3" s="1"/>
  <c r="C141" i="3" l="1"/>
  <c r="E136" i="3"/>
  <c r="G136" i="3" s="1"/>
  <c r="E139" i="3"/>
  <c r="G139" i="3" s="1"/>
  <c r="C144" i="3"/>
  <c r="C146" i="3" l="1"/>
  <c r="E141" i="3"/>
  <c r="G141" i="3" s="1"/>
  <c r="C149" i="3"/>
  <c r="E144" i="3"/>
  <c r="G144" i="3" s="1"/>
  <c r="C151" i="3" l="1"/>
  <c r="E146" i="3"/>
  <c r="G146" i="3" s="1"/>
  <c r="E149" i="3"/>
  <c r="G149" i="3" s="1"/>
  <c r="C154" i="3"/>
  <c r="C156" i="3" l="1"/>
  <c r="E156" i="3" s="1"/>
  <c r="G156" i="3" s="1"/>
  <c r="E151" i="3"/>
  <c r="G151" i="3" s="1"/>
  <c r="E154" i="3"/>
  <c r="G154" i="3" s="1"/>
  <c r="C159" i="3"/>
  <c r="E159" i="3" s="1"/>
  <c r="G159" i="3" s="1"/>
</calcChain>
</file>

<file path=xl/comments1.xml><?xml version="1.0" encoding="utf-8"?>
<comments xmlns="http://schemas.openxmlformats.org/spreadsheetml/2006/main">
  <authors>
    <author>klowe</author>
    <author>Kelly Lowe</author>
  </authors>
  <commentList>
    <comment ref="A8" authorId="0" shapeId="0">
      <text>
        <r>
          <rPr>
            <b/>
            <sz val="8"/>
            <color indexed="81"/>
            <rFont val="Tahoma"/>
            <family val="2"/>
          </rPr>
          <t>Water based:  1 g/mL
Solvent-based: 0.8 g/mL</t>
        </r>
      </text>
    </comment>
    <comment ref="A9" authorId="1" shapeId="0">
      <text>
        <r>
          <rPr>
            <b/>
            <sz val="8"/>
            <color indexed="81"/>
            <rFont val="Tahoma"/>
            <family val="2"/>
          </rPr>
          <t>Assume amt of product is given in terms of weight</t>
        </r>
      </text>
    </comment>
    <comment ref="A11" authorId="1" shapeId="0">
      <text>
        <r>
          <rPr>
            <sz val="10"/>
            <color indexed="81"/>
            <rFont val="Tahoma"/>
            <family val="2"/>
          </rPr>
          <t>Application rate is based on the total amount of product in the can and the amount of product applied.  Options are provided for different units for amount of product in can (oz vs g) and for the assumption of amount applied -- either (1) a default assumption or (2) a calculation if information is provided on the label regarding how long to spray the product.</t>
        </r>
      </text>
    </comment>
    <comment ref="E18" authorId="1" shapeId="0">
      <text>
        <r>
          <rPr>
            <b/>
            <sz val="8"/>
            <color indexed="81"/>
            <rFont val="Tahoma"/>
            <family val="2"/>
          </rPr>
          <t>NOTE:  1000 ft3 = 28 m3</t>
        </r>
      </text>
    </comment>
    <comment ref="H21" authorId="1" shapeId="0">
      <text>
        <r>
          <rPr>
            <b/>
            <sz val="8"/>
            <color indexed="81"/>
            <rFont val="Tahoma"/>
            <family val="2"/>
          </rPr>
          <t>NOTE:  1000 ft3 = 28 m3</t>
        </r>
      </text>
    </comment>
    <comment ref="E24" authorId="1" shapeId="0">
      <text>
        <r>
          <rPr>
            <b/>
            <sz val="8"/>
            <color indexed="81"/>
            <rFont val="Tahoma"/>
            <family val="2"/>
          </rPr>
          <t>NOTE:  1000 ft3 = 28 m3</t>
        </r>
      </text>
    </comment>
    <comment ref="G27" authorId="1" shapeId="0">
      <text>
        <r>
          <rPr>
            <b/>
            <sz val="8"/>
            <color indexed="81"/>
            <rFont val="Tahoma"/>
            <family val="2"/>
          </rPr>
          <t>NOTE:  1000 ft3 = 28 m3</t>
        </r>
      </text>
    </comment>
    <comment ref="B31" authorId="1" shapeId="0">
      <text>
        <r>
          <rPr>
            <b/>
            <sz val="8"/>
            <color indexed="81"/>
            <rFont val="Tahoma"/>
            <family val="2"/>
          </rPr>
          <t>Enter application rate based on appropriate option above</t>
        </r>
      </text>
    </comment>
    <comment ref="C38" authorId="1" shapeId="0">
      <text>
        <r>
          <rPr>
            <b/>
            <sz val="8"/>
            <color indexed="81"/>
            <rFont val="Tahoma"/>
            <family val="2"/>
          </rPr>
          <t>Enter application rate based on appropriate option above</t>
        </r>
      </text>
    </comment>
    <comment ref="B161" authorId="1" shapeId="0">
      <text>
        <r>
          <rPr>
            <b/>
            <sz val="8"/>
            <color indexed="81"/>
            <rFont val="Tahoma"/>
            <family val="2"/>
          </rPr>
          <t>Enter appropriate concentration determined above after product-specific ventilation requirement</t>
        </r>
      </text>
    </comment>
  </commentList>
</comments>
</file>

<file path=xl/comments2.xml><?xml version="1.0" encoding="utf-8"?>
<comments xmlns="http://schemas.openxmlformats.org/spreadsheetml/2006/main">
  <authors>
    <author>klowe</author>
  </authors>
  <commentList>
    <comment ref="B7" authorId="0" shapeId="0">
      <text>
        <r>
          <rPr>
            <sz val="12"/>
            <color indexed="81"/>
            <rFont val="Tahoma"/>
            <family val="2"/>
          </rPr>
          <t>**Enter as decimal -- cell is formatted as scientific notation and will change after value is entered.</t>
        </r>
        <r>
          <rPr>
            <sz val="8"/>
            <color indexed="81"/>
            <rFont val="Tahoma"/>
            <family val="2"/>
          </rPr>
          <t xml:space="preserve">
</t>
        </r>
      </text>
    </comment>
  </commentList>
</comments>
</file>

<file path=xl/comments3.xml><?xml version="1.0" encoding="utf-8"?>
<comments xmlns="http://schemas.openxmlformats.org/spreadsheetml/2006/main">
  <authors>
    <author>Kelly Lowe</author>
  </authors>
  <commentList>
    <comment ref="E16" authorId="0" shapeId="0">
      <text>
        <r>
          <rPr>
            <b/>
            <sz val="14"/>
            <color indexed="81"/>
            <rFont val="Tahoma"/>
            <family val="2"/>
          </rPr>
          <t>Default given here.  Check SOP for chemical-specific data or enter data if available.</t>
        </r>
      </text>
    </comment>
  </commentList>
</comments>
</file>

<file path=xl/sharedStrings.xml><?xml version="1.0" encoding="utf-8"?>
<sst xmlns="http://schemas.openxmlformats.org/spreadsheetml/2006/main" count="634" uniqueCount="339">
  <si>
    <t>Exposure Scenario</t>
  </si>
  <si>
    <t>Population</t>
  </si>
  <si>
    <t>Surface Residue (ug/cm2)</t>
  </si>
  <si>
    <t xml:space="preserve">Dermal MOE </t>
  </si>
  <si>
    <t>Dermal MOE (rounded)</t>
  </si>
  <si>
    <t>Fraction transferred</t>
  </si>
  <si>
    <t>ET (hr/day)</t>
  </si>
  <si>
    <t xml:space="preserve">Dose (mg/kg/day) </t>
  </si>
  <si>
    <t xml:space="preserve">Dose Rounded (mg/kg/day) </t>
  </si>
  <si>
    <t>Density of product (g/mL)</t>
  </si>
  <si>
    <t>CF (lb/mg)</t>
  </si>
  <si>
    <t>R (l-atm/mol-K)</t>
  </si>
  <si>
    <t>T (K)</t>
  </si>
  <si>
    <t>Inhalation MOE</t>
  </si>
  <si>
    <t>EvapT</t>
  </si>
  <si>
    <t>k (1/hr)</t>
  </si>
  <si>
    <t>INDOOR DERMAL</t>
  </si>
  <si>
    <t>Broadcast</t>
  </si>
  <si>
    <t>Carpet</t>
  </si>
  <si>
    <t>Hard surface</t>
  </si>
  <si>
    <t>Crack and crevice</t>
  </si>
  <si>
    <t>Broadcast:</t>
  </si>
  <si>
    <t>Crack and crevice:</t>
  </si>
  <si>
    <t>1 to &lt;2 years</t>
  </si>
  <si>
    <t>Exposure (mg/day)</t>
  </si>
  <si>
    <t xml:space="preserve">DE </t>
  </si>
  <si>
    <t>HR</t>
  </si>
  <si>
    <t xml:space="preserve">ET </t>
  </si>
  <si>
    <t>N_Replen</t>
  </si>
  <si>
    <t>SE</t>
  </si>
  <si>
    <t xml:space="preserve">Dermal Exposure (mg) </t>
  </si>
  <si>
    <t>Fraction of hand mouthed</t>
  </si>
  <si>
    <t>Exposure Time (hours/day)</t>
  </si>
  <si>
    <t>Replenishment interval (min)</t>
  </si>
  <si>
    <t># replenishment intervals per hour (intervals/hr)</t>
  </si>
  <si>
    <t>Fraction Saliva Extraction</t>
  </si>
  <si>
    <t>Number of hand-to-mouth contacts events per hour (events/hr)</t>
  </si>
  <si>
    <t>Hard Surfaces</t>
  </si>
  <si>
    <t>Extraction by Saliva</t>
  </si>
  <si>
    <t>CF</t>
  </si>
  <si>
    <t>Fo</t>
  </si>
  <si>
    <t>OR</t>
  </si>
  <si>
    <t>SAM</t>
  </si>
  <si>
    <t>ET</t>
  </si>
  <si>
    <t># replenishment intervals per hour</t>
  </si>
  <si>
    <t>Number of object-to-mouth contacts events per hour</t>
  </si>
  <si>
    <t>INDOOR INCIDENTAL ORAL -- HAND TO MOUTH</t>
  </si>
  <si>
    <t>INDOOR INCIDENTAL ORAL -- OBJECT TO MOUTH</t>
  </si>
  <si>
    <t xml:space="preserve">Calculate saturation concentration </t>
  </si>
  <si>
    <t>Dermal Exposure from Indoor Pesticide Use</t>
  </si>
  <si>
    <t>SPRAYS</t>
  </si>
  <si>
    <t>Application Rate (lb ai/sq ft)</t>
  </si>
  <si>
    <t>Conversion Factor  1 (ug/lb)</t>
  </si>
  <si>
    <t>Conversion Factor 2 (ft2 to cm2)</t>
  </si>
  <si>
    <t>Conversion Factor 3 (mg/ug)</t>
  </si>
  <si>
    <t xml:space="preserve">Transferable Residue </t>
  </si>
  <si>
    <t>Hours of Exposure/ Day</t>
  </si>
  <si>
    <t xml:space="preserve">Absorbed Dermal Dose (mg/kg/day) </t>
  </si>
  <si>
    <t xml:space="preserve">Absorbed Dermal Dose Rounded (mg/kg/day) </t>
  </si>
  <si>
    <t>Broadcast Carpet</t>
  </si>
  <si>
    <t>Adult</t>
  </si>
  <si>
    <t>Toddler</t>
  </si>
  <si>
    <t>Crack and Crevice Carpet</t>
  </si>
  <si>
    <t>Broadcast Hard Surfaces</t>
  </si>
  <si>
    <t>Crack and Crevice Hard Surfaces</t>
  </si>
  <si>
    <t>1 to &lt;2 year olds</t>
  </si>
  <si>
    <t>Fraction ai on hands compared to total surface residue from Jazzercise studies (gloves)</t>
  </si>
  <si>
    <t xml:space="preserve">Perimeter/Spot/Bedbug (Coarse) = </t>
  </si>
  <si>
    <t>Perimeter/Spot/Bedbug (Coarse)</t>
  </si>
  <si>
    <t xml:space="preserve">Perimeter/Spot/Bedbug (Pin Stream)  </t>
  </si>
  <si>
    <t>Perimeter/Spot/Bedbug (Coarse):</t>
  </si>
  <si>
    <t xml:space="preserve">Perimeter/Spot/Bedbug (Pin Stream): </t>
  </si>
  <si>
    <t>Result of check (i.e., which mass to use in equation):</t>
  </si>
  <si>
    <t>Mattress application assessment</t>
  </si>
  <si>
    <t>CF (mg/ug)</t>
  </si>
  <si>
    <t>Fraction of skin in contact with surface</t>
  </si>
  <si>
    <t>Protection factor</t>
  </si>
  <si>
    <t>Floor and carpets assessment</t>
  </si>
  <si>
    <t>Application to mattress</t>
  </si>
  <si>
    <t>Default Residue</t>
  </si>
  <si>
    <t>Mattress:</t>
  </si>
  <si>
    <t>Deposited residue (pull values from deposited residue worksheet; dependent on available data):</t>
  </si>
  <si>
    <t xml:space="preserve">Broadcast </t>
  </si>
  <si>
    <t xml:space="preserve">Perimeter/Spot/Bedbug (coarse and pinstream) </t>
  </si>
  <si>
    <t xml:space="preserve">Crack and crevice </t>
  </si>
  <si>
    <t>Type of application</t>
  </si>
  <si>
    <t>Approach to estimating DepR for inclusion in dermal postapp equation</t>
  </si>
  <si>
    <t>calculate average residue of whole room (i.e., average of all coupons on floor)</t>
  </si>
  <si>
    <t>(70% * average residue of coupons in untreated area) + (30% * average residue of coupons in treated area)</t>
  </si>
  <si>
    <t>(90% * average residue of coupons in untreated area) + (10% * average residue of coupons in treated area)</t>
  </si>
  <si>
    <t>NA</t>
  </si>
  <si>
    <t>avg residue of coupons in untreated area</t>
  </si>
  <si>
    <t>avg residue for whole room (i.e., avg residue of all coupons)</t>
  </si>
  <si>
    <t>avg residue of coupons in treated area</t>
  </si>
  <si>
    <t>Perimeter/Spot/Bedbug (coarse and pinstream)</t>
  </si>
  <si>
    <t>Perimeter/Spot/Bedbug (Pin Stream)</t>
  </si>
  <si>
    <t>Percent spray</t>
  </si>
  <si>
    <t>Broadcast - Liquids</t>
  </si>
  <si>
    <t>Percent spray of proposed product</t>
  </si>
  <si>
    <t>If have application rate from label:</t>
  </si>
  <si>
    <t>If do not have application rate from label: use default value</t>
  </si>
  <si>
    <t>Deposired Residue (ug/cm2)</t>
  </si>
  <si>
    <t>INDOOR INHALATION -- Exposure to Pesticide Aerosols</t>
  </si>
  <si>
    <t>Active ingredient:</t>
  </si>
  <si>
    <t>INDOOR INHALATION -- Exposure to Pesticide Vapors</t>
  </si>
  <si>
    <t xml:space="preserve">  Step 1.  Input chemical-specific information for MW and VP</t>
  </si>
  <si>
    <t xml:space="preserve">Step 3. Check to see that exposure equation will not predict an air concentration &gt; saturation concentration.  </t>
  </si>
  <si>
    <t>Input #2:  First order decay rate (k)</t>
  </si>
  <si>
    <t>If not enough information is provided for above approach -- use the saturation concentration as a screening level assessment:</t>
  </si>
  <si>
    <t xml:space="preserve">Deposited residue </t>
  </si>
  <si>
    <t>#2:  Mattresses</t>
  </si>
  <si>
    <t>#1 Floors and carpets</t>
  </si>
  <si>
    <t>#2 Mattresses</t>
  </si>
  <si>
    <t>#1:  Floors and Carpets</t>
  </si>
  <si>
    <t xml:space="preserve">Adults </t>
  </si>
  <si>
    <t>Inhalation MOE Rounded</t>
  </si>
  <si>
    <t>Input #1:  Mass of ai -- pull information from label and residential handler assessment to determine total mass of ai applied</t>
  </si>
  <si>
    <t>Fraction of residue transferred to object</t>
  </si>
  <si>
    <t>Percent ai in product (%)</t>
  </si>
  <si>
    <t>oz/can</t>
  </si>
  <si>
    <t>g/can</t>
  </si>
  <si>
    <t>Amount of product in can (enter dependent on product information)</t>
  </si>
  <si>
    <t>Lifestage</t>
  </si>
  <si>
    <t>Calculate exposure/risk (use if comparing to a NOAEL)</t>
  </si>
  <si>
    <t>Step 4.  Calculate exposure/risk (use if comparing to a NOAEL)</t>
  </si>
  <si>
    <t>Green cells = input required by assessor</t>
  </si>
  <si>
    <t>Step 2.  Calculate inputs necessary for exposure algorithm</t>
  </si>
  <si>
    <t>Defaults unless product-specific information provided</t>
  </si>
  <si>
    <t>Sources for density of particle  as 1000 kg/m3</t>
  </si>
  <si>
    <t>Supporting Information</t>
  </si>
  <si>
    <t>A FUGACITY-BASED INDOOR RESIDENTIAL PESTICIDE FATE MODEL</t>
  </si>
  <si>
    <t>Deborah H. Bennett and Edwin J. Furtaw, Jr.</t>
  </si>
  <si>
    <t>(13) Lai, A. C. K.; Nazaroff, W. W. Journal of Aerosol Science 2000, V31, 463-476.</t>
  </si>
  <si>
    <t>(20) Riley, W. J.; McKone, T. E.; Lai, A. C. K.; Nazaroff, W. W. Environmental Science &amp; Technology 2002, V36, 200-207.</t>
  </si>
  <si>
    <t xml:space="preserve">Assume droplet evaporates to nuclei (non-volatile portion of droplet) -- calculate nuclei diameter </t>
  </si>
  <si>
    <t>Drop Size After Evaporation</t>
  </si>
  <si>
    <t>Drop Diameter (um)</t>
  </si>
  <si>
    <t>a.  Drop radius = drop diameter / 2</t>
  </si>
  <si>
    <t>b.  Nuclei = non-volatile portion of droplet; assume percent non-volatiles of pesticide particle = 1%</t>
  </si>
  <si>
    <t>d.  Nuclei volume = drop volume * percent non-volatiles</t>
  </si>
  <si>
    <t>f.  Nuclei diameter = nuclei radius * 2</t>
  </si>
  <si>
    <t>Calculate settling velocity</t>
  </si>
  <si>
    <t>Nuclei Diameter (um)</t>
  </si>
  <si>
    <t>Settling Time (Release Height = 8 feet)</t>
  </si>
  <si>
    <t>a.  1 um = 1 x 10^-6 m</t>
  </si>
  <si>
    <t xml:space="preserve">b.  Assumption based on literature search </t>
  </si>
  <si>
    <t>d.  Settling time from height of 8 feet in seconds = [8 ft * (0.3048 m/ft)] * (settling velocity, m/s)</t>
  </si>
  <si>
    <t>e.  Settling time in minutes = settling time in seconds / 60</t>
  </si>
  <si>
    <t>f.  Settling time in hours = settling time in minutes / 60</t>
  </si>
  <si>
    <t>Time (min)</t>
  </si>
  <si>
    <t xml:space="preserve">c.  Volume of sphere = 4/3 * p * (r^3) </t>
  </si>
  <si>
    <t>e.  Nuclei radius = (nuclei volume / (1.33 * p  ))^0.333</t>
  </si>
  <si>
    <t>If particle size known:</t>
  </si>
  <si>
    <t>#3 Foggers and Space Sprays</t>
  </si>
  <si>
    <t>#3: Foggers and Space Sprays</t>
  </si>
  <si>
    <t>Active ingredient applied (ug ai):</t>
  </si>
  <si>
    <t>Fogger:</t>
  </si>
  <si>
    <t>Space spray:</t>
  </si>
  <si>
    <t>Fogger</t>
  </si>
  <si>
    <t>Space spray</t>
  </si>
  <si>
    <t>Ventilation requirement:</t>
  </si>
  <si>
    <t>Body Weight Pick List Reference (DO NOT DELETE)</t>
  </si>
  <si>
    <t>Mean Body Weight (kg)</t>
  </si>
  <si>
    <t>General</t>
  </si>
  <si>
    <t>Combined Adults (16 &lt; 80 years old)</t>
  </si>
  <si>
    <t>Female-specific</t>
  </si>
  <si>
    <t>Female Adults (13 &lt; 49 years old)</t>
  </si>
  <si>
    <t>Male-specific</t>
  </si>
  <si>
    <t>Male Adults (16 &lt; 80 years old)</t>
  </si>
  <si>
    <t>Freq_HtM</t>
  </si>
  <si>
    <t>POD Type</t>
  </si>
  <si>
    <r>
      <t>M</t>
    </r>
    <r>
      <rPr>
        <vertAlign val="subscript"/>
        <sz val="12"/>
        <rFont val="Times New Roman"/>
        <family val="1"/>
      </rPr>
      <t>label</t>
    </r>
    <r>
      <rPr>
        <sz val="12"/>
        <rFont val="Times New Roman"/>
        <family val="1"/>
      </rPr>
      <t xml:space="preserve"> (mass of ai applied, lb)</t>
    </r>
  </si>
  <si>
    <r>
      <t>M</t>
    </r>
    <r>
      <rPr>
        <vertAlign val="subscript"/>
        <sz val="12"/>
        <rFont val="Times New Roman"/>
        <family val="1"/>
      </rPr>
      <t>label</t>
    </r>
    <r>
      <rPr>
        <sz val="12"/>
        <rFont val="Times New Roman"/>
        <family val="1"/>
      </rPr>
      <t xml:space="preserve"> (mass of ai applied, mg)</t>
    </r>
  </si>
  <si>
    <r>
      <t>M</t>
    </r>
    <r>
      <rPr>
        <vertAlign val="subscript"/>
        <sz val="12"/>
        <rFont val="Times New Roman"/>
        <family val="1"/>
      </rPr>
      <t xml:space="preserve">Csat </t>
    </r>
    <r>
      <rPr>
        <sz val="12"/>
        <rFont val="Times New Roman"/>
        <family val="1"/>
      </rPr>
      <t>(Theoretical mass applied to reach saturation concentration, mg):</t>
    </r>
  </si>
  <si>
    <r>
      <t>Mass of ai (mg; either M</t>
    </r>
    <r>
      <rPr>
        <vertAlign val="subscript"/>
        <sz val="12"/>
        <rFont val="Times New Roman"/>
        <family val="1"/>
      </rPr>
      <t>label</t>
    </r>
    <r>
      <rPr>
        <sz val="12"/>
        <rFont val="Times New Roman"/>
        <family val="1"/>
      </rPr>
      <t xml:space="preserve"> or M</t>
    </r>
    <r>
      <rPr>
        <vertAlign val="subscript"/>
        <sz val="12"/>
        <rFont val="Times New Roman"/>
        <family val="1"/>
      </rPr>
      <t>Csat</t>
    </r>
    <r>
      <rPr>
        <sz val="12"/>
        <rFont val="Times New Roman"/>
        <family val="1"/>
      </rPr>
      <t>)</t>
    </r>
  </si>
  <si>
    <t>Inputs for pick list in cell C9 -- DO NOT DELETE</t>
  </si>
  <si>
    <r>
      <t>TC (cm</t>
    </r>
    <r>
      <rPr>
        <vertAlign val="superscript"/>
        <sz val="14"/>
        <rFont val="Times New Roman"/>
        <family val="1"/>
      </rPr>
      <t>2</t>
    </r>
    <r>
      <rPr>
        <sz val="14"/>
        <rFont val="Times New Roman"/>
        <family val="1"/>
      </rPr>
      <t xml:space="preserve">/hr) </t>
    </r>
  </si>
  <si>
    <r>
      <t>Surface area / Body weight Ratio (cm</t>
    </r>
    <r>
      <rPr>
        <vertAlign val="superscript"/>
        <sz val="14"/>
        <rFont val="Times New Roman"/>
        <family val="1"/>
      </rPr>
      <t>2</t>
    </r>
    <r>
      <rPr>
        <sz val="14"/>
        <rFont val="Times New Roman"/>
        <family val="1"/>
      </rPr>
      <t>/kg)</t>
    </r>
  </si>
  <si>
    <r>
      <t>Transfer Coefficient (cm</t>
    </r>
    <r>
      <rPr>
        <vertAlign val="superscript"/>
        <sz val="14"/>
        <rFont val="Times New Roman"/>
        <family val="1"/>
      </rPr>
      <t>2</t>
    </r>
    <r>
      <rPr>
        <sz val="14"/>
        <rFont val="Times New Roman"/>
        <family val="1"/>
      </rPr>
      <t xml:space="preserve">/hr) </t>
    </r>
  </si>
  <si>
    <r>
      <t>F</t>
    </r>
    <r>
      <rPr>
        <vertAlign val="subscript"/>
        <sz val="14"/>
        <rFont val="Times New Roman"/>
        <family val="1"/>
      </rPr>
      <t>aihands</t>
    </r>
  </si>
  <si>
    <r>
      <t>SA</t>
    </r>
    <r>
      <rPr>
        <vertAlign val="subscript"/>
        <sz val="14"/>
        <rFont val="Times New Roman"/>
        <family val="1"/>
      </rPr>
      <t>H</t>
    </r>
  </si>
  <si>
    <r>
      <t>F</t>
    </r>
    <r>
      <rPr>
        <vertAlign val="subscript"/>
        <sz val="14"/>
        <rFont val="Times New Roman"/>
        <family val="1"/>
      </rPr>
      <t>m</t>
    </r>
  </si>
  <si>
    <r>
      <t>Hand residue loading (mg/cm</t>
    </r>
    <r>
      <rPr>
        <vertAlign val="superscript"/>
        <sz val="14"/>
        <rFont val="Times New Roman"/>
        <family val="1"/>
      </rPr>
      <t>2</t>
    </r>
    <r>
      <rPr>
        <sz val="14"/>
        <rFont val="Times New Roman"/>
        <family val="1"/>
      </rPr>
      <t>)</t>
    </r>
  </si>
  <si>
    <r>
      <t>Object Surface Area Mouthed / Event (cm</t>
    </r>
    <r>
      <rPr>
        <vertAlign val="superscript"/>
        <sz val="16"/>
        <rFont val="Times New Roman"/>
        <family val="1"/>
      </rPr>
      <t>2</t>
    </r>
    <r>
      <rPr>
        <sz val="16"/>
        <rFont val="Times New Roman"/>
        <family val="1"/>
      </rPr>
      <t>/event)</t>
    </r>
  </si>
  <si>
    <t>Indoor Environments</t>
  </si>
  <si>
    <t>Exposure Duration:
(for multiple exposure durations, create new files)</t>
  </si>
  <si>
    <t>POD (mg/kg/day)</t>
  </si>
  <si>
    <t>POD source/study</t>
  </si>
  <si>
    <t>LOC</t>
  </si>
  <si>
    <t>Incidental Oral</t>
  </si>
  <si>
    <t>Toxicity</t>
  </si>
  <si>
    <t>Dermal</t>
  </si>
  <si>
    <t>Absorption (0-1)</t>
  </si>
  <si>
    <t>Absorption source/study</t>
  </si>
  <si>
    <t>Toxicity Source/Study Pick List (DO NOT DELETE)</t>
  </si>
  <si>
    <t>POD</t>
  </si>
  <si>
    <t>Absorption</t>
  </si>
  <si>
    <t>Exposure Duration Pick List (Do Not Delete)</t>
  </si>
  <si>
    <t>Inhalation</t>
  </si>
  <si>
    <t>Body Weights (kg)</t>
  </si>
  <si>
    <t>Adults</t>
  </si>
  <si>
    <t>Children (1 &lt;2 years)</t>
  </si>
  <si>
    <t>Level of Concern</t>
  </si>
  <si>
    <t>oz/can and default amt applied</t>
  </si>
  <si>
    <t>oz/can and calculated amt applied</t>
  </si>
  <si>
    <t>g/can and default amt applied</t>
  </si>
  <si>
    <t>g/can and calculated amt applied</t>
  </si>
  <si>
    <t>Application rate calculation pick list -- DO NOT DELETE</t>
  </si>
  <si>
    <t>DEFAULT Amount of product applied (fraction of can)</t>
  </si>
  <si>
    <t>Seconds of spray released (sec)</t>
  </si>
  <si>
    <t>Release rate (g/sec)</t>
  </si>
  <si>
    <t>CALCULATED Amount of product applied (fraction of can)</t>
  </si>
  <si>
    <t>Pick from the following list for calculating the application rate:</t>
  </si>
  <si>
    <t>Pick (1) if amt of product in can given in oz/can and assuming default amt applied</t>
  </si>
  <si>
    <t>Pick (2) if amt of product in can given in oz/can and calculating amt applied</t>
  </si>
  <si>
    <t>Pick (3) if amt of product in can given in g/can and assuming default amt applied</t>
  </si>
  <si>
    <t>Pick (4) if amt of product in can given in g/can and calculating amt applied</t>
  </si>
  <si>
    <t>CALCULATE APPLICATION RATE:</t>
  </si>
  <si>
    <t>PRODUCT INFORMATION:</t>
  </si>
  <si>
    <t>Conversion factor (mg/oz)</t>
  </si>
  <si>
    <t>Conversion factor (lb/mg)</t>
  </si>
  <si>
    <t>Conversion factor (mg/g)</t>
  </si>
  <si>
    <t>Conversion factor (oz/g)</t>
  </si>
  <si>
    <t>CALCULATE EXPOSURE/RISK (No reentry restriction or ventilation requirement on label)</t>
  </si>
  <si>
    <t>CALCULATE EXPOSURE/RISK (Reentry restriction and ventilation requirement on label)</t>
  </si>
  <si>
    <t>Conversion factor (mg/lb)</t>
  </si>
  <si>
    <r>
      <t>Air Exchange Rate, ACH (hr</t>
    </r>
    <r>
      <rPr>
        <vertAlign val="superscript"/>
        <sz val="12"/>
        <rFont val="Times New Roman"/>
        <family val="1"/>
      </rPr>
      <t>-1</t>
    </r>
    <r>
      <rPr>
        <sz val="12"/>
        <rFont val="Times New Roman"/>
        <family val="1"/>
      </rPr>
      <t>)</t>
    </r>
  </si>
  <si>
    <t>Exposure Time, ET (hr)</t>
  </si>
  <si>
    <t>Concentration at time, t (mg/m3)</t>
  </si>
  <si>
    <t>Time, t (hr)</t>
  </si>
  <si>
    <r>
      <t>Drop Radius (um)</t>
    </r>
    <r>
      <rPr>
        <vertAlign val="superscript"/>
        <sz val="14"/>
        <rFont val="Times New Roman"/>
        <family val="1"/>
      </rPr>
      <t>a</t>
    </r>
  </si>
  <si>
    <r>
      <t>% Non-volatiles</t>
    </r>
    <r>
      <rPr>
        <vertAlign val="superscript"/>
        <sz val="14"/>
        <rFont val="Times New Roman"/>
        <family val="1"/>
      </rPr>
      <t>b</t>
    </r>
  </si>
  <si>
    <r>
      <t>Drop Volume (um</t>
    </r>
    <r>
      <rPr>
        <vertAlign val="superscript"/>
        <sz val="14"/>
        <rFont val="Times New Roman"/>
        <family val="1"/>
      </rPr>
      <t>3</t>
    </r>
    <r>
      <rPr>
        <sz val="14"/>
        <rFont val="Times New Roman"/>
        <family val="1"/>
      </rPr>
      <t>)</t>
    </r>
    <r>
      <rPr>
        <vertAlign val="superscript"/>
        <sz val="14"/>
        <rFont val="Times New Roman"/>
        <family val="1"/>
      </rPr>
      <t>c</t>
    </r>
  </si>
  <si>
    <r>
      <t>Nuclei Volume (um</t>
    </r>
    <r>
      <rPr>
        <vertAlign val="superscript"/>
        <sz val="14"/>
        <rFont val="Times New Roman"/>
        <family val="1"/>
      </rPr>
      <t>3</t>
    </r>
    <r>
      <rPr>
        <sz val="14"/>
        <rFont val="Times New Roman"/>
        <family val="1"/>
      </rPr>
      <t>)</t>
    </r>
    <r>
      <rPr>
        <vertAlign val="superscript"/>
        <sz val="14"/>
        <rFont val="Times New Roman"/>
        <family val="1"/>
      </rPr>
      <t>d</t>
    </r>
  </si>
  <si>
    <r>
      <t>Nuclei Radius (um)</t>
    </r>
    <r>
      <rPr>
        <vertAlign val="superscript"/>
        <sz val="14"/>
        <rFont val="Times New Roman"/>
        <family val="1"/>
      </rPr>
      <t>e</t>
    </r>
  </si>
  <si>
    <r>
      <t>Nuclei Diameter (um)</t>
    </r>
    <r>
      <rPr>
        <vertAlign val="superscript"/>
        <sz val="14"/>
        <rFont val="Times New Roman"/>
        <family val="1"/>
      </rPr>
      <t>f</t>
    </r>
  </si>
  <si>
    <r>
      <t>Nuclei Diameter (m)</t>
    </r>
    <r>
      <rPr>
        <vertAlign val="superscript"/>
        <sz val="14"/>
        <rFont val="Times New Roman"/>
        <family val="1"/>
      </rPr>
      <t>a</t>
    </r>
  </si>
  <si>
    <r>
      <t>Density of particles (kg/m</t>
    </r>
    <r>
      <rPr>
        <vertAlign val="superscript"/>
        <sz val="14"/>
        <rFont val="Times New Roman"/>
        <family val="1"/>
      </rPr>
      <t>3</t>
    </r>
    <r>
      <rPr>
        <sz val="14"/>
        <rFont val="Times New Roman"/>
        <family val="1"/>
      </rPr>
      <t>)</t>
    </r>
    <r>
      <rPr>
        <vertAlign val="superscript"/>
        <sz val="14"/>
        <rFont val="Times New Roman"/>
        <family val="1"/>
      </rPr>
      <t>b</t>
    </r>
  </si>
  <si>
    <r>
      <t>Gravity constant (m/s</t>
    </r>
    <r>
      <rPr>
        <vertAlign val="superscript"/>
        <sz val="14"/>
        <rFont val="Times New Roman"/>
        <family val="1"/>
      </rPr>
      <t>2</t>
    </r>
    <r>
      <rPr>
        <sz val="14"/>
        <rFont val="Times New Roman"/>
        <family val="1"/>
      </rPr>
      <t>)</t>
    </r>
  </si>
  <si>
    <r>
      <t>Viscosity of air (kg/m-s @ 25</t>
    </r>
    <r>
      <rPr>
        <vertAlign val="superscript"/>
        <sz val="14"/>
        <rFont val="Times New Roman"/>
        <family val="1"/>
      </rPr>
      <t>o</t>
    </r>
    <r>
      <rPr>
        <sz val="14"/>
        <rFont val="Times New Roman"/>
        <family val="1"/>
      </rPr>
      <t>C)</t>
    </r>
  </si>
  <si>
    <r>
      <t>Settling Velocity (m/s)</t>
    </r>
    <r>
      <rPr>
        <vertAlign val="superscript"/>
        <sz val="14"/>
        <rFont val="Times New Roman"/>
        <family val="1"/>
      </rPr>
      <t>c</t>
    </r>
  </si>
  <si>
    <r>
      <t>Seconds</t>
    </r>
    <r>
      <rPr>
        <vertAlign val="superscript"/>
        <sz val="14"/>
        <rFont val="Times New Roman"/>
        <family val="1"/>
      </rPr>
      <t>d</t>
    </r>
  </si>
  <si>
    <r>
      <t>Minutes</t>
    </r>
    <r>
      <rPr>
        <vertAlign val="superscript"/>
        <sz val="14"/>
        <rFont val="Times New Roman"/>
        <family val="1"/>
      </rPr>
      <t>e</t>
    </r>
  </si>
  <si>
    <r>
      <t>Hours</t>
    </r>
    <r>
      <rPr>
        <vertAlign val="superscript"/>
        <sz val="14"/>
        <rFont val="Times New Roman"/>
        <family val="1"/>
      </rPr>
      <t>f</t>
    </r>
  </si>
  <si>
    <r>
      <t>c.  Settling velocity (m/s) = [(density of particle, kg/m</t>
    </r>
    <r>
      <rPr>
        <vertAlign val="superscript"/>
        <sz val="14"/>
        <rFont val="Times New Roman"/>
        <family val="1"/>
      </rPr>
      <t>3</t>
    </r>
    <r>
      <rPr>
        <sz val="14"/>
        <rFont val="Times New Roman"/>
        <family val="1"/>
      </rPr>
      <t>) * (nuclei diameter, m)</t>
    </r>
    <r>
      <rPr>
        <vertAlign val="superscript"/>
        <sz val="14"/>
        <rFont val="Times New Roman"/>
        <family val="1"/>
      </rPr>
      <t>2</t>
    </r>
    <r>
      <rPr>
        <sz val="14"/>
        <rFont val="Times New Roman"/>
        <family val="1"/>
      </rPr>
      <t xml:space="preserve"> * (gravity constant, m/s</t>
    </r>
    <r>
      <rPr>
        <vertAlign val="superscript"/>
        <sz val="14"/>
        <rFont val="Times New Roman"/>
        <family val="1"/>
      </rPr>
      <t>2</t>
    </r>
    <r>
      <rPr>
        <sz val="14"/>
        <rFont val="Times New Roman"/>
        <family val="1"/>
      </rPr>
      <t>)] / [18 * (viscosity of air, kg/m-s)]</t>
    </r>
  </si>
  <si>
    <r>
      <t xml:space="preserve">Particle Density: Many researchers have used 1000 kg/m3 </t>
    </r>
    <r>
      <rPr>
        <i/>
        <vertAlign val="superscript"/>
        <sz val="14"/>
        <rFont val="Times New Roman"/>
        <family val="1"/>
      </rPr>
      <t>20 13</t>
    </r>
  </si>
  <si>
    <t>INFORMATIONAL ONLY -- CAN BE USED FOR CHARACTERIZATION</t>
  </si>
  <si>
    <t>Molecular weight (g/mol)</t>
  </si>
  <si>
    <t>Vapor pressure (mmHg)</t>
  </si>
  <si>
    <t>Air exchange rate (1/hr)</t>
  </si>
  <si>
    <t>Application rate (from handler calculations)</t>
  </si>
  <si>
    <t>Area treated or Amount handled (from handler calculations)</t>
  </si>
  <si>
    <t>Conversion factor (atm/mmHg)</t>
  </si>
  <si>
    <t>Conversion factor (sec/hr)</t>
  </si>
  <si>
    <t>Determine approach for calculating deposited residue based on available data:</t>
  </si>
  <si>
    <t>Conversion factor (ug/lb)</t>
  </si>
  <si>
    <t>Volume of product applied (gallon)</t>
  </si>
  <si>
    <t>Application rate (lb ai/gal)</t>
  </si>
  <si>
    <t>lbs of active ingredient applied (lb ai)</t>
  </si>
  <si>
    <r>
      <t>Percent of mattress treated (%)</t>
    </r>
    <r>
      <rPr>
        <vertAlign val="superscript"/>
        <sz val="16"/>
        <rFont val="Times New Roman"/>
        <family val="1"/>
      </rPr>
      <t>a</t>
    </r>
  </si>
  <si>
    <r>
      <rPr>
        <vertAlign val="superscript"/>
        <sz val="16"/>
        <rFont val="Times New Roman"/>
        <family val="1"/>
      </rPr>
      <t>b</t>
    </r>
    <r>
      <rPr>
        <sz val="16"/>
        <rFont val="Times New Roman"/>
        <family val="1"/>
      </rPr>
      <t xml:space="preserve">  Default assumption = 0.005 gal/ft2.  Use product-specific information if available.</t>
    </r>
  </si>
  <si>
    <t>Fogger weight (ounces)</t>
  </si>
  <si>
    <t>Percent ai</t>
  </si>
  <si>
    <t>Active ingredient applied (ug ai)</t>
  </si>
  <si>
    <t>If do not have application rate from label: use default value adjusted for percent spray</t>
  </si>
  <si>
    <t>Aerosol can weight (ounces)</t>
  </si>
  <si>
    <t>Amt of product applied</t>
  </si>
  <si>
    <t>For foggers:</t>
  </si>
  <si>
    <t>For space sprays:</t>
  </si>
  <si>
    <t>If assuming default amount applied:</t>
  </si>
  <si>
    <t>Aerosol can weight (grams)</t>
  </si>
  <si>
    <t>If calculating amount applied:</t>
  </si>
  <si>
    <t>Conversion factor (ug/oz):</t>
  </si>
  <si>
    <t>Ceiling height (ft)</t>
  </si>
  <si>
    <t>Conversion factor (ug/g):</t>
  </si>
  <si>
    <t>Conversion factor (mg/ug)</t>
  </si>
  <si>
    <t xml:space="preserve">Absorbed Dose (mg/kg/day) </t>
  </si>
  <si>
    <t xml:space="preserve">Absorbed Dose Rounded (mg/kg/day) </t>
  </si>
  <si>
    <t>Incidental oral</t>
  </si>
  <si>
    <t>Incidental Oral MOE</t>
  </si>
  <si>
    <t xml:space="preserve">Incidental Oral MOE (rounded) 
</t>
  </si>
  <si>
    <t>Incidental Oral MOE (rounded)</t>
  </si>
  <si>
    <t xml:space="preserve">Conversion Factor (mg/ug) </t>
  </si>
  <si>
    <r>
      <t>Inhalation Rates (m</t>
    </r>
    <r>
      <rPr>
        <b/>
        <vertAlign val="superscript"/>
        <sz val="12"/>
        <rFont val="Times New Roman"/>
        <family val="1"/>
      </rPr>
      <t>3</t>
    </r>
    <r>
      <rPr>
        <b/>
        <sz val="12"/>
        <rFont val="Times New Roman"/>
        <family val="1"/>
      </rPr>
      <t>/hr)</t>
    </r>
  </si>
  <si>
    <r>
      <t>Application rate (lb ai/m</t>
    </r>
    <r>
      <rPr>
        <vertAlign val="superscript"/>
        <sz val="12"/>
        <rFont val="Times New Roman"/>
        <family val="1"/>
      </rPr>
      <t>3</t>
    </r>
    <r>
      <rPr>
        <sz val="12"/>
        <rFont val="Times New Roman"/>
        <family val="1"/>
      </rPr>
      <t>)</t>
    </r>
  </si>
  <si>
    <r>
      <t>Initial Concentration, Co (mg/m</t>
    </r>
    <r>
      <rPr>
        <vertAlign val="superscript"/>
        <sz val="12"/>
        <rFont val="Times New Roman"/>
        <family val="1"/>
      </rPr>
      <t>3</t>
    </r>
    <r>
      <rPr>
        <sz val="12"/>
        <rFont val="Times New Roman"/>
        <family val="1"/>
      </rPr>
      <t>)</t>
    </r>
  </si>
  <si>
    <r>
      <t>Concentration at time, t (mg/m</t>
    </r>
    <r>
      <rPr>
        <vertAlign val="superscript"/>
        <sz val="12"/>
        <rFont val="Times New Roman"/>
        <family val="1"/>
      </rPr>
      <t>3</t>
    </r>
    <r>
      <rPr>
        <sz val="12"/>
        <rFont val="Times New Roman"/>
        <family val="1"/>
      </rPr>
      <t>) -- after ventilation</t>
    </r>
  </si>
  <si>
    <r>
      <t>Volume of room (m</t>
    </r>
    <r>
      <rPr>
        <vertAlign val="superscript"/>
        <sz val="12"/>
        <rFont val="Times New Roman"/>
        <family val="1"/>
      </rPr>
      <t>3</t>
    </r>
    <r>
      <rPr>
        <sz val="12"/>
        <rFont val="Times New Roman"/>
        <family val="1"/>
      </rPr>
      <t>)</t>
    </r>
  </si>
  <si>
    <r>
      <t>Saturation concentration (mg/m</t>
    </r>
    <r>
      <rPr>
        <vertAlign val="superscript"/>
        <sz val="12"/>
        <rFont val="Times New Roman"/>
        <family val="1"/>
      </rPr>
      <t>3</t>
    </r>
    <r>
      <rPr>
        <sz val="12"/>
        <rFont val="Times New Roman"/>
        <family val="1"/>
      </rPr>
      <t>)</t>
    </r>
  </si>
  <si>
    <r>
      <t>Conversion factor (L/m</t>
    </r>
    <r>
      <rPr>
        <vertAlign val="superscript"/>
        <sz val="12"/>
        <rFont val="Times New Roman"/>
        <family val="1"/>
      </rPr>
      <t>3</t>
    </r>
    <r>
      <rPr>
        <sz val="12"/>
        <rFont val="Times New Roman"/>
        <family val="1"/>
      </rPr>
      <t>)</t>
    </r>
  </si>
  <si>
    <r>
      <t>Deposited residue (ug/cm</t>
    </r>
    <r>
      <rPr>
        <vertAlign val="superscript"/>
        <sz val="16"/>
        <rFont val="Times New Roman"/>
        <family val="1"/>
      </rPr>
      <t>2</t>
    </r>
    <r>
      <rPr>
        <sz val="16"/>
        <rFont val="Times New Roman"/>
        <family val="1"/>
      </rPr>
      <t>)</t>
    </r>
  </si>
  <si>
    <r>
      <t>Defaults for Deposited residue (ug/cm</t>
    </r>
    <r>
      <rPr>
        <vertAlign val="superscript"/>
        <sz val="16"/>
        <rFont val="Times New Roman"/>
        <family val="1"/>
      </rPr>
      <t>2</t>
    </r>
    <r>
      <rPr>
        <sz val="16"/>
        <rFont val="Times New Roman"/>
        <family val="1"/>
      </rPr>
      <t>)</t>
    </r>
  </si>
  <si>
    <r>
      <t>Conversion factor (ft</t>
    </r>
    <r>
      <rPr>
        <vertAlign val="superscript"/>
        <sz val="16"/>
        <rFont val="Times New Roman"/>
        <family val="1"/>
      </rPr>
      <t>2</t>
    </r>
    <r>
      <rPr>
        <sz val="16"/>
        <rFont val="Times New Roman"/>
        <family val="1"/>
      </rPr>
      <t xml:space="preserve"> to cm</t>
    </r>
    <r>
      <rPr>
        <vertAlign val="superscript"/>
        <sz val="16"/>
        <rFont val="Times New Roman"/>
        <family val="1"/>
      </rPr>
      <t>2</t>
    </r>
    <r>
      <rPr>
        <sz val="16"/>
        <rFont val="Times New Roman"/>
        <family val="1"/>
      </rPr>
      <t>)</t>
    </r>
  </si>
  <si>
    <r>
      <t>Application rate (ug/cm</t>
    </r>
    <r>
      <rPr>
        <vertAlign val="superscript"/>
        <sz val="16"/>
        <rFont val="Times New Roman"/>
        <family val="1"/>
      </rPr>
      <t>2</t>
    </r>
    <r>
      <rPr>
        <sz val="16"/>
        <rFont val="Times New Roman"/>
        <family val="1"/>
      </rPr>
      <t>)</t>
    </r>
  </si>
  <si>
    <r>
      <t>Surface area of twin mattress (cm</t>
    </r>
    <r>
      <rPr>
        <vertAlign val="superscript"/>
        <sz val="16"/>
        <rFont val="Times New Roman"/>
        <family val="1"/>
      </rPr>
      <t>2</t>
    </r>
    <r>
      <rPr>
        <sz val="16"/>
        <rFont val="Times New Roman"/>
        <family val="1"/>
      </rPr>
      <t>)</t>
    </r>
  </si>
  <si>
    <r>
      <t>Total treated surface area (cm</t>
    </r>
    <r>
      <rPr>
        <vertAlign val="superscript"/>
        <sz val="16"/>
        <rFont val="Times New Roman"/>
        <family val="1"/>
      </rPr>
      <t>2</t>
    </r>
    <r>
      <rPr>
        <sz val="16"/>
        <rFont val="Times New Roman"/>
        <family val="1"/>
      </rPr>
      <t>)</t>
    </r>
  </si>
  <si>
    <r>
      <t>Amount of product used per mattress (gal/ft</t>
    </r>
    <r>
      <rPr>
        <vertAlign val="superscript"/>
        <sz val="16"/>
        <rFont val="Times New Roman"/>
        <family val="1"/>
      </rPr>
      <t>2</t>
    </r>
    <r>
      <rPr>
        <sz val="16"/>
        <rFont val="Times New Roman"/>
        <family val="1"/>
      </rPr>
      <t>)</t>
    </r>
    <r>
      <rPr>
        <vertAlign val="superscript"/>
        <sz val="16"/>
        <rFont val="Times New Roman"/>
        <family val="1"/>
      </rPr>
      <t>b</t>
    </r>
  </si>
  <si>
    <r>
      <t>Volume treated (ft</t>
    </r>
    <r>
      <rPr>
        <vertAlign val="superscript"/>
        <sz val="16"/>
        <rFont val="Times New Roman"/>
        <family val="1"/>
      </rPr>
      <t>3</t>
    </r>
    <r>
      <rPr>
        <sz val="16"/>
        <rFont val="Times New Roman"/>
        <family val="1"/>
      </rPr>
      <t>)</t>
    </r>
  </si>
  <si>
    <r>
      <t>Conversion factor (cm</t>
    </r>
    <r>
      <rPr>
        <vertAlign val="superscript"/>
        <sz val="16"/>
        <rFont val="Times New Roman"/>
        <family val="1"/>
      </rPr>
      <t>2</t>
    </r>
    <r>
      <rPr>
        <sz val="16"/>
        <rFont val="Times New Roman"/>
        <family val="1"/>
      </rPr>
      <t>/ft</t>
    </r>
    <r>
      <rPr>
        <vertAlign val="superscript"/>
        <sz val="16"/>
        <rFont val="Times New Roman"/>
        <family val="1"/>
      </rPr>
      <t>2</t>
    </r>
    <r>
      <rPr>
        <sz val="16"/>
        <rFont val="Times New Roman"/>
        <family val="1"/>
      </rPr>
      <t>):</t>
    </r>
  </si>
  <si>
    <r>
      <t>Area treated (cm</t>
    </r>
    <r>
      <rPr>
        <vertAlign val="superscript"/>
        <sz val="16"/>
        <rFont val="Times New Roman"/>
        <family val="1"/>
      </rPr>
      <t>2</t>
    </r>
    <r>
      <rPr>
        <sz val="16"/>
        <rFont val="Times New Roman"/>
        <family val="1"/>
      </rPr>
      <t>):</t>
    </r>
  </si>
  <si>
    <r>
      <t>Volume treated (ft</t>
    </r>
    <r>
      <rPr>
        <vertAlign val="superscript"/>
        <sz val="16"/>
        <rFont val="Times New Roman"/>
        <family val="1"/>
      </rPr>
      <t>3</t>
    </r>
    <r>
      <rPr>
        <sz val="16"/>
        <rFont val="Times New Roman"/>
        <family val="1"/>
      </rPr>
      <t>):</t>
    </r>
  </si>
  <si>
    <r>
      <t>Deposited Residue (ug/cm</t>
    </r>
    <r>
      <rPr>
        <vertAlign val="superscript"/>
        <sz val="14"/>
        <rFont val="Times New Roman"/>
        <family val="1"/>
      </rPr>
      <t>2</t>
    </r>
    <r>
      <rPr>
        <sz val="14"/>
        <rFont val="Times New Roman"/>
        <family val="1"/>
      </rPr>
      <t>)</t>
    </r>
  </si>
  <si>
    <r>
      <t>Transferable Residue (ug/cm</t>
    </r>
    <r>
      <rPr>
        <vertAlign val="superscript"/>
        <sz val="14"/>
        <rFont val="Times New Roman"/>
        <family val="1"/>
      </rPr>
      <t>2</t>
    </r>
    <r>
      <rPr>
        <sz val="14"/>
        <rFont val="Times New Roman"/>
        <family val="1"/>
      </rPr>
      <t>)</t>
    </r>
  </si>
  <si>
    <t xml:space="preserve"> Absorbed Dose (mg/kg/day)</t>
  </si>
  <si>
    <r>
      <t>Surface area of 1 hand (cm</t>
    </r>
    <r>
      <rPr>
        <vertAlign val="superscript"/>
        <sz val="14"/>
        <rFont val="Times New Roman"/>
        <family val="1"/>
      </rPr>
      <t>2</t>
    </r>
    <r>
      <rPr>
        <sz val="14"/>
        <rFont val="Times New Roman"/>
        <family val="1"/>
      </rPr>
      <t>)</t>
    </r>
  </si>
  <si>
    <r>
      <t>Deposited Residue (ug/cm</t>
    </r>
    <r>
      <rPr>
        <vertAlign val="superscript"/>
        <sz val="16"/>
        <rFont val="Times New Roman"/>
        <family val="1"/>
      </rPr>
      <t>2</t>
    </r>
    <r>
      <rPr>
        <sz val="16"/>
        <rFont val="Times New Roman"/>
        <family val="1"/>
      </rPr>
      <t>)</t>
    </r>
  </si>
  <si>
    <r>
      <t>Object Residue (ug/cm</t>
    </r>
    <r>
      <rPr>
        <vertAlign val="superscript"/>
        <sz val="16"/>
        <rFont val="Times New Roman"/>
        <family val="1"/>
      </rPr>
      <t>2</t>
    </r>
    <r>
      <rPr>
        <sz val="16"/>
        <rFont val="Times New Roman"/>
        <family val="1"/>
      </rPr>
      <t>)</t>
    </r>
  </si>
  <si>
    <t>Absorbed Dose (mg/kg/day)</t>
  </si>
  <si>
    <t>Absorbed Dose Rounded (mg/kg/day)</t>
  </si>
  <si>
    <t>Pick (1) if chemical-specific data are available</t>
  </si>
  <si>
    <t>Pick (2) if no chemical-specific data are available but there is an application rate on the label</t>
  </si>
  <si>
    <t>Pick (3) if neither chemical-specific data are available or an application rate is on the label</t>
  </si>
  <si>
    <t>EXPOSURE AND TOXICITY FACTORS</t>
  </si>
  <si>
    <r>
      <t>Label application rate (lb ai/ft</t>
    </r>
    <r>
      <rPr>
        <vertAlign val="superscript"/>
        <sz val="16"/>
        <rFont val="Times New Roman"/>
        <family val="1"/>
      </rPr>
      <t>2</t>
    </r>
    <r>
      <rPr>
        <sz val="16"/>
        <rFont val="Times New Roman"/>
        <family val="1"/>
      </rPr>
      <t>)</t>
    </r>
  </si>
  <si>
    <t>KEY_Adult_bw</t>
  </si>
  <si>
    <t>KEY_Dermal_POD_Source</t>
  </si>
  <si>
    <t>KEY_Dermal_Absorption_Source</t>
  </si>
  <si>
    <t>KEY_Inhalation_POD_Source</t>
  </si>
  <si>
    <t>KEY_Inhalation_Asborption_Source</t>
  </si>
  <si>
    <t>KEY_Duration</t>
  </si>
  <si>
    <t>KEY_Inhalation_POD</t>
  </si>
  <si>
    <t>KEY_Inhalation_Absorption</t>
  </si>
  <si>
    <t>KEY_Inhalation_LOC</t>
  </si>
  <si>
    <t>KEY_Dermal_POD</t>
  </si>
  <si>
    <t>KEY_Dermal_Absorption</t>
  </si>
  <si>
    <t>KEY_Dermal_LOC</t>
  </si>
  <si>
    <t>KEY_Oral_POD</t>
  </si>
  <si>
    <t>KEY_Oral_LOC</t>
  </si>
  <si>
    <t>KEY_Active_ingredient</t>
  </si>
  <si>
    <t>KEY_molecular_weight</t>
  </si>
  <si>
    <t>KEY_vapor_pressure</t>
  </si>
  <si>
    <t>KEY_broadcast_residue</t>
  </si>
  <si>
    <t>KEY_coarse_residue</t>
  </si>
  <si>
    <t>KEY_pin_stream_residue</t>
  </si>
  <si>
    <t>KEY_crack_and_crevice_residue</t>
  </si>
  <si>
    <t>KEY_foggers_residue</t>
  </si>
  <si>
    <t>KEY_space_sprays_residue</t>
  </si>
  <si>
    <t>KEY_matress_residue</t>
  </si>
  <si>
    <r>
      <rPr>
        <vertAlign val="superscript"/>
        <sz val="16"/>
        <rFont val="Times New Roman"/>
        <family val="1"/>
      </rPr>
      <t>a</t>
    </r>
    <r>
      <rPr>
        <sz val="16"/>
        <rFont val="Times New Roman"/>
        <family val="1"/>
      </rPr>
      <t xml:space="preserve"> Value dependent on label instructions.  Use 20% if label directions indicate application to "tufts, seams, folds and edges" of the mattress.  Use 100% if label use directions indicate application to entire mattress.</t>
    </r>
  </si>
</sst>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quot;-&quot;??_);_(@_)"/>
    <numFmt numFmtId="165" formatCode="0.0"/>
    <numFmt numFmtId="166" formatCode="0.0E+00"/>
    <numFmt numFmtId="167" formatCode="0.000"/>
    <numFmt numFmtId="168" formatCode="0.0%"/>
    <numFmt numFmtId="169" formatCode="0.0000"/>
    <numFmt numFmtId="170" formatCode="0.00000"/>
    <numFmt numFmtId="171" formatCode="0.000000"/>
    <numFmt numFmtId="172" formatCode="#,##0.0"/>
    <numFmt numFmtId="173" formatCode="0.00000000"/>
  </numFmts>
  <fonts count="50" x14ac:knownFonts="1">
    <font>
      <sz val="10"/>
      <name val="Arial"/>
    </font>
    <font>
      <sz val="10"/>
      <name val="Arial"/>
      <family val="2"/>
    </font>
    <font>
      <u/>
      <sz val="10"/>
      <color indexed="12"/>
      <name val="Arial"/>
      <family val="2"/>
    </font>
    <font>
      <sz val="8"/>
      <name val="Arial"/>
      <family val="2"/>
    </font>
    <font>
      <sz val="10"/>
      <name val="Arial"/>
      <family val="2"/>
    </font>
    <font>
      <sz val="8"/>
      <color indexed="81"/>
      <name val="Tahoma"/>
      <family val="2"/>
    </font>
    <font>
      <b/>
      <sz val="8"/>
      <color indexed="81"/>
      <name val="Tahoma"/>
      <family val="2"/>
    </font>
    <font>
      <sz val="12"/>
      <color indexed="81"/>
      <name val="Tahoma"/>
      <family val="2"/>
    </font>
    <font>
      <sz val="11"/>
      <name val="Times New Roman"/>
      <family val="1"/>
    </font>
    <font>
      <sz val="16"/>
      <name val="Times New Roman"/>
      <family val="1"/>
    </font>
    <font>
      <sz val="12"/>
      <name val="Arial"/>
      <family val="2"/>
    </font>
    <font>
      <b/>
      <sz val="12"/>
      <name val="Times New Roman"/>
      <family val="1"/>
    </font>
    <font>
      <sz val="12"/>
      <name val="Times New Roman"/>
      <family val="1"/>
    </font>
    <font>
      <b/>
      <sz val="16"/>
      <name val="Times New Roman"/>
      <family val="1"/>
    </font>
    <font>
      <b/>
      <sz val="14"/>
      <name val="Times New Roman"/>
      <family val="1"/>
    </font>
    <font>
      <sz val="14"/>
      <name val="Times New Roman"/>
      <family val="1"/>
    </font>
    <font>
      <b/>
      <sz val="18"/>
      <name val="Times New Roman"/>
      <family val="1"/>
    </font>
    <font>
      <b/>
      <sz val="11"/>
      <name val="Times New Roman"/>
      <family val="1"/>
    </font>
    <font>
      <sz val="14"/>
      <color rgb="FFFF0000"/>
      <name val="Times New Roman"/>
      <family val="1"/>
    </font>
    <font>
      <vertAlign val="superscript"/>
      <sz val="12"/>
      <name val="Times New Roman"/>
      <family val="1"/>
    </font>
    <font>
      <vertAlign val="subscript"/>
      <sz val="12"/>
      <name val="Times New Roman"/>
      <family val="1"/>
    </font>
    <font>
      <sz val="12"/>
      <color rgb="FFFF0000"/>
      <name val="Times New Roman"/>
      <family val="1"/>
    </font>
    <font>
      <b/>
      <sz val="20"/>
      <name val="Times New Roman"/>
      <family val="1"/>
    </font>
    <font>
      <u/>
      <sz val="20"/>
      <name val="Times New Roman"/>
      <family val="1"/>
    </font>
    <font>
      <b/>
      <sz val="16"/>
      <color theme="3" tint="0.39997558519241921"/>
      <name val="Times New Roman"/>
      <family val="1"/>
    </font>
    <font>
      <b/>
      <sz val="16"/>
      <color theme="6" tint="-0.249977111117893"/>
      <name val="Times New Roman"/>
      <family val="1"/>
    </font>
    <font>
      <sz val="16"/>
      <color indexed="10"/>
      <name val="Times New Roman"/>
      <family val="1"/>
    </font>
    <font>
      <sz val="16"/>
      <color rgb="FFFF0000"/>
      <name val="Times New Roman"/>
      <family val="1"/>
    </font>
    <font>
      <b/>
      <sz val="20"/>
      <color theme="3" tint="0.39997558519241921"/>
      <name val="Times New Roman"/>
      <family val="1"/>
    </font>
    <font>
      <b/>
      <sz val="14"/>
      <color theme="3" tint="0.39997558519241921"/>
      <name val="Times New Roman"/>
      <family val="1"/>
    </font>
    <font>
      <sz val="14"/>
      <color theme="0"/>
      <name val="Times New Roman"/>
      <family val="1"/>
    </font>
    <font>
      <vertAlign val="superscript"/>
      <sz val="14"/>
      <name val="Times New Roman"/>
      <family val="1"/>
    </font>
    <font>
      <sz val="14"/>
      <color indexed="14"/>
      <name val="Times New Roman"/>
      <family val="1"/>
    </font>
    <font>
      <sz val="14"/>
      <color indexed="10"/>
      <name val="Times New Roman"/>
      <family val="1"/>
    </font>
    <font>
      <sz val="16"/>
      <color theme="3" tint="0.39997558519241921"/>
      <name val="Times New Roman"/>
      <family val="1"/>
    </font>
    <font>
      <vertAlign val="subscript"/>
      <sz val="14"/>
      <name val="Times New Roman"/>
      <family val="1"/>
    </font>
    <font>
      <sz val="18"/>
      <name val="Times New Roman"/>
      <family val="1"/>
    </font>
    <font>
      <vertAlign val="superscript"/>
      <sz val="16"/>
      <name val="Times New Roman"/>
      <family val="1"/>
    </font>
    <font>
      <sz val="10"/>
      <name val="Arial"/>
      <family val="2"/>
    </font>
    <font>
      <u/>
      <sz val="14"/>
      <name val="Times New Roman"/>
      <family val="1"/>
    </font>
    <font>
      <i/>
      <sz val="14"/>
      <name val="Times New Roman"/>
      <family val="1"/>
    </font>
    <font>
      <i/>
      <vertAlign val="superscript"/>
      <sz val="14"/>
      <name val="Times New Roman"/>
      <family val="1"/>
    </font>
    <font>
      <b/>
      <sz val="12"/>
      <color rgb="FF00B050"/>
      <name val="Times New Roman"/>
      <family val="1"/>
    </font>
    <font>
      <b/>
      <sz val="14"/>
      <color indexed="81"/>
      <name val="Tahoma"/>
      <family val="2"/>
    </font>
    <font>
      <sz val="10"/>
      <color indexed="81"/>
      <name val="Tahoma"/>
      <family val="2"/>
    </font>
    <font>
      <b/>
      <sz val="22"/>
      <name val="Times New Roman"/>
      <family val="1"/>
    </font>
    <font>
      <b/>
      <u/>
      <sz val="22"/>
      <name val="Times New Roman"/>
      <family val="1"/>
    </font>
    <font>
      <b/>
      <vertAlign val="superscript"/>
      <sz val="12"/>
      <name val="Times New Roman"/>
      <family val="1"/>
    </font>
    <font>
      <b/>
      <sz val="10"/>
      <name val="Times New Roman"/>
      <family val="1"/>
    </font>
    <font>
      <sz val="10"/>
      <name val="Times New Roman"/>
      <family val="1"/>
    </font>
  </fonts>
  <fills count="11">
    <fill>
      <patternFill patternType="none"/>
    </fill>
    <fill>
      <patternFill patternType="gray125"/>
    </fill>
    <fill>
      <patternFill patternType="solid">
        <fgColor indexed="44"/>
        <bgColor indexed="64"/>
      </patternFill>
    </fill>
    <fill>
      <patternFill patternType="solid">
        <fgColor indexed="41"/>
        <bgColor indexed="64"/>
      </patternFill>
    </fill>
    <fill>
      <patternFill patternType="solid">
        <fgColor theme="0" tint="-4.9989318521683403E-2"/>
        <bgColor indexed="64"/>
      </patternFill>
    </fill>
    <fill>
      <patternFill patternType="solid">
        <fgColor theme="6" tint="0.39997558519241921"/>
        <bgColor indexed="64"/>
      </patternFill>
    </fill>
    <fill>
      <patternFill patternType="solid">
        <fgColor rgb="FFFFC000"/>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8" tint="0.59999389629810485"/>
        <bgColor indexed="64"/>
      </patternFill>
    </fill>
    <fill>
      <patternFill patternType="solid">
        <fgColor theme="3" tint="0.59999389629810485"/>
        <bgColor indexed="64"/>
      </patternFill>
    </fill>
  </fills>
  <borders count="27">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s>
  <cellStyleXfs count="12">
    <xf numFmtId="0" fontId="0" fillId="0" borderId="0"/>
    <xf numFmtId="164" fontId="1" fillId="0" borderId="0" applyFont="0" applyFill="0" applyBorder="0" applyAlignment="0" applyProtection="0"/>
    <xf numFmtId="0" fontId="2" fillId="0" borderId="0" applyNumberFormat="0" applyFill="0" applyBorder="0" applyAlignment="0" applyProtection="0">
      <alignment vertical="top"/>
      <protection locked="0"/>
    </xf>
    <xf numFmtId="0" fontId="4" fillId="0" borderId="0"/>
    <xf numFmtId="0" fontId="10" fillId="0" borderId="0"/>
    <xf numFmtId="0" fontId="1" fillId="0" borderId="0"/>
    <xf numFmtId="0" fontId="4" fillId="0" borderId="0"/>
    <xf numFmtId="9" fontId="38" fillId="0" borderId="0" applyFont="0" applyFill="0" applyBorder="0" applyAlignment="0" applyProtection="0"/>
    <xf numFmtId="0" fontId="1" fillId="0" borderId="0"/>
    <xf numFmtId="0" fontId="1" fillId="0" borderId="0"/>
    <xf numFmtId="0" fontId="1" fillId="0" borderId="0"/>
    <xf numFmtId="164" fontId="1" fillId="0" borderId="0" applyFont="0" applyFill="0" applyBorder="0" applyAlignment="0" applyProtection="0"/>
  </cellStyleXfs>
  <cellXfs count="548">
    <xf numFmtId="0" fontId="0" fillId="0" borderId="0" xfId="0"/>
    <xf numFmtId="0" fontId="8" fillId="0" borderId="0" xfId="0" applyFont="1" applyFill="1" applyBorder="1" applyAlignment="1">
      <alignment horizontal="center" vertical="center"/>
    </xf>
    <xf numFmtId="0" fontId="8" fillId="0" borderId="0" xfId="0" applyFont="1" applyFill="1" applyBorder="1" applyAlignment="1">
      <alignment horizontal="center" vertical="center" wrapText="1"/>
    </xf>
    <xf numFmtId="0" fontId="9" fillId="0" borderId="0" xfId="0" applyFont="1" applyFill="1" applyBorder="1" applyAlignment="1">
      <alignment horizontal="center" vertical="center" wrapText="1"/>
    </xf>
    <xf numFmtId="0" fontId="12" fillId="0" borderId="0" xfId="0" applyFont="1"/>
    <xf numFmtId="0" fontId="14" fillId="0" borderId="0" xfId="0" applyFont="1"/>
    <xf numFmtId="0" fontId="12" fillId="0" borderId="0" xfId="0" applyFont="1" applyFill="1"/>
    <xf numFmtId="0" fontId="12" fillId="0" borderId="2" xfId="0" applyFont="1" applyBorder="1" applyAlignment="1">
      <alignment horizontal="center"/>
    </xf>
    <xf numFmtId="0" fontId="8" fillId="0" borderId="0" xfId="0" applyFont="1" applyAlignment="1">
      <alignment horizontal="right"/>
    </xf>
    <xf numFmtId="0" fontId="8" fillId="0" borderId="0" xfId="0" applyFont="1"/>
    <xf numFmtId="0" fontId="15" fillId="0" borderId="0" xfId="0" applyFont="1" applyFill="1" applyAlignment="1">
      <alignment vertical="center"/>
    </xf>
    <xf numFmtId="0" fontId="12" fillId="0" borderId="0" xfId="0" applyFont="1" applyAlignment="1">
      <alignment horizontal="right" vertical="center"/>
    </xf>
    <xf numFmtId="0" fontId="12" fillId="0" borderId="0" xfId="0" applyFont="1" applyAlignment="1">
      <alignment vertical="center"/>
    </xf>
    <xf numFmtId="0" fontId="8" fillId="0" borderId="0" xfId="0" applyFont="1" applyBorder="1"/>
    <xf numFmtId="2" fontId="12" fillId="0" borderId="0" xfId="0" applyNumberFormat="1" applyFont="1" applyAlignment="1">
      <alignment horizontal="center" vertical="center"/>
    </xf>
    <xf numFmtId="0" fontId="11" fillId="0" borderId="0" xfId="5" applyFont="1" applyFill="1" applyBorder="1" applyAlignment="1">
      <alignment horizontal="center" vertical="center"/>
    </xf>
    <xf numFmtId="0" fontId="15" fillId="0" borderId="0" xfId="0" applyFont="1"/>
    <xf numFmtId="0" fontId="12" fillId="0" borderId="0" xfId="0" applyFont="1" applyAlignment="1">
      <alignment horizontal="center" vertical="center"/>
    </xf>
    <xf numFmtId="0" fontId="18" fillId="0" borderId="0" xfId="0" applyFont="1" applyAlignment="1">
      <alignment vertical="top"/>
    </xf>
    <xf numFmtId="0" fontId="12" fillId="0" borderId="0" xfId="0" applyFont="1" applyAlignment="1">
      <alignment horizontal="center" vertical="center" wrapText="1"/>
    </xf>
    <xf numFmtId="0" fontId="12" fillId="0" borderId="0" xfId="0" applyFont="1" applyAlignment="1">
      <alignment vertical="center" wrapText="1"/>
    </xf>
    <xf numFmtId="3" fontId="12" fillId="0" borderId="0" xfId="0" applyNumberFormat="1" applyFont="1"/>
    <xf numFmtId="0" fontId="12" fillId="6" borderId="2" xfId="0" applyFont="1" applyFill="1" applyBorder="1" applyAlignment="1">
      <alignment horizontal="center" vertical="center" wrapText="1"/>
    </xf>
    <xf numFmtId="166" fontId="12" fillId="0" borderId="2" xfId="0" applyNumberFormat="1" applyFont="1" applyBorder="1" applyAlignment="1">
      <alignment horizontal="center" vertical="center" wrapText="1"/>
    </xf>
    <xf numFmtId="0" fontId="12" fillId="0" borderId="2" xfId="0" applyFont="1" applyBorder="1" applyAlignment="1">
      <alignment horizontal="center" vertical="center" wrapText="1"/>
    </xf>
    <xf numFmtId="0" fontId="17" fillId="0" borderId="0" xfId="0" applyFont="1"/>
    <xf numFmtId="0" fontId="15" fillId="0" borderId="0" xfId="0" applyFont="1" applyAlignment="1">
      <alignment vertical="top" wrapText="1"/>
    </xf>
    <xf numFmtId="0" fontId="12" fillId="0" borderId="3" xfId="0" applyFont="1" applyFill="1" applyBorder="1" applyAlignment="1">
      <alignment horizontal="center" vertical="center" wrapText="1"/>
    </xf>
    <xf numFmtId="11" fontId="12" fillId="0" borderId="2" xfId="0" applyNumberFormat="1" applyFont="1" applyBorder="1" applyAlignment="1">
      <alignment horizontal="center" vertical="center" wrapText="1"/>
    </xf>
    <xf numFmtId="2" fontId="12" fillId="0" borderId="2" xfId="0" applyNumberFormat="1" applyFont="1" applyBorder="1" applyAlignment="1">
      <alignment horizontal="center" vertical="center" wrapText="1"/>
    </xf>
    <xf numFmtId="0" fontId="12" fillId="0" borderId="2" xfId="0" applyNumberFormat="1" applyFont="1" applyBorder="1" applyAlignment="1">
      <alignment horizontal="center" vertical="center" wrapText="1"/>
    </xf>
    <xf numFmtId="0" fontId="12" fillId="0" borderId="0" xfId="0" applyFont="1" applyFill="1" applyBorder="1" applyAlignment="1">
      <alignment horizontal="center" vertical="center" wrapText="1"/>
    </xf>
    <xf numFmtId="0" fontId="12" fillId="0" borderId="0" xfId="0" applyFont="1" applyFill="1" applyBorder="1" applyAlignment="1">
      <alignment horizontal="center"/>
    </xf>
    <xf numFmtId="11" fontId="12" fillId="0" borderId="0" xfId="0" applyNumberFormat="1" applyFont="1" applyFill="1" applyBorder="1" applyAlignment="1">
      <alignment horizontal="center" vertical="center" wrapText="1"/>
    </xf>
    <xf numFmtId="2" fontId="12" fillId="0" borderId="0" xfId="0" applyNumberFormat="1" applyFont="1" applyFill="1" applyBorder="1" applyAlignment="1">
      <alignment horizontal="center" vertical="center" wrapText="1"/>
    </xf>
    <xf numFmtId="3" fontId="12" fillId="0" borderId="0" xfId="0" applyNumberFormat="1" applyFont="1" applyFill="1" applyBorder="1" applyAlignment="1">
      <alignment horizontal="center" vertical="center" wrapText="1"/>
    </xf>
    <xf numFmtId="0" fontId="12" fillId="0" borderId="0" xfId="0" applyFont="1" applyFill="1" applyAlignment="1">
      <alignment horizontal="center" vertical="center" wrapText="1"/>
    </xf>
    <xf numFmtId="0" fontId="12" fillId="0" borderId="0" xfId="0" applyFont="1" applyFill="1" applyAlignment="1">
      <alignment vertical="center" wrapText="1"/>
    </xf>
    <xf numFmtId="0" fontId="12" fillId="0" borderId="0" xfId="4" applyFont="1" applyFill="1" applyBorder="1" applyAlignment="1">
      <alignment horizontal="center" vertical="center"/>
    </xf>
    <xf numFmtId="0" fontId="12" fillId="0" borderId="0" xfId="4" applyFont="1"/>
    <xf numFmtId="0" fontId="12" fillId="0" borderId="2" xfId="4" applyFont="1" applyBorder="1" applyAlignment="1">
      <alignment horizontal="center"/>
    </xf>
    <xf numFmtId="2" fontId="12" fillId="0" borderId="2" xfId="4" applyNumberFormat="1" applyFont="1" applyBorder="1" applyAlignment="1">
      <alignment horizontal="center"/>
    </xf>
    <xf numFmtId="0" fontId="12" fillId="0" borderId="2" xfId="4" applyFont="1" applyFill="1" applyBorder="1" applyAlignment="1">
      <alignment horizontal="center" vertical="center" wrapText="1"/>
    </xf>
    <xf numFmtId="2" fontId="12" fillId="0" borderId="2" xfId="4" applyNumberFormat="1" applyFont="1" applyFill="1" applyBorder="1" applyAlignment="1">
      <alignment horizontal="center"/>
    </xf>
    <xf numFmtId="2" fontId="12" fillId="0" borderId="0" xfId="4" applyNumberFormat="1" applyFont="1" applyFill="1" applyBorder="1" applyAlignment="1">
      <alignment horizontal="center"/>
    </xf>
    <xf numFmtId="0" fontId="12" fillId="0" borderId="0" xfId="0" applyFont="1" applyAlignment="1">
      <alignment horizontal="left"/>
    </xf>
    <xf numFmtId="2" fontId="12" fillId="5" borderId="2" xfId="0" applyNumberFormat="1" applyFont="1" applyFill="1" applyBorder="1" applyAlignment="1">
      <alignment horizontal="center" vertical="center" wrapText="1"/>
    </xf>
    <xf numFmtId="0" fontId="9" fillId="0" borderId="2" xfId="0" applyFont="1" applyFill="1" applyBorder="1" applyAlignment="1">
      <alignment horizontal="center" vertical="center"/>
    </xf>
    <xf numFmtId="0" fontId="15" fillId="0" borderId="0" xfId="0" applyFont="1" applyFill="1"/>
    <xf numFmtId="0" fontId="12" fillId="0" borderId="0" xfId="0" applyFont="1" applyFill="1" applyAlignment="1">
      <alignment vertical="center"/>
    </xf>
    <xf numFmtId="0" fontId="14" fillId="0" borderId="0" xfId="0" applyFont="1" applyAlignment="1">
      <alignment vertical="center"/>
    </xf>
    <xf numFmtId="166" fontId="12" fillId="0" borderId="2" xfId="0" applyNumberFormat="1" applyFont="1" applyFill="1" applyBorder="1" applyAlignment="1">
      <alignment horizontal="center" vertical="center" wrapText="1"/>
    </xf>
    <xf numFmtId="0" fontId="12" fillId="5" borderId="2" xfId="0" applyFont="1" applyFill="1" applyBorder="1" applyAlignment="1">
      <alignment horizontal="center" vertical="center"/>
    </xf>
    <xf numFmtId="166" fontId="12" fillId="0" borderId="0" xfId="0" applyNumberFormat="1" applyFont="1" applyFill="1" applyBorder="1" applyAlignment="1">
      <alignment vertical="center" wrapText="1"/>
    </xf>
    <xf numFmtId="3" fontId="12" fillId="0" borderId="0" xfId="0" applyNumberFormat="1" applyFont="1" applyFill="1" applyBorder="1" applyAlignment="1">
      <alignment vertical="center" wrapText="1"/>
    </xf>
    <xf numFmtId="3" fontId="12" fillId="0" borderId="0" xfId="0" applyNumberFormat="1" applyFont="1" applyFill="1" applyAlignment="1">
      <alignment vertical="center" wrapText="1"/>
    </xf>
    <xf numFmtId="166" fontId="12" fillId="5" borderId="2" xfId="0" applyNumberFormat="1" applyFont="1" applyFill="1" applyBorder="1" applyAlignment="1">
      <alignment horizontal="center" vertical="center"/>
    </xf>
    <xf numFmtId="0" fontId="12" fillId="0" borderId="0" xfId="0" applyFont="1" applyFill="1" applyBorder="1" applyAlignment="1">
      <alignment horizontal="center" vertical="center"/>
    </xf>
    <xf numFmtId="3" fontId="12" fillId="0" borderId="0" xfId="0" applyNumberFormat="1" applyFont="1" applyAlignment="1">
      <alignment horizontal="left" vertical="center"/>
    </xf>
    <xf numFmtId="0" fontId="12" fillId="5" borderId="2" xfId="0" applyFont="1" applyFill="1" applyBorder="1" applyAlignment="1">
      <alignment horizontal="center" vertical="center" wrapText="1"/>
    </xf>
    <xf numFmtId="0" fontId="12" fillId="0" borderId="2" xfId="0" applyFont="1" applyBorder="1" applyAlignment="1">
      <alignment horizontal="center" vertical="center"/>
    </xf>
    <xf numFmtId="3" fontId="12" fillId="0" borderId="2" xfId="0" applyNumberFormat="1" applyFont="1" applyBorder="1" applyAlignment="1">
      <alignment horizontal="center" vertical="center" wrapText="1"/>
    </xf>
    <xf numFmtId="0" fontId="12" fillId="0" borderId="0" xfId="0" applyFont="1" applyBorder="1" applyAlignment="1">
      <alignment horizontal="center" vertical="center"/>
    </xf>
    <xf numFmtId="3" fontId="12" fillId="0" borderId="0" xfId="0" applyNumberFormat="1" applyFont="1" applyBorder="1" applyAlignment="1">
      <alignment horizontal="center" vertical="center" wrapText="1"/>
    </xf>
    <xf numFmtId="0" fontId="12" fillId="0" borderId="0" xfId="0" applyFont="1" applyAlignment="1">
      <alignment horizontal="left" vertical="center"/>
    </xf>
    <xf numFmtId="0" fontId="12" fillId="0" borderId="0" xfId="0" applyFont="1" applyBorder="1" applyAlignment="1">
      <alignment horizontal="center" vertical="center" wrapText="1"/>
    </xf>
    <xf numFmtId="0" fontId="12" fillId="0" borderId="0" xfId="0" applyFont="1" applyBorder="1" applyAlignment="1">
      <alignment vertical="center" wrapText="1"/>
    </xf>
    <xf numFmtId="3" fontId="12" fillId="0" borderId="0" xfId="0" applyNumberFormat="1" applyFont="1" applyAlignment="1">
      <alignment vertical="center" wrapText="1"/>
    </xf>
    <xf numFmtId="171" fontId="12" fillId="0" borderId="2" xfId="0" applyNumberFormat="1" applyFont="1" applyFill="1" applyBorder="1" applyAlignment="1">
      <alignment horizontal="center" vertical="center" wrapText="1"/>
    </xf>
    <xf numFmtId="11" fontId="12" fillId="0" borderId="2" xfId="0" applyNumberFormat="1" applyFont="1" applyFill="1" applyBorder="1" applyAlignment="1">
      <alignment horizontal="center" vertical="center" wrapText="1"/>
    </xf>
    <xf numFmtId="171" fontId="12" fillId="0" borderId="0" xfId="0" applyNumberFormat="1" applyFont="1" applyBorder="1" applyAlignment="1">
      <alignment horizontal="center" vertical="center" wrapText="1"/>
    </xf>
    <xf numFmtId="0" fontId="12" fillId="0" borderId="0" xfId="0" applyFont="1" applyBorder="1" applyAlignment="1">
      <alignment horizontal="left" vertical="center" wrapText="1"/>
    </xf>
    <xf numFmtId="0" fontId="21" fillId="0" borderId="0" xfId="0" applyFont="1" applyBorder="1" applyAlignment="1">
      <alignment horizontal="center" vertical="center" wrapText="1"/>
    </xf>
    <xf numFmtId="0" fontId="12" fillId="0" borderId="2" xfId="6" applyNumberFormat="1" applyFont="1" applyFill="1" applyBorder="1" applyAlignment="1">
      <alignment horizontal="center" vertical="center"/>
    </xf>
    <xf numFmtId="2" fontId="12" fillId="0" borderId="0" xfId="0" applyNumberFormat="1" applyFont="1" applyAlignment="1">
      <alignment horizontal="center" vertical="center" wrapText="1"/>
    </xf>
    <xf numFmtId="166" fontId="12" fillId="0" borderId="0" xfId="0" applyNumberFormat="1" applyFont="1" applyBorder="1" applyAlignment="1">
      <alignment horizontal="center" vertical="center" wrapText="1"/>
    </xf>
    <xf numFmtId="171" fontId="12" fillId="0" borderId="2" xfId="0" applyNumberFormat="1" applyFont="1" applyBorder="1" applyAlignment="1">
      <alignment horizontal="center" vertical="center" wrapText="1"/>
    </xf>
    <xf numFmtId="0" fontId="23" fillId="0" borderId="0" xfId="2" applyFont="1" applyFill="1" applyBorder="1" applyAlignment="1" applyProtection="1">
      <alignment horizontal="left" vertical="center" wrapText="1"/>
    </xf>
    <xf numFmtId="0" fontId="13" fillId="0" borderId="0" xfId="0" applyFont="1" applyFill="1" applyBorder="1" applyAlignment="1">
      <alignment horizontal="left" vertical="center" wrapText="1"/>
    </xf>
    <xf numFmtId="0" fontId="9" fillId="5" borderId="2" xfId="0" applyFont="1" applyFill="1" applyBorder="1" applyAlignment="1">
      <alignment horizontal="center" vertical="center"/>
    </xf>
    <xf numFmtId="0" fontId="9" fillId="0" borderId="2" xfId="0" applyFont="1" applyFill="1" applyBorder="1" applyAlignment="1">
      <alignment horizontal="center" vertical="center" wrapText="1"/>
    </xf>
    <xf numFmtId="0" fontId="9" fillId="0" borderId="0" xfId="0" applyFont="1" applyFill="1" applyBorder="1" applyAlignment="1">
      <alignment horizontal="left" vertical="center"/>
    </xf>
    <xf numFmtId="166" fontId="9" fillId="0" borderId="2" xfId="0" applyNumberFormat="1" applyFont="1" applyFill="1" applyBorder="1" applyAlignment="1">
      <alignment horizontal="center" vertical="center"/>
    </xf>
    <xf numFmtId="2" fontId="9" fillId="0" borderId="2" xfId="5" applyNumberFormat="1" applyFont="1" applyFill="1" applyBorder="1" applyAlignment="1">
      <alignment horizontal="center" vertical="center"/>
    </xf>
    <xf numFmtId="10" fontId="9" fillId="5" borderId="2" xfId="0" applyNumberFormat="1" applyFont="1" applyFill="1" applyBorder="1" applyAlignment="1">
      <alignment horizontal="center" vertical="center" wrapText="1"/>
    </xf>
    <xf numFmtId="0" fontId="13" fillId="0" borderId="0" xfId="0" applyFont="1" applyFill="1" applyBorder="1" applyAlignment="1">
      <alignment vertical="center" wrapText="1"/>
    </xf>
    <xf numFmtId="1" fontId="9" fillId="0" borderId="2" xfId="0" applyNumberFormat="1" applyFont="1" applyFill="1" applyBorder="1" applyAlignment="1">
      <alignment horizontal="center" vertical="center" wrapText="1"/>
    </xf>
    <xf numFmtId="0" fontId="9" fillId="0" borderId="0" xfId="0" applyFont="1" applyFill="1" applyBorder="1" applyAlignment="1">
      <alignment horizontal="left" vertical="center" wrapText="1"/>
    </xf>
    <xf numFmtId="169" fontId="9" fillId="0" borderId="2" xfId="0" applyNumberFormat="1" applyFont="1" applyFill="1" applyBorder="1" applyAlignment="1">
      <alignment horizontal="center" vertical="center" wrapText="1"/>
    </xf>
    <xf numFmtId="169" fontId="9" fillId="5" borderId="2" xfId="0" applyNumberFormat="1" applyFont="1" applyFill="1" applyBorder="1" applyAlignment="1">
      <alignment horizontal="center" vertical="center" wrapText="1"/>
    </xf>
    <xf numFmtId="0" fontId="9" fillId="0" borderId="0" xfId="0" applyFont="1" applyFill="1" applyBorder="1" applyAlignment="1">
      <alignment vertical="center" wrapText="1"/>
    </xf>
    <xf numFmtId="171" fontId="9" fillId="0" borderId="2" xfId="0" applyNumberFormat="1" applyFont="1" applyFill="1" applyBorder="1" applyAlignment="1">
      <alignment horizontal="center" vertical="center" wrapText="1"/>
    </xf>
    <xf numFmtId="2" fontId="9" fillId="0" borderId="0" xfId="5" applyNumberFormat="1" applyFont="1" applyFill="1" applyBorder="1" applyAlignment="1">
      <alignment horizontal="center" vertical="center"/>
    </xf>
    <xf numFmtId="0" fontId="27" fillId="0" borderId="2" xfId="0" applyFont="1" applyFill="1" applyBorder="1" applyAlignment="1">
      <alignment horizontal="center" vertical="center" wrapText="1"/>
    </xf>
    <xf numFmtId="0" fontId="28" fillId="0" borderId="0" xfId="0" applyFont="1" applyFill="1" applyBorder="1" applyAlignment="1">
      <alignment vertical="center"/>
    </xf>
    <xf numFmtId="0" fontId="15" fillId="0" borderId="0" xfId="0" applyFont="1" applyFill="1" applyAlignment="1">
      <alignment horizontal="center" vertical="center"/>
    </xf>
    <xf numFmtId="0" fontId="14" fillId="0" borderId="0" xfId="0" applyFont="1" applyFill="1" applyBorder="1" applyAlignment="1">
      <alignment vertical="center"/>
    </xf>
    <xf numFmtId="0" fontId="15" fillId="0" borderId="0" xfId="0" applyFont="1" applyFill="1" applyBorder="1" applyAlignment="1">
      <alignment horizontal="center" vertical="center"/>
    </xf>
    <xf numFmtId="0" fontId="15" fillId="0" borderId="0" xfId="0" applyFont="1" applyAlignment="1">
      <alignment horizontal="center" vertical="center"/>
    </xf>
    <xf numFmtId="0" fontId="29" fillId="0" borderId="0" xfId="0" applyFont="1" applyFill="1" applyBorder="1" applyAlignment="1">
      <alignment vertical="center"/>
    </xf>
    <xf numFmtId="0" fontId="15" fillId="0" borderId="0" xfId="0" applyFont="1" applyFill="1" applyBorder="1" applyAlignment="1">
      <alignment horizontal="left" vertical="center" wrapText="1"/>
    </xf>
    <xf numFmtId="2" fontId="15" fillId="0" borderId="0" xfId="0" applyNumberFormat="1" applyFont="1" applyFill="1" applyBorder="1" applyAlignment="1">
      <alignment horizontal="center" vertical="center" wrapText="1"/>
    </xf>
    <xf numFmtId="3" fontId="15" fillId="0" borderId="0" xfId="0" applyNumberFormat="1" applyFont="1" applyBorder="1" applyAlignment="1">
      <alignment horizontal="center" vertical="center"/>
    </xf>
    <xf numFmtId="0" fontId="15" fillId="0" borderId="0" xfId="0" applyFont="1" applyAlignment="1">
      <alignment horizontal="left" vertical="center"/>
    </xf>
    <xf numFmtId="0" fontId="30" fillId="0" borderId="0" xfId="0" applyFont="1" applyAlignment="1">
      <alignment horizontal="center" vertical="center"/>
    </xf>
    <xf numFmtId="0" fontId="15" fillId="0" borderId="3" xfId="0" applyFont="1" applyBorder="1" applyAlignment="1">
      <alignment horizontal="left" vertical="center"/>
    </xf>
    <xf numFmtId="2" fontId="15" fillId="5" borderId="3" xfId="0" applyNumberFormat="1" applyFont="1" applyFill="1" applyBorder="1" applyAlignment="1">
      <alignment horizontal="center" vertical="center" wrapText="1"/>
    </xf>
    <xf numFmtId="0" fontId="15" fillId="0" borderId="2" xfId="0" applyFont="1" applyBorder="1" applyAlignment="1">
      <alignment horizontal="left" vertical="center"/>
    </xf>
    <xf numFmtId="0" fontId="15" fillId="0" borderId="0" xfId="0" applyNumberFormat="1" applyFont="1" applyFill="1" applyBorder="1" applyAlignment="1">
      <alignment horizontal="center" vertical="center" wrapText="1"/>
    </xf>
    <xf numFmtId="0" fontId="22" fillId="0" borderId="0" xfId="0" applyFont="1" applyAlignment="1">
      <alignment horizontal="left" vertical="center"/>
    </xf>
    <xf numFmtId="0" fontId="15" fillId="4" borderId="2" xfId="5" applyFont="1" applyFill="1" applyBorder="1" applyAlignment="1">
      <alignment horizontal="center" vertical="center"/>
    </xf>
    <xf numFmtId="168" fontId="15" fillId="4" borderId="2" xfId="5" applyNumberFormat="1" applyFont="1" applyFill="1" applyBorder="1" applyAlignment="1">
      <alignment horizontal="center" vertical="center" wrapText="1"/>
    </xf>
    <xf numFmtId="0" fontId="15" fillId="0" borderId="0" xfId="5" applyFont="1" applyFill="1" applyBorder="1" applyAlignment="1">
      <alignment horizontal="center" vertical="center"/>
    </xf>
    <xf numFmtId="3" fontId="32" fillId="0" borderId="0" xfId="5" applyNumberFormat="1" applyFont="1" applyFill="1" applyBorder="1" applyAlignment="1">
      <alignment horizontal="center" vertical="center"/>
    </xf>
    <xf numFmtId="3" fontId="15" fillId="0" borderId="0" xfId="5" applyNumberFormat="1" applyFont="1" applyFill="1" applyBorder="1" applyAlignment="1">
      <alignment horizontal="center" vertical="center"/>
    </xf>
    <xf numFmtId="166" fontId="15" fillId="0" borderId="0" xfId="5" applyNumberFormat="1" applyFont="1" applyFill="1" applyBorder="1" applyAlignment="1">
      <alignment horizontal="center" vertical="center"/>
    </xf>
    <xf numFmtId="0" fontId="15" fillId="0" borderId="2" xfId="0" applyFont="1" applyFill="1" applyBorder="1" applyAlignment="1">
      <alignment horizontal="center" vertical="center" wrapText="1"/>
    </xf>
    <xf numFmtId="2" fontId="15" fillId="0" borderId="2" xfId="5" applyNumberFormat="1" applyFont="1" applyFill="1" applyBorder="1" applyAlignment="1">
      <alignment horizontal="center" vertical="center"/>
    </xf>
    <xf numFmtId="0" fontId="15" fillId="0" borderId="2" xfId="5" applyFont="1" applyFill="1" applyBorder="1" applyAlignment="1">
      <alignment horizontal="center" vertical="center"/>
    </xf>
    <xf numFmtId="3" fontId="15" fillId="0" borderId="2" xfId="5" applyNumberFormat="1" applyFont="1" applyFill="1" applyBorder="1" applyAlignment="1">
      <alignment horizontal="center" vertical="center"/>
    </xf>
    <xf numFmtId="166" fontId="15" fillId="0" borderId="2" xfId="0" applyNumberFormat="1" applyFont="1" applyFill="1" applyBorder="1" applyAlignment="1">
      <alignment horizontal="center" vertical="center"/>
    </xf>
    <xf numFmtId="165" fontId="15" fillId="0" borderId="2" xfId="0" applyNumberFormat="1" applyFont="1" applyFill="1" applyBorder="1" applyAlignment="1">
      <alignment horizontal="center" vertical="center"/>
    </xf>
    <xf numFmtId="0" fontId="15" fillId="0" borderId="2" xfId="5" applyNumberFormat="1" applyFont="1" applyFill="1" applyBorder="1" applyAlignment="1">
      <alignment horizontal="center" vertical="center"/>
    </xf>
    <xf numFmtId="3" fontId="15" fillId="0" borderId="0" xfId="0" applyNumberFormat="1" applyFont="1" applyFill="1" applyBorder="1" applyAlignment="1">
      <alignment horizontal="center" vertical="center"/>
    </xf>
    <xf numFmtId="0" fontId="15" fillId="0" borderId="0" xfId="5" applyNumberFormat="1" applyFont="1" applyFill="1" applyBorder="1" applyAlignment="1">
      <alignment horizontal="center" vertical="center"/>
    </xf>
    <xf numFmtId="0" fontId="15" fillId="0" borderId="2" xfId="0" applyFont="1" applyBorder="1" applyAlignment="1">
      <alignment horizontal="center"/>
    </xf>
    <xf numFmtId="0" fontId="33" fillId="0" borderId="0" xfId="5" applyFont="1" applyFill="1" applyBorder="1" applyAlignment="1">
      <alignment horizontal="center" vertical="center"/>
    </xf>
    <xf numFmtId="3" fontId="33" fillId="0" borderId="0" xfId="5" applyNumberFormat="1" applyFont="1" applyFill="1" applyBorder="1" applyAlignment="1">
      <alignment horizontal="center" vertical="center"/>
    </xf>
    <xf numFmtId="0" fontId="33" fillId="0" borderId="0" xfId="5" applyNumberFormat="1" applyFont="1" applyFill="1" applyBorder="1" applyAlignment="1">
      <alignment horizontal="center" vertical="center"/>
    </xf>
    <xf numFmtId="166" fontId="33" fillId="0" borderId="0" xfId="5" applyNumberFormat="1" applyFont="1" applyFill="1" applyBorder="1" applyAlignment="1">
      <alignment horizontal="center" vertical="center"/>
    </xf>
    <xf numFmtId="0" fontId="22" fillId="0" borderId="0" xfId="0" applyFont="1" applyAlignment="1">
      <alignment horizontal="left"/>
    </xf>
    <xf numFmtId="0" fontId="15" fillId="0" borderId="0" xfId="0" applyFont="1" applyAlignment="1">
      <alignment horizontal="center"/>
    </xf>
    <xf numFmtId="0" fontId="15" fillId="4" borderId="2" xfId="0" applyFont="1" applyFill="1" applyBorder="1" applyAlignment="1">
      <alignment horizontal="center" vertical="center" wrapText="1"/>
    </xf>
    <xf numFmtId="168" fontId="15" fillId="4" borderId="7" xfId="5" applyNumberFormat="1" applyFont="1" applyFill="1" applyBorder="1" applyAlignment="1">
      <alignment horizontal="center" vertical="center" wrapText="1"/>
    </xf>
    <xf numFmtId="0" fontId="15" fillId="4" borderId="7" xfId="5" applyFont="1" applyFill="1" applyBorder="1" applyAlignment="1">
      <alignment horizontal="center" vertical="center" wrapText="1"/>
    </xf>
    <xf numFmtId="3" fontId="15" fillId="4" borderId="7" xfId="5" applyNumberFormat="1" applyFont="1" applyFill="1" applyBorder="1" applyAlignment="1">
      <alignment horizontal="center" vertical="center" wrapText="1"/>
    </xf>
    <xf numFmtId="0" fontId="15" fillId="0" borderId="2" xfId="0" applyFont="1" applyBorder="1" applyAlignment="1">
      <alignment horizontal="center" vertical="center"/>
    </xf>
    <xf numFmtId="11" fontId="15" fillId="0" borderId="2" xfId="0" applyNumberFormat="1" applyFont="1" applyBorder="1" applyAlignment="1">
      <alignment horizontal="center" vertical="center"/>
    </xf>
    <xf numFmtId="0" fontId="15" fillId="0" borderId="2" xfId="0" applyNumberFormat="1" applyFont="1" applyBorder="1" applyAlignment="1">
      <alignment horizontal="center" vertical="center"/>
    </xf>
    <xf numFmtId="0" fontId="15" fillId="0" borderId="0" xfId="0" applyFont="1" applyFill="1" applyBorder="1" applyAlignment="1">
      <alignment horizontal="center" vertical="center" wrapText="1"/>
    </xf>
    <xf numFmtId="165" fontId="15" fillId="0" borderId="0" xfId="5" applyNumberFormat="1" applyFont="1" applyFill="1" applyBorder="1" applyAlignment="1">
      <alignment horizontal="center" vertical="center"/>
    </xf>
    <xf numFmtId="0" fontId="15" fillId="0" borderId="0" xfId="1" applyNumberFormat="1" applyFont="1" applyFill="1" applyBorder="1" applyAlignment="1">
      <alignment horizontal="center" vertical="center"/>
    </xf>
    <xf numFmtId="11" fontId="15" fillId="0" borderId="0" xfId="5" applyNumberFormat="1" applyFont="1" applyFill="1" applyBorder="1" applyAlignment="1">
      <alignment horizontal="center" vertical="center"/>
    </xf>
    <xf numFmtId="2" fontId="15" fillId="0" borderId="0" xfId="5" applyNumberFormat="1" applyFont="1" applyFill="1" applyBorder="1" applyAlignment="1">
      <alignment horizontal="center" vertical="center"/>
    </xf>
    <xf numFmtId="0" fontId="15" fillId="0" borderId="0" xfId="0" applyFont="1" applyFill="1" applyBorder="1" applyAlignment="1">
      <alignment vertical="center"/>
    </xf>
    <xf numFmtId="167" fontId="15" fillId="0" borderId="0" xfId="5" applyNumberFormat="1" applyFont="1" applyFill="1" applyBorder="1" applyAlignment="1">
      <alignment horizontal="center" vertical="center"/>
    </xf>
    <xf numFmtId="0" fontId="15" fillId="2" borderId="2" xfId="5" applyFont="1" applyFill="1" applyBorder="1" applyAlignment="1">
      <alignment horizontal="center" vertical="center" wrapText="1"/>
    </xf>
    <xf numFmtId="0" fontId="15" fillId="2" borderId="2" xfId="5" applyFont="1" applyFill="1" applyBorder="1" applyAlignment="1">
      <alignment horizontal="center" vertical="center"/>
    </xf>
    <xf numFmtId="166" fontId="15" fillId="2" borderId="2" xfId="5" applyNumberFormat="1" applyFont="1" applyFill="1" applyBorder="1" applyAlignment="1">
      <alignment horizontal="center" vertical="center" wrapText="1"/>
    </xf>
    <xf numFmtId="3" fontId="15" fillId="2" borderId="2" xfId="5" applyNumberFormat="1" applyFont="1" applyFill="1" applyBorder="1" applyAlignment="1">
      <alignment horizontal="center" vertical="center" wrapText="1"/>
    </xf>
    <xf numFmtId="0" fontId="15" fillId="2" borderId="2" xfId="5" applyNumberFormat="1" applyFont="1" applyFill="1" applyBorder="1" applyAlignment="1">
      <alignment horizontal="center" vertical="center" wrapText="1"/>
    </xf>
    <xf numFmtId="168" fontId="15" fillId="2" borderId="2" xfId="5" applyNumberFormat="1" applyFont="1" applyFill="1" applyBorder="1" applyAlignment="1">
      <alignment horizontal="center" vertical="center" wrapText="1"/>
    </xf>
    <xf numFmtId="0" fontId="15" fillId="0" borderId="2" xfId="5" applyFont="1" applyFill="1" applyBorder="1" applyAlignment="1">
      <alignment horizontal="left" vertical="center" wrapText="1"/>
    </xf>
    <xf numFmtId="11" fontId="15" fillId="0" borderId="2" xfId="5" applyNumberFormat="1" applyFont="1" applyFill="1" applyBorder="1" applyAlignment="1">
      <alignment horizontal="center" vertical="center"/>
    </xf>
    <xf numFmtId="167" fontId="15" fillId="0" borderId="2" xfId="5" applyNumberFormat="1" applyFont="1" applyFill="1" applyBorder="1" applyAlignment="1">
      <alignment horizontal="center" vertical="center"/>
    </xf>
    <xf numFmtId="9" fontId="15" fillId="0" borderId="2" xfId="5" applyNumberFormat="1" applyFont="1" applyFill="1" applyBorder="1" applyAlignment="1">
      <alignment horizontal="center" vertical="center"/>
    </xf>
    <xf numFmtId="0" fontId="15" fillId="0" borderId="7" xfId="5" applyNumberFormat="1" applyFont="1" applyFill="1" applyBorder="1" applyAlignment="1">
      <alignment horizontal="center" vertical="center"/>
    </xf>
    <xf numFmtId="0" fontId="34" fillId="0" borderId="0" xfId="5" applyFont="1" applyFill="1" applyBorder="1" applyAlignment="1">
      <alignment horizontal="center" vertical="center"/>
    </xf>
    <xf numFmtId="0" fontId="34" fillId="0" borderId="0" xfId="5" applyFont="1" applyFill="1" applyBorder="1" applyAlignment="1">
      <alignment horizontal="left" vertical="center" wrapText="1"/>
    </xf>
    <xf numFmtId="168" fontId="12" fillId="0" borderId="0" xfId="5" applyNumberFormat="1" applyFont="1" applyBorder="1" applyAlignment="1">
      <alignment horizontal="center" vertical="center"/>
    </xf>
    <xf numFmtId="2" fontId="12" fillId="0" borderId="0" xfId="5" applyNumberFormat="1" applyFont="1" applyBorder="1" applyAlignment="1">
      <alignment horizontal="center" vertical="center"/>
    </xf>
    <xf numFmtId="3" fontId="12" fillId="0" borderId="0" xfId="5" applyNumberFormat="1" applyFont="1" applyBorder="1" applyAlignment="1">
      <alignment horizontal="center" vertical="center"/>
    </xf>
    <xf numFmtId="0" fontId="12" fillId="0" borderId="0" xfId="5" applyFont="1" applyBorder="1" applyAlignment="1">
      <alignment horizontal="center" vertical="center"/>
    </xf>
    <xf numFmtId="0" fontId="12" fillId="0" borderId="0" xfId="5" applyFont="1" applyFill="1" applyBorder="1" applyAlignment="1">
      <alignment horizontal="center" vertical="center"/>
    </xf>
    <xf numFmtId="0" fontId="12" fillId="0" borderId="0" xfId="5" applyNumberFormat="1" applyFont="1" applyBorder="1" applyAlignment="1">
      <alignment horizontal="center" vertical="center"/>
    </xf>
    <xf numFmtId="3" fontId="12" fillId="0" borderId="0" xfId="5" applyNumberFormat="1" applyFont="1" applyFill="1" applyBorder="1" applyAlignment="1">
      <alignment horizontal="center" vertical="center"/>
    </xf>
    <xf numFmtId="166" fontId="12" fillId="0" borderId="0" xfId="5" applyNumberFormat="1" applyFont="1" applyFill="1" applyBorder="1" applyAlignment="1">
      <alignment horizontal="center" vertical="center"/>
    </xf>
    <xf numFmtId="0" fontId="11" fillId="0" borderId="0" xfId="0" applyFont="1" applyFill="1" applyBorder="1" applyAlignment="1">
      <alignment horizontal="left" vertical="center" wrapText="1"/>
    </xf>
    <xf numFmtId="17" fontId="11" fillId="0" borderId="0" xfId="0" applyNumberFormat="1" applyFont="1" applyFill="1" applyBorder="1" applyAlignment="1">
      <alignment horizontal="center" vertical="center" wrapText="1"/>
    </xf>
    <xf numFmtId="0" fontId="14" fillId="0" borderId="0" xfId="0" applyFont="1" applyFill="1" applyBorder="1" applyAlignment="1">
      <alignment horizontal="left" vertical="center" wrapText="1"/>
    </xf>
    <xf numFmtId="17" fontId="14" fillId="0" borderId="0" xfId="0" applyNumberFormat="1" applyFont="1" applyFill="1" applyBorder="1" applyAlignment="1">
      <alignment horizontal="center" vertical="center" wrapText="1"/>
    </xf>
    <xf numFmtId="0" fontId="15" fillId="0" borderId="0" xfId="5" applyNumberFormat="1" applyFont="1" applyBorder="1" applyAlignment="1">
      <alignment horizontal="center" vertical="center"/>
    </xf>
    <xf numFmtId="0" fontId="15" fillId="0" borderId="0" xfId="5" applyFont="1" applyBorder="1" applyAlignment="1">
      <alignment horizontal="center" vertical="center"/>
    </xf>
    <xf numFmtId="2" fontId="15" fillId="0" borderId="0" xfId="5" applyNumberFormat="1" applyFont="1" applyBorder="1" applyAlignment="1">
      <alignment horizontal="center" vertical="center"/>
    </xf>
    <xf numFmtId="3" fontId="15" fillId="0" borderId="0" xfId="5" applyNumberFormat="1" applyFont="1" applyBorder="1" applyAlignment="1">
      <alignment horizontal="center" vertical="center"/>
    </xf>
    <xf numFmtId="0" fontId="15" fillId="0" borderId="0" xfId="5" applyFont="1" applyFill="1" applyBorder="1" applyAlignment="1">
      <alignment horizontal="center" vertical="center" wrapText="1"/>
    </xf>
    <xf numFmtId="166" fontId="15" fillId="0" borderId="0" xfId="5" applyNumberFormat="1" applyFont="1" applyFill="1" applyBorder="1" applyAlignment="1">
      <alignment horizontal="center" vertical="center" wrapText="1"/>
    </xf>
    <xf numFmtId="0" fontId="14" fillId="0" borderId="2" xfId="5" applyFont="1" applyFill="1" applyBorder="1" applyAlignment="1">
      <alignment horizontal="left" vertical="center" wrapText="1"/>
    </xf>
    <xf numFmtId="0" fontId="15" fillId="0" borderId="2" xfId="5" applyFont="1" applyFill="1" applyBorder="1" applyAlignment="1">
      <alignment horizontal="center" vertical="center" wrapText="1"/>
    </xf>
    <xf numFmtId="168" fontId="15" fillId="0" borderId="2" xfId="5" applyNumberFormat="1" applyFont="1" applyFill="1" applyBorder="1" applyAlignment="1">
      <alignment horizontal="center" vertical="center" wrapText="1"/>
    </xf>
    <xf numFmtId="0" fontId="15" fillId="0" borderId="2" xfId="5" applyNumberFormat="1" applyFont="1" applyFill="1" applyBorder="1" applyAlignment="1">
      <alignment horizontal="center" vertical="center" wrapText="1"/>
    </xf>
    <xf numFmtId="3" fontId="15" fillId="0" borderId="2" xfId="5" applyNumberFormat="1" applyFont="1" applyFill="1" applyBorder="1" applyAlignment="1">
      <alignment horizontal="center" vertical="center" wrapText="1"/>
    </xf>
    <xf numFmtId="0" fontId="15" fillId="0" borderId="2" xfId="5" applyFont="1" applyFill="1" applyBorder="1" applyAlignment="1">
      <alignment vertical="center" wrapText="1"/>
    </xf>
    <xf numFmtId="0" fontId="15" fillId="0" borderId="2" xfId="5" applyFont="1" applyFill="1" applyBorder="1" applyAlignment="1">
      <alignment vertical="center"/>
    </xf>
    <xf numFmtId="165" fontId="15" fillId="0" borderId="2" xfId="5" applyNumberFormat="1" applyFont="1" applyFill="1" applyBorder="1" applyAlignment="1">
      <alignment horizontal="center" vertical="center"/>
    </xf>
    <xf numFmtId="1" fontId="15" fillId="0" borderId="2" xfId="5" applyNumberFormat="1" applyFont="1" applyBorder="1" applyAlignment="1">
      <alignment horizontal="center" vertical="center"/>
    </xf>
    <xf numFmtId="169" fontId="15" fillId="0" borderId="2" xfId="5" applyNumberFormat="1" applyFont="1" applyBorder="1" applyAlignment="1">
      <alignment horizontal="center" vertical="center"/>
    </xf>
    <xf numFmtId="2" fontId="15" fillId="0" borderId="2" xfId="5" applyNumberFormat="1" applyFont="1" applyBorder="1" applyAlignment="1">
      <alignment horizontal="center" vertical="center"/>
    </xf>
    <xf numFmtId="0" fontId="15" fillId="0" borderId="2" xfId="5" applyNumberFormat="1" applyFont="1" applyBorder="1" applyAlignment="1">
      <alignment horizontal="center" vertical="center"/>
    </xf>
    <xf numFmtId="0" fontId="15" fillId="0" borderId="0" xfId="5" applyFont="1" applyFill="1" applyBorder="1" applyAlignment="1">
      <alignment horizontal="left" vertical="center"/>
    </xf>
    <xf numFmtId="172" fontId="14" fillId="0" borderId="0" xfId="5" applyNumberFormat="1" applyFont="1" applyFill="1" applyBorder="1" applyAlignment="1">
      <alignment horizontal="center" vertical="center"/>
    </xf>
    <xf numFmtId="0" fontId="14" fillId="0" borderId="2" xfId="5" applyFont="1" applyFill="1" applyBorder="1" applyAlignment="1">
      <alignment horizontal="left" vertical="center"/>
    </xf>
    <xf numFmtId="0" fontId="12" fillId="0" borderId="0" xfId="5" applyFont="1" applyBorder="1" applyAlignment="1">
      <alignment horizontal="left" vertical="center" wrapText="1"/>
    </xf>
    <xf numFmtId="0" fontId="28" fillId="0" borderId="0" xfId="5" applyNumberFormat="1" applyFont="1" applyFill="1" applyBorder="1" applyAlignment="1">
      <alignment horizontal="left" vertical="center"/>
    </xf>
    <xf numFmtId="0" fontId="24" fillId="0" borderId="0" xfId="5" applyFont="1" applyFill="1" applyBorder="1" applyAlignment="1">
      <alignment horizontal="center" vertical="center"/>
    </xf>
    <xf numFmtId="168" fontId="34" fillId="0" borderId="0" xfId="5" applyNumberFormat="1" applyFont="1" applyFill="1" applyBorder="1" applyAlignment="1">
      <alignment horizontal="center" vertical="center"/>
    </xf>
    <xf numFmtId="168" fontId="9" fillId="0" borderId="0" xfId="5" applyNumberFormat="1" applyFont="1" applyBorder="1" applyAlignment="1">
      <alignment horizontal="center" vertical="center"/>
    </xf>
    <xf numFmtId="168" fontId="9" fillId="0" borderId="0" xfId="5" applyNumberFormat="1" applyFont="1" applyFill="1" applyBorder="1" applyAlignment="1">
      <alignment horizontal="center" vertical="center"/>
    </xf>
    <xf numFmtId="2" fontId="9" fillId="0" borderId="0" xfId="5" applyNumberFormat="1" applyFont="1" applyBorder="1" applyAlignment="1">
      <alignment horizontal="center" vertical="center"/>
    </xf>
    <xf numFmtId="3" fontId="9" fillId="0" borderId="0" xfId="5" applyNumberFormat="1" applyFont="1" applyBorder="1" applyAlignment="1">
      <alignment horizontal="center" vertical="center"/>
    </xf>
    <xf numFmtId="0" fontId="9" fillId="0" borderId="0" xfId="5" applyFont="1" applyBorder="1" applyAlignment="1">
      <alignment horizontal="center" vertical="center"/>
    </xf>
    <xf numFmtId="0" fontId="9" fillId="0" borderId="0" xfId="5" applyFont="1" applyFill="1" applyBorder="1" applyAlignment="1">
      <alignment horizontal="center" vertical="center"/>
    </xf>
    <xf numFmtId="0" fontId="9" fillId="0" borderId="0" xfId="5" applyNumberFormat="1" applyFont="1" applyBorder="1" applyAlignment="1">
      <alignment horizontal="center" vertical="center"/>
    </xf>
    <xf numFmtId="3" fontId="9" fillId="0" borderId="0" xfId="5" applyNumberFormat="1" applyFont="1" applyFill="1" applyBorder="1" applyAlignment="1">
      <alignment horizontal="center" vertical="center"/>
    </xf>
    <xf numFmtId="166" fontId="9" fillId="0" borderId="0" xfId="5" applyNumberFormat="1" applyFont="1" applyFill="1" applyBorder="1" applyAlignment="1">
      <alignment horizontal="center" vertical="center"/>
    </xf>
    <xf numFmtId="0" fontId="24" fillId="0" borderId="0" xfId="5" applyNumberFormat="1" applyFont="1" applyFill="1" applyBorder="1" applyAlignment="1">
      <alignment horizontal="left" vertical="center"/>
    </xf>
    <xf numFmtId="0" fontId="9" fillId="0" borderId="0" xfId="0" applyFont="1" applyFill="1"/>
    <xf numFmtId="168" fontId="13" fillId="0" borderId="0" xfId="5" applyNumberFormat="1" applyFont="1" applyFill="1" applyBorder="1" applyAlignment="1">
      <alignment horizontal="left" vertical="center"/>
    </xf>
    <xf numFmtId="0" fontId="9" fillId="0" borderId="0" xfId="5" applyNumberFormat="1" applyFont="1" applyFill="1" applyBorder="1" applyAlignment="1">
      <alignment horizontal="center" vertical="center"/>
    </xf>
    <xf numFmtId="0" fontId="13" fillId="0" borderId="0" xfId="5" applyNumberFormat="1" applyFont="1" applyFill="1" applyBorder="1" applyAlignment="1">
      <alignment horizontal="left" vertical="center"/>
    </xf>
    <xf numFmtId="0" fontId="9" fillId="0" borderId="0" xfId="5" applyFont="1" applyFill="1" applyBorder="1" applyAlignment="1">
      <alignment horizontal="left" vertical="center" wrapText="1"/>
    </xf>
    <xf numFmtId="0" fontId="13" fillId="0" borderId="0" xfId="5" applyFont="1" applyFill="1" applyBorder="1" applyAlignment="1">
      <alignment horizontal="center" vertical="center"/>
    </xf>
    <xf numFmtId="0" fontId="9" fillId="0" borderId="3" xfId="0" applyFont="1" applyBorder="1" applyAlignment="1">
      <alignment horizontal="left" vertical="center"/>
    </xf>
    <xf numFmtId="2" fontId="9" fillId="5" borderId="3" xfId="0" applyNumberFormat="1" applyFont="1" applyFill="1" applyBorder="1" applyAlignment="1">
      <alignment horizontal="center" vertical="center" wrapText="1"/>
    </xf>
    <xf numFmtId="0" fontId="9" fillId="0" borderId="2" xfId="0" applyFont="1" applyBorder="1" applyAlignment="1">
      <alignment horizontal="left" vertical="center"/>
    </xf>
    <xf numFmtId="2" fontId="9" fillId="5" borderId="2" xfId="0" applyNumberFormat="1" applyFont="1" applyFill="1" applyBorder="1" applyAlignment="1">
      <alignment horizontal="center" vertical="center" wrapText="1"/>
    </xf>
    <xf numFmtId="0" fontId="9" fillId="5" borderId="2" xfId="0" applyFont="1" applyFill="1" applyBorder="1" applyAlignment="1">
      <alignment horizontal="center" vertical="center" wrapText="1"/>
    </xf>
    <xf numFmtId="17" fontId="13" fillId="0" borderId="0" xfId="0" applyNumberFormat="1" applyFont="1" applyFill="1" applyBorder="1" applyAlignment="1">
      <alignment horizontal="center" vertical="center" wrapText="1"/>
    </xf>
    <xf numFmtId="0" fontId="9" fillId="0" borderId="0" xfId="5" applyFont="1" applyFill="1" applyBorder="1" applyAlignment="1">
      <alignment horizontal="right" vertical="center"/>
    </xf>
    <xf numFmtId="1" fontId="9" fillId="0" borderId="0" xfId="5" applyNumberFormat="1" applyFont="1" applyFill="1" applyBorder="1" applyAlignment="1">
      <alignment horizontal="center" vertical="center"/>
    </xf>
    <xf numFmtId="0" fontId="9" fillId="0" borderId="0" xfId="5" applyFont="1" applyFill="1" applyBorder="1" applyAlignment="1">
      <alignment horizontal="center" vertical="center" wrapText="1"/>
    </xf>
    <xf numFmtId="166" fontId="9" fillId="0" borderId="0" xfId="5" applyNumberFormat="1" applyFont="1" applyFill="1" applyBorder="1" applyAlignment="1">
      <alignment horizontal="center" vertical="center" wrapText="1"/>
    </xf>
    <xf numFmtId="0" fontId="13" fillId="0" borderId="2" xfId="5" applyFont="1" applyFill="1" applyBorder="1" applyAlignment="1">
      <alignment horizontal="left" vertical="center" wrapText="1"/>
    </xf>
    <xf numFmtId="0" fontId="9" fillId="0" borderId="3" xfId="5" applyFont="1" applyFill="1" applyBorder="1" applyAlignment="1">
      <alignment horizontal="center" vertical="center" wrapText="1"/>
    </xf>
    <xf numFmtId="168" fontId="9" fillId="0" borderId="2" xfId="5" applyNumberFormat="1" applyFont="1" applyFill="1" applyBorder="1" applyAlignment="1">
      <alignment horizontal="center" vertical="center" wrapText="1"/>
    </xf>
    <xf numFmtId="166" fontId="9" fillId="0" borderId="2" xfId="5" applyNumberFormat="1" applyFont="1" applyFill="1" applyBorder="1" applyAlignment="1">
      <alignment horizontal="center" vertical="center" wrapText="1"/>
    </xf>
    <xf numFmtId="0" fontId="9" fillId="0" borderId="2" xfId="5" applyNumberFormat="1" applyFont="1" applyFill="1" applyBorder="1" applyAlignment="1">
      <alignment horizontal="center" vertical="center" wrapText="1"/>
    </xf>
    <xf numFmtId="0" fontId="9" fillId="0" borderId="3" xfId="5" applyNumberFormat="1" applyFont="1" applyFill="1" applyBorder="1" applyAlignment="1">
      <alignment horizontal="center" vertical="center" wrapText="1"/>
    </xf>
    <xf numFmtId="3" fontId="9" fillId="0" borderId="3" xfId="5" applyNumberFormat="1" applyFont="1" applyFill="1" applyBorder="1" applyAlignment="1">
      <alignment horizontal="center" vertical="center" wrapText="1"/>
    </xf>
    <xf numFmtId="0" fontId="9" fillId="0" borderId="2" xfId="5" applyFont="1" applyFill="1" applyBorder="1" applyAlignment="1">
      <alignment vertical="center" wrapText="1"/>
    </xf>
    <xf numFmtId="0" fontId="9" fillId="0" borderId="2" xfId="5" applyFont="1" applyFill="1" applyBorder="1" applyAlignment="1">
      <alignment horizontal="center" vertical="center"/>
    </xf>
    <xf numFmtId="169" fontId="9" fillId="0" borderId="2" xfId="5" applyNumberFormat="1" applyFont="1" applyFill="1" applyBorder="1" applyAlignment="1">
      <alignment horizontal="center" vertical="center"/>
    </xf>
    <xf numFmtId="167" fontId="9" fillId="0" borderId="2" xfId="5" applyNumberFormat="1" applyFont="1" applyFill="1" applyBorder="1" applyAlignment="1">
      <alignment horizontal="center" vertical="center"/>
    </xf>
    <xf numFmtId="0" fontId="9" fillId="0" borderId="2" xfId="5" applyNumberFormat="1" applyFont="1" applyFill="1" applyBorder="1" applyAlignment="1">
      <alignment horizontal="center" vertical="center"/>
    </xf>
    <xf numFmtId="0" fontId="9" fillId="0" borderId="2" xfId="5" applyNumberFormat="1" applyFont="1" applyBorder="1" applyAlignment="1">
      <alignment horizontal="center" vertical="center"/>
    </xf>
    <xf numFmtId="0" fontId="13" fillId="0" borderId="2" xfId="5" applyFont="1" applyFill="1" applyBorder="1" applyAlignment="1">
      <alignment horizontal="left" vertical="center"/>
    </xf>
    <xf numFmtId="0" fontId="11" fillId="0" borderId="0" xfId="0" applyFont="1"/>
    <xf numFmtId="0" fontId="12" fillId="0" borderId="2" xfId="0" applyFont="1" applyFill="1" applyBorder="1" applyAlignment="1">
      <alignment horizontal="center" vertical="center"/>
    </xf>
    <xf numFmtId="2" fontId="12" fillId="0" borderId="0" xfId="0" applyNumberFormat="1" applyFont="1" applyFill="1" applyBorder="1" applyAlignment="1">
      <alignment horizontal="center" vertical="center" wrapText="1"/>
    </xf>
    <xf numFmtId="0" fontId="8" fillId="0" borderId="0" xfId="0" applyFont="1" applyBorder="1" applyAlignment="1">
      <alignment horizontal="left" vertical="center"/>
    </xf>
    <xf numFmtId="0" fontId="9" fillId="0" borderId="2" xfId="0" applyFont="1" applyFill="1" applyBorder="1" applyAlignment="1">
      <alignment horizontal="left" vertical="center" wrapText="1"/>
    </xf>
    <xf numFmtId="0" fontId="12" fillId="0" borderId="0" xfId="0" applyFont="1"/>
    <xf numFmtId="0" fontId="12" fillId="0" borderId="0" xfId="0" applyFont="1" applyFill="1"/>
    <xf numFmtId="0" fontId="15" fillId="0" borderId="0" xfId="0" applyFont="1" applyFill="1" applyAlignment="1">
      <alignment vertical="center"/>
    </xf>
    <xf numFmtId="0" fontId="12" fillId="0" borderId="0" xfId="0" applyFont="1" applyFill="1" applyAlignment="1">
      <alignment horizontal="left"/>
    </xf>
    <xf numFmtId="0" fontId="11" fillId="5" borderId="9" xfId="0" applyFont="1" applyFill="1" applyBorder="1" applyAlignment="1">
      <alignment horizontal="left" vertical="center" wrapText="1"/>
    </xf>
    <xf numFmtId="0" fontId="12" fillId="0" borderId="0" xfId="0" applyFont="1" applyBorder="1" applyProtection="1">
      <protection locked="0"/>
    </xf>
    <xf numFmtId="0" fontId="12" fillId="0" borderId="0" xfId="0" applyFont="1" applyFill="1"/>
    <xf numFmtId="0" fontId="12" fillId="5" borderId="9" xfId="0" applyFont="1" applyFill="1" applyBorder="1" applyAlignment="1">
      <alignment horizontal="left" vertical="center"/>
    </xf>
    <xf numFmtId="0" fontId="13" fillId="0" borderId="0" xfId="0" applyFont="1" applyFill="1" applyBorder="1"/>
    <xf numFmtId="0" fontId="11" fillId="0" borderId="0" xfId="0" applyFont="1" applyFill="1"/>
    <xf numFmtId="0" fontId="12" fillId="0" borderId="0" xfId="0" applyFont="1" applyBorder="1"/>
    <xf numFmtId="0" fontId="13" fillId="0" borderId="0" xfId="0" applyFont="1" applyFill="1" applyBorder="1" applyProtection="1">
      <protection locked="0"/>
    </xf>
    <xf numFmtId="0" fontId="12" fillId="0" borderId="0" xfId="0" applyFont="1" applyFill="1"/>
    <xf numFmtId="0" fontId="12" fillId="0" borderId="0" xfId="0" applyFont="1"/>
    <xf numFmtId="0" fontId="12" fillId="0" borderId="0" xfId="0" applyFont="1" applyFill="1" applyBorder="1" applyAlignment="1">
      <alignment horizontal="left"/>
    </xf>
    <xf numFmtId="0" fontId="12" fillId="0" borderId="0" xfId="0" applyFont="1" applyFill="1" applyBorder="1"/>
    <xf numFmtId="0" fontId="12" fillId="0" borderId="2" xfId="0" applyFont="1" applyFill="1" applyBorder="1" applyAlignment="1">
      <alignment horizontal="center" vertical="center" wrapText="1"/>
    </xf>
    <xf numFmtId="0" fontId="12" fillId="5" borderId="11" xfId="0" applyNumberFormat="1" applyFont="1" applyFill="1" applyBorder="1" applyAlignment="1">
      <alignment horizontal="center" vertical="center" wrapText="1"/>
    </xf>
    <xf numFmtId="0" fontId="12" fillId="5" borderId="13" xfId="0" applyNumberFormat="1" applyFont="1" applyFill="1" applyBorder="1" applyAlignment="1">
      <alignment horizontal="center" vertical="center" wrapText="1"/>
    </xf>
    <xf numFmtId="0" fontId="12" fillId="0" borderId="0" xfId="0" applyNumberFormat="1" applyFont="1" applyFill="1" applyBorder="1" applyAlignment="1">
      <alignment horizontal="center" vertical="center" wrapText="1"/>
    </xf>
    <xf numFmtId="0" fontId="12" fillId="0" borderId="13" xfId="0" applyFont="1" applyBorder="1" applyAlignment="1">
      <alignment horizontal="center"/>
    </xf>
    <xf numFmtId="0" fontId="11" fillId="0" borderId="0" xfId="0" applyFont="1" applyFill="1" applyBorder="1"/>
    <xf numFmtId="0" fontId="11" fillId="0" borderId="0" xfId="10" applyFont="1" applyBorder="1" applyAlignment="1">
      <alignment horizontal="center" vertical="center"/>
    </xf>
    <xf numFmtId="0" fontId="12" fillId="0" borderId="0" xfId="4" applyFont="1" applyFill="1" applyBorder="1" applyAlignment="1">
      <alignment horizontal="left" vertical="center" wrapText="1"/>
    </xf>
    <xf numFmtId="0" fontId="11" fillId="0" borderId="0" xfId="10" applyFont="1" applyFill="1" applyBorder="1" applyAlignment="1">
      <alignment horizontal="left"/>
    </xf>
    <xf numFmtId="0" fontId="12" fillId="0" borderId="2" xfId="10" applyFont="1" applyFill="1" applyBorder="1" applyAlignment="1">
      <alignment horizontal="left" vertical="center" wrapText="1"/>
    </xf>
    <xf numFmtId="0" fontId="12" fillId="0" borderId="2" xfId="4" applyFont="1" applyFill="1" applyBorder="1" applyAlignment="1">
      <alignment horizontal="left" vertical="center" wrapText="1"/>
    </xf>
    <xf numFmtId="0" fontId="12" fillId="5" borderId="11" xfId="10" applyNumberFormat="1" applyFont="1" applyFill="1" applyBorder="1" applyAlignment="1">
      <alignment horizontal="center" vertical="center" wrapText="1"/>
    </xf>
    <xf numFmtId="0" fontId="12" fillId="0" borderId="12" xfId="4" applyFont="1" applyFill="1" applyBorder="1" applyAlignment="1">
      <alignment horizontal="left" vertical="center" wrapText="1"/>
    </xf>
    <xf numFmtId="0" fontId="12" fillId="0" borderId="13" xfId="10" applyFont="1" applyBorder="1" applyAlignment="1">
      <alignment horizontal="center"/>
    </xf>
    <xf numFmtId="0" fontId="12" fillId="0" borderId="0" xfId="10" applyFont="1" applyFill="1" applyBorder="1" applyAlignment="1">
      <alignment horizontal="center"/>
    </xf>
    <xf numFmtId="0" fontId="12" fillId="5" borderId="11" xfId="0" applyNumberFormat="1" applyFont="1" applyFill="1" applyBorder="1" applyAlignment="1">
      <alignment horizontal="center" vertical="center"/>
    </xf>
    <xf numFmtId="0" fontId="12" fillId="0" borderId="11" xfId="0" applyNumberFormat="1" applyFont="1" applyFill="1" applyBorder="1" applyAlignment="1">
      <alignment horizontal="center" vertical="center" wrapText="1"/>
    </xf>
    <xf numFmtId="0" fontId="18" fillId="0" borderId="0" xfId="0" applyFont="1" applyFill="1" applyBorder="1" applyAlignment="1">
      <alignment vertical="center"/>
    </xf>
    <xf numFmtId="0" fontId="12" fillId="0" borderId="2" xfId="9" applyFont="1" applyBorder="1"/>
    <xf numFmtId="0" fontId="12" fillId="8" borderId="2" xfId="9" applyFont="1" applyFill="1" applyBorder="1"/>
    <xf numFmtId="0" fontId="14" fillId="0" borderId="0" xfId="0" applyFont="1" applyFill="1" applyAlignment="1">
      <alignment horizontal="left" vertical="center"/>
    </xf>
    <xf numFmtId="0" fontId="8" fillId="0" borderId="0" xfId="0" applyFont="1" applyFill="1" applyBorder="1"/>
    <xf numFmtId="2" fontId="9" fillId="0" borderId="0" xfId="5" applyNumberFormat="1" applyFont="1" applyFill="1" applyBorder="1" applyAlignment="1">
      <alignment horizontal="center" vertical="center"/>
    </xf>
    <xf numFmtId="166" fontId="12" fillId="0" borderId="0" xfId="0" applyNumberFormat="1" applyFont="1" applyFill="1" applyBorder="1" applyAlignment="1">
      <alignment horizontal="center" vertical="center" wrapText="1"/>
    </xf>
    <xf numFmtId="0" fontId="8" fillId="0" borderId="0" xfId="0" applyFont="1" applyFill="1"/>
    <xf numFmtId="0" fontId="12" fillId="0" borderId="0" xfId="0" applyFont="1" applyFill="1" applyAlignment="1">
      <alignment horizontal="right" vertical="center"/>
    </xf>
    <xf numFmtId="0" fontId="12" fillId="0" borderId="0" xfId="0" applyFont="1" applyFill="1" applyAlignment="1">
      <alignment horizontal="center" vertical="center"/>
    </xf>
    <xf numFmtId="2" fontId="12" fillId="0" borderId="0" xfId="0" applyNumberFormat="1" applyFont="1" applyFill="1" applyAlignment="1">
      <alignment horizontal="center" vertical="center"/>
    </xf>
    <xf numFmtId="3" fontId="12" fillId="0" borderId="0" xfId="0" applyNumberFormat="1" applyFont="1" applyFill="1"/>
    <xf numFmtId="0" fontId="12" fillId="0" borderId="0" xfId="0" applyFont="1" applyFill="1" applyBorder="1" applyAlignment="1">
      <alignment vertical="center" wrapText="1"/>
    </xf>
    <xf numFmtId="0" fontId="12" fillId="8" borderId="2" xfId="0" applyFont="1" applyFill="1" applyBorder="1" applyAlignment="1">
      <alignment horizontal="center" vertical="center" wrapText="1"/>
    </xf>
    <xf numFmtId="0" fontId="12" fillId="8" borderId="2" xfId="0" applyFont="1" applyFill="1" applyBorder="1" applyAlignment="1">
      <alignment horizontal="center" vertical="center"/>
    </xf>
    <xf numFmtId="0" fontId="12" fillId="8" borderId="2" xfId="4" applyFont="1" applyFill="1" applyBorder="1" applyAlignment="1">
      <alignment horizontal="center" vertical="center" wrapText="1"/>
    </xf>
    <xf numFmtId="3" fontId="12" fillId="8" borderId="2" xfId="0" applyNumberFormat="1" applyFont="1" applyFill="1" applyBorder="1" applyAlignment="1">
      <alignment horizontal="center" vertical="center" wrapText="1"/>
    </xf>
    <xf numFmtId="2" fontId="12" fillId="0" borderId="0" xfId="0" applyNumberFormat="1" applyFont="1" applyFill="1" applyBorder="1" applyAlignment="1">
      <alignment vertical="center" wrapText="1"/>
    </xf>
    <xf numFmtId="0" fontId="12" fillId="0" borderId="3" xfId="4" applyFont="1" applyBorder="1" applyAlignment="1">
      <alignment horizontal="center"/>
    </xf>
    <xf numFmtId="2" fontId="12" fillId="0" borderId="3" xfId="4" applyNumberFormat="1" applyFont="1" applyBorder="1" applyAlignment="1">
      <alignment horizontal="center"/>
    </xf>
    <xf numFmtId="2" fontId="12" fillId="0" borderId="3" xfId="4" applyNumberFormat="1" applyFont="1" applyBorder="1" applyAlignment="1">
      <alignment horizontal="center" vertical="center" wrapText="1"/>
    </xf>
    <xf numFmtId="0" fontId="12" fillId="0" borderId="3" xfId="4" applyFont="1" applyFill="1" applyBorder="1" applyAlignment="1">
      <alignment horizontal="center" vertical="center" wrapText="1"/>
    </xf>
    <xf numFmtId="2" fontId="12" fillId="0" borderId="3" xfId="4" applyNumberFormat="1" applyFont="1" applyFill="1" applyBorder="1" applyAlignment="1">
      <alignment horizontal="center"/>
    </xf>
    <xf numFmtId="0" fontId="12" fillId="8" borderId="2" xfId="0" applyFont="1" applyFill="1" applyBorder="1" applyAlignment="1">
      <alignment vertical="center" wrapText="1"/>
    </xf>
    <xf numFmtId="2" fontId="12" fillId="8" borderId="2" xfId="0" applyNumberFormat="1" applyFont="1" applyFill="1" applyBorder="1" applyAlignment="1">
      <alignment vertical="center" wrapText="1"/>
    </xf>
    <xf numFmtId="0" fontId="12" fillId="8" borderId="2" xfId="4" applyFont="1" applyFill="1" applyBorder="1" applyAlignment="1">
      <alignment horizontal="center" vertical="center"/>
    </xf>
    <xf numFmtId="0" fontId="12" fillId="0" borderId="2" xfId="4" applyFont="1" applyBorder="1"/>
    <xf numFmtId="0" fontId="12" fillId="9" borderId="2" xfId="0" applyFont="1" applyFill="1" applyBorder="1" applyAlignment="1">
      <alignment vertical="center"/>
    </xf>
    <xf numFmtId="10" fontId="12" fillId="5" borderId="2" xfId="0" applyNumberFormat="1" applyFont="1" applyFill="1" applyBorder="1" applyAlignment="1">
      <alignment horizontal="center" vertical="center"/>
    </xf>
    <xf numFmtId="1" fontId="12" fillId="5" borderId="2" xfId="0" applyNumberFormat="1" applyFont="1" applyFill="1" applyBorder="1" applyAlignment="1">
      <alignment horizontal="center" vertical="center"/>
    </xf>
    <xf numFmtId="0" fontId="12" fillId="0" borderId="2" xfId="0" applyFont="1" applyBorder="1" applyAlignment="1">
      <alignment horizontal="left" vertical="center"/>
    </xf>
    <xf numFmtId="0" fontId="11" fillId="9" borderId="2" xfId="0" applyFont="1" applyFill="1" applyBorder="1" applyAlignment="1">
      <alignment horizontal="left" vertical="center"/>
    </xf>
    <xf numFmtId="0" fontId="11" fillId="0" borderId="0" xfId="0" applyFont="1" applyBorder="1" applyAlignment="1">
      <alignment horizontal="center" vertical="center"/>
    </xf>
    <xf numFmtId="0" fontId="14" fillId="0" borderId="0" xfId="4" applyFont="1"/>
    <xf numFmtId="0" fontId="15" fillId="0" borderId="0" xfId="4" applyFont="1"/>
    <xf numFmtId="0" fontId="15" fillId="0" borderId="0" xfId="4" applyFont="1" applyBorder="1"/>
    <xf numFmtId="0" fontId="15" fillId="4" borderId="2" xfId="4" applyFont="1" applyFill="1" applyBorder="1" applyAlignment="1">
      <alignment horizontal="center" vertical="center" wrapText="1"/>
    </xf>
    <xf numFmtId="0" fontId="15" fillId="0" borderId="2" xfId="4" applyFont="1" applyBorder="1" applyAlignment="1">
      <alignment horizontal="center" vertical="center" wrapText="1"/>
    </xf>
    <xf numFmtId="0" fontId="15" fillId="0" borderId="2" xfId="4" applyFont="1" applyBorder="1" applyAlignment="1">
      <alignment horizontal="center"/>
    </xf>
    <xf numFmtId="9" fontId="15" fillId="0" borderId="2" xfId="4" applyNumberFormat="1" applyFont="1" applyBorder="1" applyAlignment="1">
      <alignment horizontal="center"/>
    </xf>
    <xf numFmtId="1" fontId="15" fillId="0" borderId="2" xfId="4" applyNumberFormat="1" applyFont="1" applyBorder="1" applyAlignment="1">
      <alignment horizontal="center"/>
    </xf>
    <xf numFmtId="2" fontId="15" fillId="0" borderId="2" xfId="4" applyNumberFormat="1" applyFont="1" applyBorder="1" applyAlignment="1">
      <alignment horizontal="center"/>
    </xf>
    <xf numFmtId="0" fontId="14" fillId="0" borderId="2" xfId="4" applyFont="1" applyBorder="1" applyAlignment="1">
      <alignment horizontal="center"/>
    </xf>
    <xf numFmtId="9" fontId="14" fillId="0" borderId="2" xfId="4" applyNumberFormat="1" applyFont="1" applyBorder="1" applyAlignment="1">
      <alignment horizontal="center"/>
    </xf>
    <xf numFmtId="1" fontId="14" fillId="0" borderId="2" xfId="4" applyNumberFormat="1" applyFont="1" applyBorder="1" applyAlignment="1">
      <alignment horizontal="center"/>
    </xf>
    <xf numFmtId="0" fontId="15" fillId="0" borderId="0" xfId="4" applyFont="1" applyFill="1" applyBorder="1"/>
    <xf numFmtId="166" fontId="15" fillId="0" borderId="0" xfId="4" applyNumberFormat="1" applyFont="1"/>
    <xf numFmtId="0" fontId="15" fillId="7" borderId="2" xfId="4" applyNumberFormat="1" applyFont="1" applyFill="1" applyBorder="1" applyAlignment="1">
      <alignment horizontal="center" vertical="center"/>
    </xf>
    <xf numFmtId="0" fontId="15" fillId="7" borderId="2" xfId="4" applyFont="1" applyFill="1" applyBorder="1" applyAlignment="1">
      <alignment horizontal="center" vertical="center" wrapText="1"/>
    </xf>
    <xf numFmtId="166" fontId="15" fillId="0" borderId="2" xfId="4" applyNumberFormat="1" applyFont="1" applyBorder="1" applyAlignment="1">
      <alignment horizontal="center"/>
    </xf>
    <xf numFmtId="11" fontId="15" fillId="0" borderId="2" xfId="4" applyNumberFormat="1" applyFont="1" applyBorder="1" applyAlignment="1">
      <alignment horizontal="center"/>
    </xf>
    <xf numFmtId="1" fontId="15" fillId="7" borderId="2" xfId="4" applyNumberFormat="1" applyFont="1" applyFill="1" applyBorder="1" applyAlignment="1">
      <alignment horizontal="center" vertical="top" wrapText="1"/>
    </xf>
    <xf numFmtId="1" fontId="15" fillId="7" borderId="2" xfId="4" applyNumberFormat="1" applyFont="1" applyFill="1" applyBorder="1" applyAlignment="1">
      <alignment horizontal="center"/>
    </xf>
    <xf numFmtId="0" fontId="14" fillId="0" borderId="2" xfId="4" applyFont="1" applyBorder="1" applyAlignment="1">
      <alignment horizontal="center" vertical="center" wrapText="1"/>
    </xf>
    <xf numFmtId="2" fontId="14" fillId="0" borderId="2" xfId="4" applyNumberFormat="1" applyFont="1" applyBorder="1" applyAlignment="1">
      <alignment horizontal="center"/>
    </xf>
    <xf numFmtId="166" fontId="14" fillId="0" borderId="2" xfId="4" applyNumberFormat="1" applyFont="1" applyBorder="1" applyAlignment="1">
      <alignment horizontal="center"/>
    </xf>
    <xf numFmtId="11" fontId="14" fillId="0" borderId="2" xfId="4" applyNumberFormat="1" applyFont="1" applyBorder="1" applyAlignment="1">
      <alignment horizontal="center"/>
    </xf>
    <xf numFmtId="1" fontId="14" fillId="7" borderId="2" xfId="4" applyNumberFormat="1" applyFont="1" applyFill="1" applyBorder="1" applyAlignment="1">
      <alignment horizontal="center" vertical="top" wrapText="1"/>
    </xf>
    <xf numFmtId="1" fontId="14" fillId="7" borderId="2" xfId="4" applyNumberFormat="1" applyFont="1" applyFill="1" applyBorder="1" applyAlignment="1">
      <alignment horizontal="center"/>
    </xf>
    <xf numFmtId="165" fontId="15" fillId="7" borderId="2" xfId="4" applyNumberFormat="1" applyFont="1" applyFill="1" applyBorder="1" applyAlignment="1">
      <alignment horizontal="center"/>
    </xf>
    <xf numFmtId="2" fontId="14" fillId="7" borderId="2" xfId="4" applyNumberFormat="1" applyFont="1" applyFill="1" applyBorder="1" applyAlignment="1">
      <alignment horizontal="center"/>
    </xf>
    <xf numFmtId="2" fontId="15" fillId="7" borderId="2" xfId="4" applyNumberFormat="1" applyFont="1" applyFill="1" applyBorder="1" applyAlignment="1">
      <alignment horizontal="center"/>
    </xf>
    <xf numFmtId="167" fontId="15" fillId="7" borderId="2" xfId="4" applyNumberFormat="1" applyFont="1" applyFill="1" applyBorder="1" applyAlignment="1">
      <alignment horizontal="center"/>
    </xf>
    <xf numFmtId="0" fontId="39" fillId="0" borderId="0" xfId="4" applyFont="1"/>
    <xf numFmtId="0" fontId="40" fillId="0" borderId="0" xfId="4" applyFont="1"/>
    <xf numFmtId="0" fontId="11" fillId="0" borderId="0" xfId="0" applyFont="1" applyAlignment="1">
      <alignment vertical="center"/>
    </xf>
    <xf numFmtId="0" fontId="42" fillId="0" borderId="0" xfId="0" applyFont="1" applyFill="1" applyBorder="1" applyAlignment="1">
      <alignment vertical="center" wrapText="1"/>
    </xf>
    <xf numFmtId="0" fontId="42" fillId="0" borderId="4" xfId="0" applyFont="1" applyFill="1" applyBorder="1" applyAlignment="1">
      <alignment vertical="center" wrapText="1"/>
    </xf>
    <xf numFmtId="0" fontId="11" fillId="0" borderId="0" xfId="0" applyFont="1" applyAlignment="1">
      <alignment vertical="top"/>
    </xf>
    <xf numFmtId="0" fontId="11" fillId="0" borderId="4" xfId="0" applyFont="1" applyBorder="1" applyAlignment="1">
      <alignment vertical="top"/>
    </xf>
    <xf numFmtId="0" fontId="11" fillId="0" borderId="0" xfId="0" applyFont="1" applyBorder="1" applyAlignment="1">
      <alignment vertical="top"/>
    </xf>
    <xf numFmtId="166" fontId="11" fillId="0" borderId="0" xfId="0" applyNumberFormat="1" applyFont="1" applyBorder="1" applyAlignment="1">
      <alignment horizontal="left" vertical="center"/>
    </xf>
    <xf numFmtId="0" fontId="14" fillId="0" borderId="0" xfId="0" applyFont="1" applyFill="1" applyAlignment="1">
      <alignment vertical="center"/>
    </xf>
    <xf numFmtId="0" fontId="14" fillId="0" borderId="4" xfId="0" applyFont="1" applyFill="1" applyBorder="1" applyAlignment="1">
      <alignment vertical="center"/>
    </xf>
    <xf numFmtId="166" fontId="12" fillId="8" borderId="2" xfId="0" applyNumberFormat="1" applyFont="1" applyFill="1" applyBorder="1" applyAlignment="1">
      <alignment horizontal="center" vertical="center" wrapText="1"/>
    </xf>
    <xf numFmtId="3" fontId="12" fillId="8" borderId="2" xfId="6" applyNumberFormat="1" applyFont="1" applyFill="1" applyBorder="1" applyAlignment="1">
      <alignment horizontal="center" vertical="center" wrapText="1"/>
    </xf>
    <xf numFmtId="166" fontId="14" fillId="0" borderId="0" xfId="0" applyNumberFormat="1" applyFont="1" applyBorder="1" applyAlignment="1">
      <alignment horizontal="left" vertical="center"/>
    </xf>
    <xf numFmtId="0" fontId="13" fillId="8" borderId="2" xfId="0" applyFont="1" applyFill="1" applyBorder="1" applyAlignment="1">
      <alignment horizontal="center" vertical="center" wrapText="1"/>
    </xf>
    <xf numFmtId="0" fontId="9" fillId="8" borderId="2" xfId="0" applyFont="1" applyFill="1" applyBorder="1" applyAlignment="1">
      <alignment horizontal="center" vertical="center" wrapText="1"/>
    </xf>
    <xf numFmtId="166" fontId="9" fillId="8" borderId="2" xfId="5" applyNumberFormat="1" applyFont="1" applyFill="1" applyBorder="1" applyAlignment="1">
      <alignment horizontal="center" vertical="center" wrapText="1"/>
    </xf>
    <xf numFmtId="3" fontId="9" fillId="8" borderId="2" xfId="5" applyNumberFormat="1" applyFont="1" applyFill="1" applyBorder="1" applyAlignment="1">
      <alignment horizontal="center" vertical="center" wrapText="1"/>
    </xf>
    <xf numFmtId="0" fontId="9" fillId="0" borderId="0" xfId="0" applyFont="1" applyFill="1" applyAlignment="1">
      <alignment vertical="center" wrapText="1"/>
    </xf>
    <xf numFmtId="9" fontId="9" fillId="0" borderId="0" xfId="0" applyNumberFormat="1" applyFont="1" applyFill="1" applyBorder="1" applyAlignment="1">
      <alignment horizontal="left" vertical="center" wrapText="1"/>
    </xf>
    <xf numFmtId="0" fontId="27" fillId="0" borderId="0" xfId="0" applyFont="1" applyFill="1" applyBorder="1" applyAlignment="1">
      <alignment horizontal="center" vertical="center" wrapText="1"/>
    </xf>
    <xf numFmtId="11" fontId="9" fillId="0" borderId="2" xfId="0" applyNumberFormat="1" applyFont="1" applyFill="1" applyBorder="1" applyAlignment="1">
      <alignment horizontal="center" vertical="center" wrapText="1"/>
    </xf>
    <xf numFmtId="9" fontId="9" fillId="5" borderId="2" xfId="0" applyNumberFormat="1" applyFont="1" applyFill="1" applyBorder="1" applyAlignment="1">
      <alignment horizontal="center" vertical="center" wrapText="1"/>
    </xf>
    <xf numFmtId="0" fontId="22" fillId="0" borderId="0" xfId="0" applyFont="1" applyFill="1" applyBorder="1" applyAlignment="1">
      <alignment vertical="center" wrapText="1"/>
    </xf>
    <xf numFmtId="0" fontId="9" fillId="0" borderId="0" xfId="0" applyFont="1" applyAlignment="1">
      <alignment horizontal="center" vertical="center" wrapText="1"/>
    </xf>
    <xf numFmtId="0" fontId="24" fillId="0" borderId="0" xfId="0" applyFont="1" applyFill="1" applyBorder="1" applyAlignment="1">
      <alignment horizontal="left" vertical="center" wrapText="1"/>
    </xf>
    <xf numFmtId="0" fontId="24" fillId="0" borderId="0" xfId="0" applyFont="1" applyFill="1" applyBorder="1" applyAlignment="1">
      <alignment vertical="center" wrapText="1"/>
    </xf>
    <xf numFmtId="0" fontId="25" fillId="0" borderId="0" xfId="0" applyFont="1" applyFill="1" applyBorder="1" applyAlignment="1">
      <alignment vertical="center" wrapText="1"/>
    </xf>
    <xf numFmtId="0" fontId="26" fillId="0" borderId="0" xfId="0" applyFont="1" applyFill="1" applyBorder="1" applyAlignment="1">
      <alignment horizontal="center" vertical="center" wrapText="1"/>
    </xf>
    <xf numFmtId="173" fontId="9" fillId="5" borderId="2" xfId="0" applyNumberFormat="1" applyFont="1" applyFill="1" applyBorder="1" applyAlignment="1">
      <alignment horizontal="center" vertical="center" wrapText="1"/>
    </xf>
    <xf numFmtId="166" fontId="9" fillId="0" borderId="2" xfId="0" applyNumberFormat="1" applyFont="1" applyFill="1" applyBorder="1" applyAlignment="1">
      <alignment horizontal="center" vertical="center" wrapText="1"/>
    </xf>
    <xf numFmtId="11" fontId="9" fillId="0" borderId="2" xfId="5" applyNumberFormat="1" applyFont="1" applyFill="1" applyBorder="1" applyAlignment="1">
      <alignment horizontal="center" vertical="center" wrapText="1"/>
    </xf>
    <xf numFmtId="2" fontId="9" fillId="0" borderId="2" xfId="5" applyNumberFormat="1" applyFont="1" applyFill="1" applyBorder="1" applyAlignment="1">
      <alignment horizontal="center" vertical="center" wrapText="1"/>
    </xf>
    <xf numFmtId="170" fontId="9" fillId="5" borderId="2" xfId="0" applyNumberFormat="1" applyFont="1" applyFill="1" applyBorder="1" applyAlignment="1">
      <alignment horizontal="center" vertical="center" wrapText="1"/>
    </xf>
    <xf numFmtId="0" fontId="9" fillId="0" borderId="0" xfId="0" applyFont="1" applyAlignment="1">
      <alignment vertical="center" wrapText="1"/>
    </xf>
    <xf numFmtId="0" fontId="9" fillId="8" borderId="2" xfId="0" applyFont="1" applyFill="1" applyBorder="1" applyAlignment="1">
      <alignment vertical="center" wrapText="1"/>
    </xf>
    <xf numFmtId="10" fontId="9" fillId="0" borderId="2" xfId="0" applyNumberFormat="1" applyFont="1" applyFill="1" applyBorder="1" applyAlignment="1">
      <alignment horizontal="center" vertical="center" wrapText="1"/>
    </xf>
    <xf numFmtId="3" fontId="9" fillId="0" borderId="0" xfId="0" applyNumberFormat="1" applyFont="1" applyFill="1" applyBorder="1" applyAlignment="1">
      <alignment horizontal="center" vertical="center" wrapText="1"/>
    </xf>
    <xf numFmtId="0" fontId="9" fillId="0" borderId="4" xfId="0" applyFont="1" applyBorder="1" applyAlignment="1">
      <alignment vertical="center" wrapText="1"/>
    </xf>
    <xf numFmtId="10" fontId="9" fillId="0" borderId="0" xfId="0" applyNumberFormat="1" applyFont="1" applyFill="1" applyBorder="1" applyAlignment="1">
      <alignment horizontal="center" vertical="center" wrapText="1"/>
    </xf>
    <xf numFmtId="3" fontId="9" fillId="0" borderId="2" xfId="0" applyNumberFormat="1" applyFont="1" applyFill="1" applyBorder="1" applyAlignment="1">
      <alignment horizontal="center" vertical="center" wrapText="1"/>
    </xf>
    <xf numFmtId="172" fontId="9" fillId="0" borderId="2" xfId="0" applyNumberFormat="1" applyFont="1" applyFill="1" applyBorder="1" applyAlignment="1">
      <alignment horizontal="center" vertical="center" wrapText="1"/>
    </xf>
    <xf numFmtId="3" fontId="9" fillId="5" borderId="2" xfId="0" applyNumberFormat="1" applyFont="1" applyFill="1" applyBorder="1" applyAlignment="1">
      <alignment horizontal="center" vertical="center" wrapText="1"/>
    </xf>
    <xf numFmtId="168" fontId="9" fillId="5" borderId="2" xfId="7" applyNumberFormat="1" applyFont="1" applyFill="1" applyBorder="1" applyAlignment="1">
      <alignment horizontal="center" vertical="center" wrapText="1"/>
    </xf>
    <xf numFmtId="0" fontId="9" fillId="0" borderId="0" xfId="0" applyFont="1" applyFill="1" applyBorder="1" applyAlignment="1">
      <alignment horizontal="right" vertical="center" wrapText="1"/>
    </xf>
    <xf numFmtId="2" fontId="9" fillId="0" borderId="0" xfId="0" applyNumberFormat="1" applyFont="1" applyFill="1" applyBorder="1" applyAlignment="1">
      <alignment vertical="center" wrapText="1"/>
    </xf>
    <xf numFmtId="0" fontId="9" fillId="0" borderId="2" xfId="0" applyFont="1" applyBorder="1" applyAlignment="1">
      <alignment horizontal="center" vertical="center"/>
    </xf>
    <xf numFmtId="167" fontId="9" fillId="6" borderId="2" xfId="0" applyNumberFormat="1" applyFont="1" applyFill="1" applyBorder="1" applyAlignment="1">
      <alignment horizontal="center" vertical="center" wrapText="1"/>
    </xf>
    <xf numFmtId="0" fontId="9" fillId="8" borderId="3" xfId="0" applyFont="1" applyFill="1" applyBorder="1" applyAlignment="1">
      <alignment horizontal="center" vertical="center" wrapText="1"/>
    </xf>
    <xf numFmtId="4" fontId="9" fillId="6" borderId="2" xfId="0" applyNumberFormat="1" applyFont="1" applyFill="1" applyBorder="1" applyAlignment="1">
      <alignment horizontal="center" vertical="center" wrapText="1"/>
    </xf>
    <xf numFmtId="0" fontId="12" fillId="5" borderId="2" xfId="0" applyFont="1" applyFill="1" applyBorder="1" applyAlignment="1">
      <alignment horizontal="center" vertical="center"/>
    </xf>
    <xf numFmtId="0" fontId="22" fillId="0" borderId="0" xfId="0" applyFont="1" applyFill="1" applyBorder="1" applyAlignment="1">
      <alignment vertical="center"/>
    </xf>
    <xf numFmtId="0" fontId="15" fillId="8" borderId="2" xfId="9" applyFont="1" applyFill="1" applyBorder="1"/>
    <xf numFmtId="0" fontId="15" fillId="0" borderId="2" xfId="9" applyFont="1" applyBorder="1"/>
    <xf numFmtId="0" fontId="15" fillId="0" borderId="2" xfId="0" applyFont="1" applyFill="1" applyBorder="1" applyAlignment="1">
      <alignment horizontal="center" vertical="center"/>
    </xf>
    <xf numFmtId="0" fontId="14" fillId="8" borderId="1" xfId="0" applyFont="1" applyFill="1" applyBorder="1" applyAlignment="1">
      <alignment horizontal="left" vertical="center"/>
    </xf>
    <xf numFmtId="0" fontId="15" fillId="8" borderId="5" xfId="0" applyFont="1" applyFill="1" applyBorder="1" applyAlignment="1">
      <alignment horizontal="center" vertical="center"/>
    </xf>
    <xf numFmtId="0" fontId="15" fillId="8" borderId="5" xfId="0" applyNumberFormat="1" applyFont="1" applyFill="1" applyBorder="1" applyAlignment="1">
      <alignment horizontal="center" vertical="center" wrapText="1"/>
    </xf>
    <xf numFmtId="0" fontId="15" fillId="8" borderId="6" xfId="0" applyFont="1" applyFill="1" applyBorder="1" applyAlignment="1">
      <alignment horizontal="left" vertical="center"/>
    </xf>
    <xf numFmtId="0" fontId="15" fillId="8" borderId="2" xfId="5" applyFont="1" applyFill="1" applyBorder="1" applyAlignment="1">
      <alignment horizontal="center" vertical="center"/>
    </xf>
    <xf numFmtId="0" fontId="15" fillId="8" borderId="2" xfId="5" applyNumberFormat="1" applyFont="1" applyFill="1" applyBorder="1" applyAlignment="1">
      <alignment horizontal="center" vertical="center" wrapText="1"/>
    </xf>
    <xf numFmtId="168" fontId="15" fillId="8" borderId="2" xfId="5" applyNumberFormat="1" applyFont="1" applyFill="1" applyBorder="1" applyAlignment="1">
      <alignment horizontal="center" vertical="center" wrapText="1"/>
    </xf>
    <xf numFmtId="0" fontId="15" fillId="8" borderId="2" xfId="5" applyFont="1" applyFill="1" applyBorder="1" applyAlignment="1">
      <alignment horizontal="center" vertical="center" wrapText="1"/>
    </xf>
    <xf numFmtId="3" fontId="15" fillId="8" borderId="2" xfId="5" applyNumberFormat="1" applyFont="1" applyFill="1" applyBorder="1" applyAlignment="1">
      <alignment horizontal="center" vertical="center" wrapText="1"/>
    </xf>
    <xf numFmtId="166" fontId="15" fillId="8" borderId="2" xfId="5" applyNumberFormat="1" applyFont="1" applyFill="1" applyBorder="1" applyAlignment="1">
      <alignment horizontal="center" vertical="center" wrapText="1"/>
    </xf>
    <xf numFmtId="168" fontId="15" fillId="8" borderId="2" xfId="5" applyNumberFormat="1" applyFont="1" applyFill="1" applyBorder="1" applyAlignment="1">
      <alignment horizontal="center" vertical="center"/>
    </xf>
    <xf numFmtId="0" fontId="36" fillId="0" borderId="0" xfId="0" applyFont="1" applyFill="1" applyAlignment="1">
      <alignment vertical="center"/>
    </xf>
    <xf numFmtId="0" fontId="22" fillId="0" borderId="0" xfId="5" applyFont="1" applyFill="1" applyBorder="1" applyAlignment="1">
      <alignment horizontal="left" vertical="center"/>
    </xf>
    <xf numFmtId="0" fontId="22" fillId="0" borderId="0" xfId="5" applyNumberFormat="1" applyFont="1" applyFill="1" applyBorder="1" applyAlignment="1">
      <alignment horizontal="left" vertical="center"/>
    </xf>
    <xf numFmtId="0" fontId="9" fillId="8" borderId="2" xfId="9" applyFont="1" applyFill="1" applyBorder="1"/>
    <xf numFmtId="0" fontId="9" fillId="0" borderId="2" xfId="9" applyFont="1" applyBorder="1"/>
    <xf numFmtId="0" fontId="16" fillId="8" borderId="2" xfId="0" applyFont="1" applyFill="1" applyBorder="1" applyAlignment="1">
      <alignment horizontal="left" vertical="center"/>
    </xf>
    <xf numFmtId="0" fontId="9" fillId="8" borderId="2" xfId="0" applyFont="1" applyFill="1" applyBorder="1" applyAlignment="1">
      <alignment horizontal="center" vertical="center"/>
    </xf>
    <xf numFmtId="0" fontId="13" fillId="8" borderId="2" xfId="5" applyFont="1" applyFill="1" applyBorder="1" applyAlignment="1">
      <alignment horizontal="center" vertical="center"/>
    </xf>
    <xf numFmtId="168" fontId="9" fillId="8" borderId="2" xfId="5" applyNumberFormat="1" applyFont="1" applyFill="1" applyBorder="1" applyAlignment="1">
      <alignment horizontal="center" vertical="center"/>
    </xf>
    <xf numFmtId="168" fontId="9" fillId="8" borderId="1" xfId="5" applyNumberFormat="1" applyFont="1" applyFill="1" applyBorder="1" applyAlignment="1">
      <alignment horizontal="center" vertical="center"/>
    </xf>
    <xf numFmtId="168" fontId="9" fillId="8" borderId="2" xfId="5" applyNumberFormat="1" applyFont="1" applyFill="1" applyBorder="1" applyAlignment="1">
      <alignment horizontal="center" vertical="center" wrapText="1"/>
    </xf>
    <xf numFmtId="0" fontId="9" fillId="8" borderId="2" xfId="5" applyFont="1" applyFill="1" applyBorder="1" applyAlignment="1">
      <alignment horizontal="center" vertical="center"/>
    </xf>
    <xf numFmtId="0" fontId="9" fillId="8" borderId="2" xfId="5" applyNumberFormat="1" applyFont="1" applyFill="1" applyBorder="1" applyAlignment="1">
      <alignment horizontal="center" vertical="center" wrapText="1"/>
    </xf>
    <xf numFmtId="0" fontId="15" fillId="5" borderId="1" xfId="0" applyFont="1" applyFill="1" applyBorder="1" applyAlignment="1">
      <alignment vertical="center"/>
    </xf>
    <xf numFmtId="0" fontId="12" fillId="5" borderId="6" xfId="0" applyFont="1" applyFill="1" applyBorder="1" applyAlignment="1">
      <alignment horizontal="left"/>
    </xf>
    <xf numFmtId="0" fontId="12" fillId="6" borderId="1" xfId="0" applyFont="1" applyFill="1" applyBorder="1"/>
    <xf numFmtId="0" fontId="12" fillId="6" borderId="6" xfId="0" applyFont="1" applyFill="1" applyBorder="1" applyAlignment="1">
      <alignment horizontal="left"/>
    </xf>
    <xf numFmtId="167" fontId="12" fillId="0" borderId="2" xfId="0" applyNumberFormat="1" applyFont="1" applyFill="1" applyBorder="1" applyAlignment="1">
      <alignment horizontal="center" vertical="center" wrapText="1"/>
    </xf>
    <xf numFmtId="166" fontId="12" fillId="5" borderId="2" xfId="0" applyNumberFormat="1" applyFont="1" applyFill="1" applyBorder="1" applyAlignment="1">
      <alignment horizontal="center" vertical="center" wrapText="1"/>
    </xf>
    <xf numFmtId="166" fontId="12" fillId="5" borderId="2" xfId="4" applyNumberFormat="1" applyFont="1" applyFill="1" applyBorder="1" applyAlignment="1">
      <alignment horizontal="center" vertical="center"/>
    </xf>
    <xf numFmtId="11" fontId="12" fillId="0" borderId="2" xfId="4" applyNumberFormat="1" applyFont="1" applyBorder="1" applyAlignment="1">
      <alignment horizontal="center" vertical="center"/>
    </xf>
    <xf numFmtId="0" fontId="12" fillId="5" borderId="1" xfId="0" applyFont="1" applyFill="1" applyBorder="1" applyAlignment="1">
      <alignment vertical="center"/>
    </xf>
    <xf numFmtId="0" fontId="12" fillId="5" borderId="6" xfId="0" applyFont="1" applyFill="1" applyBorder="1" applyAlignment="1">
      <alignment vertical="center"/>
    </xf>
    <xf numFmtId="0" fontId="9" fillId="5" borderId="1" xfId="0" applyFont="1" applyFill="1" applyBorder="1" applyAlignment="1">
      <alignment vertical="center"/>
    </xf>
    <xf numFmtId="0" fontId="9" fillId="5" borderId="5" xfId="0" applyFont="1" applyFill="1" applyBorder="1" applyAlignment="1">
      <alignment horizontal="center" vertical="center" wrapText="1"/>
    </xf>
    <xf numFmtId="0" fontId="9" fillId="5" borderId="6" xfId="0" applyFont="1" applyFill="1" applyBorder="1" applyAlignment="1">
      <alignment horizontal="center" vertical="center" wrapText="1"/>
    </xf>
    <xf numFmtId="0" fontId="9" fillId="6" borderId="1" xfId="0" applyFont="1" applyFill="1" applyBorder="1" applyAlignment="1">
      <alignment vertical="center"/>
    </xf>
    <xf numFmtId="0" fontId="12" fillId="6" borderId="5" xfId="0" applyFont="1" applyFill="1" applyBorder="1" applyAlignment="1">
      <alignment horizontal="left"/>
    </xf>
    <xf numFmtId="0" fontId="9" fillId="6" borderId="6" xfId="0" applyFont="1" applyFill="1" applyBorder="1" applyAlignment="1">
      <alignment horizontal="center" vertical="center" wrapText="1"/>
    </xf>
    <xf numFmtId="0" fontId="9" fillId="10" borderId="2" xfId="0" applyFont="1" applyFill="1" applyBorder="1" applyAlignment="1">
      <alignment wrapText="1"/>
    </xf>
    <xf numFmtId="0" fontId="9" fillId="10" borderId="2" xfId="0" applyFont="1" applyFill="1" applyBorder="1" applyAlignment="1">
      <alignment horizontal="center" vertical="center" wrapText="1"/>
    </xf>
    <xf numFmtId="4" fontId="9" fillId="0" borderId="2" xfId="0" applyNumberFormat="1" applyFont="1" applyFill="1" applyBorder="1" applyAlignment="1">
      <alignment horizontal="center" vertical="center" wrapText="1"/>
    </xf>
    <xf numFmtId="0" fontId="14" fillId="5" borderId="5" xfId="0" applyFont="1" applyFill="1" applyBorder="1" applyAlignment="1">
      <alignment vertical="center"/>
    </xf>
    <xf numFmtId="0" fontId="14" fillId="5" borderId="6" xfId="0" applyFont="1" applyFill="1" applyBorder="1" applyAlignment="1">
      <alignment vertical="center"/>
    </xf>
    <xf numFmtId="0" fontId="11" fillId="5" borderId="5" xfId="0" applyFont="1" applyFill="1" applyBorder="1" applyAlignment="1">
      <alignment vertical="center"/>
    </xf>
    <xf numFmtId="0" fontId="11" fillId="5" borderId="6" xfId="0" applyFont="1" applyFill="1" applyBorder="1" applyAlignment="1">
      <alignment vertical="center"/>
    </xf>
    <xf numFmtId="0" fontId="36" fillId="5" borderId="1" xfId="0" applyFont="1" applyFill="1" applyBorder="1" applyAlignment="1">
      <alignment vertical="center"/>
    </xf>
    <xf numFmtId="168" fontId="9" fillId="5" borderId="5" xfId="5" applyNumberFormat="1" applyFont="1" applyFill="1" applyBorder="1" applyAlignment="1">
      <alignment horizontal="left" vertical="center"/>
    </xf>
    <xf numFmtId="168" fontId="9" fillId="5" borderId="5" xfId="5" applyNumberFormat="1" applyFont="1" applyFill="1" applyBorder="1" applyAlignment="1">
      <alignment horizontal="center" vertical="center"/>
    </xf>
    <xf numFmtId="168" fontId="9" fillId="5" borderId="6" xfId="5" applyNumberFormat="1" applyFont="1" applyFill="1" applyBorder="1" applyAlignment="1">
      <alignment horizontal="center" vertical="center"/>
    </xf>
    <xf numFmtId="0" fontId="9" fillId="0" borderId="2" xfId="0" applyFont="1" applyFill="1" applyBorder="1" applyAlignment="1">
      <alignment horizontal="left" vertical="center" wrapText="1"/>
    </xf>
    <xf numFmtId="0" fontId="15" fillId="8" borderId="2" xfId="5" applyFont="1" applyFill="1" applyBorder="1" applyAlignment="1">
      <alignment horizontal="center" vertical="center" wrapText="1"/>
    </xf>
    <xf numFmtId="0" fontId="45" fillId="0" borderId="0" xfId="0" applyFont="1" applyFill="1" applyBorder="1" applyAlignment="1">
      <alignment vertical="center" wrapText="1"/>
    </xf>
    <xf numFmtId="0" fontId="46" fillId="0" borderId="0" xfId="0" applyFont="1" applyFill="1" applyBorder="1" applyAlignment="1">
      <alignment vertical="center"/>
    </xf>
    <xf numFmtId="0" fontId="46" fillId="0" borderId="0" xfId="0" applyFont="1" applyFill="1" applyBorder="1" applyAlignment="1">
      <alignment vertical="center" wrapText="1"/>
    </xf>
    <xf numFmtId="0" fontId="13" fillId="0" borderId="0" xfId="4" applyFont="1"/>
    <xf numFmtId="2" fontId="9" fillId="0" borderId="2" xfId="0" applyNumberFormat="1" applyFont="1" applyFill="1" applyBorder="1" applyAlignment="1">
      <alignment horizontal="center" vertical="center" wrapText="1"/>
    </xf>
    <xf numFmtId="167" fontId="9" fillId="0" borderId="2" xfId="0" applyNumberFormat="1" applyFont="1" applyFill="1" applyBorder="1" applyAlignment="1">
      <alignment horizontal="center" vertical="center" wrapText="1"/>
    </xf>
    <xf numFmtId="0" fontId="9" fillId="8" borderId="22" xfId="0" applyFont="1" applyFill="1" applyBorder="1" applyAlignment="1">
      <alignment horizontal="center" vertical="center" wrapText="1"/>
    </xf>
    <xf numFmtId="0" fontId="27" fillId="0" borderId="0" xfId="0" applyFont="1" applyFill="1" applyBorder="1" applyAlignment="1">
      <alignment vertical="center" wrapText="1"/>
    </xf>
    <xf numFmtId="0" fontId="9" fillId="0" borderId="0" xfId="0" applyFont="1" applyFill="1" applyBorder="1" applyAlignment="1">
      <alignment vertical="center"/>
    </xf>
    <xf numFmtId="0" fontId="13" fillId="8" borderId="7" xfId="0" applyFont="1" applyFill="1" applyBorder="1" applyAlignment="1">
      <alignment horizontal="center" vertical="center" wrapText="1"/>
    </xf>
    <xf numFmtId="0" fontId="9" fillId="8" borderId="7" xfId="0" applyFont="1" applyFill="1" applyBorder="1" applyAlignment="1">
      <alignment vertical="center" wrapText="1"/>
    </xf>
    <xf numFmtId="0" fontId="9" fillId="8" borderId="2" xfId="0" applyFont="1" applyFill="1" applyBorder="1" applyAlignment="1">
      <alignment horizontal="center" vertical="center" wrapText="1"/>
    </xf>
    <xf numFmtId="0" fontId="9" fillId="5" borderId="2" xfId="0" applyFont="1" applyFill="1" applyBorder="1" applyAlignment="1">
      <alignment horizontal="center" vertical="center" wrapText="1"/>
    </xf>
    <xf numFmtId="0" fontId="48" fillId="9" borderId="2" xfId="0" applyFont="1" applyFill="1" applyBorder="1"/>
    <xf numFmtId="0" fontId="49" fillId="9" borderId="2" xfId="0" applyFont="1" applyFill="1" applyBorder="1"/>
    <xf numFmtId="0" fontId="48" fillId="9" borderId="17" xfId="4" applyFont="1" applyFill="1" applyBorder="1" applyAlignment="1">
      <alignment horizontal="center"/>
    </xf>
    <xf numFmtId="0" fontId="48" fillId="9" borderId="11" xfId="4" applyFont="1" applyFill="1" applyBorder="1" applyAlignment="1">
      <alignment horizontal="center"/>
    </xf>
    <xf numFmtId="0" fontId="49" fillId="9" borderId="17" xfId="4" applyFont="1" applyFill="1" applyBorder="1" applyAlignment="1">
      <alignment horizontal="center" vertical="center"/>
    </xf>
    <xf numFmtId="0" fontId="49" fillId="9" borderId="11" xfId="4" applyFont="1" applyFill="1" applyBorder="1" applyAlignment="1">
      <alignment horizontal="center"/>
    </xf>
    <xf numFmtId="0" fontId="49" fillId="9" borderId="17" xfId="4" applyFont="1" applyFill="1" applyBorder="1" applyAlignment="1">
      <alignment horizontal="center"/>
    </xf>
    <xf numFmtId="0" fontId="49" fillId="9" borderId="18" xfId="4" applyFont="1" applyFill="1" applyBorder="1" applyAlignment="1">
      <alignment horizontal="center"/>
    </xf>
    <xf numFmtId="0" fontId="49" fillId="9" borderId="13" xfId="4" applyFont="1" applyFill="1" applyBorder="1" applyAlignment="1">
      <alignment horizontal="center"/>
    </xf>
    <xf numFmtId="0" fontId="11" fillId="9" borderId="25" xfId="0" applyFont="1" applyFill="1" applyBorder="1"/>
    <xf numFmtId="0" fontId="12" fillId="9" borderId="26" xfId="0" applyFont="1" applyFill="1" applyBorder="1"/>
    <xf numFmtId="0" fontId="12" fillId="5" borderId="11" xfId="4" applyNumberFormat="1" applyFont="1" applyFill="1" applyBorder="1" applyAlignment="1">
      <alignment horizontal="center" vertical="center" wrapText="1"/>
    </xf>
    <xf numFmtId="0" fontId="13" fillId="5" borderId="19" xfId="0" applyFont="1" applyFill="1" applyBorder="1"/>
    <xf numFmtId="0" fontId="11" fillId="0" borderId="17" xfId="10" applyFont="1" applyBorder="1" applyAlignment="1">
      <alignment horizontal="left" vertical="center"/>
    </xf>
    <xf numFmtId="0" fontId="11" fillId="0" borderId="18" xfId="10" applyFont="1" applyBorder="1" applyAlignment="1">
      <alignment horizontal="left"/>
    </xf>
    <xf numFmtId="0" fontId="11" fillId="0" borderId="12" xfId="10" applyFont="1" applyBorder="1" applyAlignment="1">
      <alignment horizontal="left"/>
    </xf>
    <xf numFmtId="0" fontId="11" fillId="0" borderId="17" xfId="10" applyFont="1" applyBorder="1" applyAlignment="1">
      <alignment horizontal="center" vertical="center"/>
    </xf>
    <xf numFmtId="0" fontId="12" fillId="0" borderId="20" xfId="0" applyFont="1" applyFill="1" applyBorder="1" applyAlignment="1">
      <alignment horizontal="center"/>
    </xf>
    <xf numFmtId="0" fontId="12" fillId="0" borderId="5" xfId="0" applyFont="1" applyFill="1" applyBorder="1" applyAlignment="1">
      <alignment horizontal="center"/>
    </xf>
    <xf numFmtId="0" fontId="12" fillId="0" borderId="21" xfId="0" applyFont="1" applyFill="1" applyBorder="1" applyAlignment="1">
      <alignment horizontal="center"/>
    </xf>
    <xf numFmtId="0" fontId="12" fillId="0" borderId="20" xfId="0" applyFont="1" applyBorder="1" applyAlignment="1">
      <alignment horizontal="center"/>
    </xf>
    <xf numFmtId="0" fontId="12" fillId="0" borderId="5" xfId="0" applyFont="1" applyBorder="1" applyAlignment="1">
      <alignment horizontal="center"/>
    </xf>
    <xf numFmtId="0" fontId="12" fillId="0" borderId="21" xfId="0" applyFont="1" applyBorder="1" applyAlignment="1">
      <alignment horizontal="center"/>
    </xf>
    <xf numFmtId="0" fontId="11" fillId="0" borderId="18" xfId="10" applyFont="1" applyBorder="1" applyAlignment="1">
      <alignment horizontal="center" vertical="center"/>
    </xf>
    <xf numFmtId="0" fontId="11" fillId="8" borderId="14" xfId="10" applyFont="1" applyFill="1" applyBorder="1" applyAlignment="1">
      <alignment horizontal="center" vertical="center" wrapText="1"/>
    </xf>
    <xf numFmtId="0" fontId="11" fillId="8" borderId="15" xfId="10" applyFont="1" applyFill="1" applyBorder="1" applyAlignment="1">
      <alignment horizontal="center" vertical="center" wrapText="1"/>
    </xf>
    <xf numFmtId="0" fontId="11" fillId="8" borderId="16" xfId="10" applyFont="1" applyFill="1" applyBorder="1" applyAlignment="1">
      <alignment horizontal="center" vertical="center" wrapText="1"/>
    </xf>
    <xf numFmtId="0" fontId="16" fillId="0" borderId="8" xfId="0" applyFont="1" applyBorder="1" applyAlignment="1">
      <alignment horizontal="center" vertical="center"/>
    </xf>
    <xf numFmtId="0" fontId="16" fillId="0" borderId="10" xfId="0" applyFont="1" applyBorder="1" applyAlignment="1">
      <alignment horizontal="center" vertical="center"/>
    </xf>
    <xf numFmtId="0" fontId="11" fillId="0" borderId="8" xfId="0" applyFont="1" applyBorder="1" applyAlignment="1">
      <alignment horizontal="center" vertical="center"/>
    </xf>
    <xf numFmtId="0" fontId="11" fillId="0" borderId="10" xfId="0" applyFont="1" applyBorder="1" applyAlignment="1">
      <alignment horizontal="center" vertical="center"/>
    </xf>
    <xf numFmtId="0" fontId="11" fillId="0" borderId="8" xfId="0" applyFont="1" applyFill="1" applyBorder="1" applyAlignment="1" applyProtection="1">
      <alignment horizontal="center" vertical="center" wrapText="1"/>
      <protection locked="0"/>
    </xf>
    <xf numFmtId="0" fontId="11" fillId="0" borderId="10" xfId="0" applyFont="1" applyFill="1" applyBorder="1" applyAlignment="1" applyProtection="1">
      <alignment horizontal="center" vertical="center" wrapText="1"/>
      <protection locked="0"/>
    </xf>
    <xf numFmtId="0" fontId="11" fillId="0" borderId="17" xfId="0" applyFont="1" applyFill="1" applyBorder="1" applyAlignment="1">
      <alignment horizontal="center" vertical="center"/>
    </xf>
    <xf numFmtId="0" fontId="11" fillId="8" borderId="14" xfId="10" applyFont="1" applyFill="1" applyBorder="1" applyAlignment="1">
      <alignment horizontal="center" vertical="center"/>
    </xf>
    <xf numFmtId="0" fontId="11" fillId="8" borderId="15" xfId="10" applyFont="1" applyFill="1" applyBorder="1" applyAlignment="1">
      <alignment horizontal="center" vertical="center"/>
    </xf>
    <xf numFmtId="0" fontId="11" fillId="8" borderId="16" xfId="10" applyFont="1" applyFill="1" applyBorder="1" applyAlignment="1">
      <alignment horizontal="center" vertical="center"/>
    </xf>
    <xf numFmtId="0" fontId="11" fillId="8" borderId="14" xfId="0" applyFont="1" applyFill="1" applyBorder="1" applyAlignment="1">
      <alignment horizontal="center" vertical="center" wrapText="1"/>
    </xf>
    <xf numFmtId="0" fontId="11" fillId="8" borderId="15" xfId="0" applyFont="1" applyFill="1" applyBorder="1" applyAlignment="1">
      <alignment horizontal="center" vertical="center" wrapText="1"/>
    </xf>
    <xf numFmtId="0" fontId="11" fillId="8" borderId="16" xfId="0" applyFont="1" applyFill="1" applyBorder="1" applyAlignment="1">
      <alignment horizontal="center" vertical="center" wrapText="1"/>
    </xf>
    <xf numFmtId="0" fontId="12" fillId="0" borderId="17" xfId="0" applyFont="1" applyBorder="1" applyAlignment="1">
      <alignment horizontal="left"/>
    </xf>
    <xf numFmtId="0" fontId="12" fillId="0" borderId="2" xfId="0" applyFont="1" applyBorder="1" applyAlignment="1">
      <alignment horizontal="left"/>
    </xf>
    <xf numFmtId="0" fontId="12" fillId="0" borderId="18" xfId="0" applyFont="1" applyBorder="1" applyAlignment="1">
      <alignment horizontal="left"/>
    </xf>
    <xf numFmtId="0" fontId="12" fillId="0" borderId="12" xfId="0" applyFont="1" applyBorder="1" applyAlignment="1">
      <alignment horizontal="left"/>
    </xf>
    <xf numFmtId="0" fontId="48" fillId="9" borderId="1" xfId="0" applyFont="1" applyFill="1" applyBorder="1" applyAlignment="1">
      <alignment horizontal="center"/>
    </xf>
    <xf numFmtId="0" fontId="48" fillId="9" borderId="5" xfId="0" applyFont="1" applyFill="1" applyBorder="1" applyAlignment="1">
      <alignment horizontal="center"/>
    </xf>
    <xf numFmtId="0" fontId="48" fillId="9" borderId="6" xfId="0" applyFont="1" applyFill="1" applyBorder="1" applyAlignment="1">
      <alignment horizontal="center"/>
    </xf>
    <xf numFmtId="0" fontId="48" fillId="9" borderId="23" xfId="4" applyFont="1" applyFill="1" applyBorder="1" applyAlignment="1">
      <alignment horizontal="center" vertical="center"/>
    </xf>
    <xf numFmtId="0" fontId="48" fillId="9" borderId="24" xfId="4" applyFont="1" applyFill="1" applyBorder="1" applyAlignment="1">
      <alignment horizontal="center" vertical="center"/>
    </xf>
    <xf numFmtId="0" fontId="11" fillId="0" borderId="7" xfId="0" applyFont="1" applyFill="1" applyBorder="1" applyAlignment="1">
      <alignment horizontal="center" vertical="center"/>
    </xf>
    <xf numFmtId="0" fontId="11" fillId="0" borderId="3" xfId="0" applyFont="1" applyFill="1" applyBorder="1" applyAlignment="1">
      <alignment horizontal="center" vertical="center"/>
    </xf>
    <xf numFmtId="0" fontId="14" fillId="0" borderId="0" xfId="0" applyFont="1" applyFill="1" applyBorder="1" applyAlignment="1">
      <alignment horizontal="left"/>
    </xf>
    <xf numFmtId="0" fontId="12" fillId="0" borderId="2" xfId="0" applyFont="1" applyFill="1" applyBorder="1" applyAlignment="1">
      <alignment horizontal="left" vertical="center" wrapText="1"/>
    </xf>
    <xf numFmtId="0" fontId="12" fillId="5" borderId="2" xfId="0" applyFont="1" applyFill="1" applyBorder="1" applyAlignment="1">
      <alignment horizontal="center" vertical="center"/>
    </xf>
    <xf numFmtId="0" fontId="12" fillId="0" borderId="2" xfId="0" applyFont="1" applyFill="1" applyBorder="1" applyAlignment="1">
      <alignment horizontal="left" vertical="center"/>
    </xf>
    <xf numFmtId="0" fontId="14" fillId="0" borderId="0" xfId="0" applyFont="1" applyFill="1" applyBorder="1" applyAlignment="1">
      <alignment horizontal="left" vertical="center"/>
    </xf>
    <xf numFmtId="0" fontId="15" fillId="7" borderId="2" xfId="4" applyNumberFormat="1" applyFont="1" applyFill="1" applyBorder="1" applyAlignment="1">
      <alignment horizontal="center"/>
    </xf>
    <xf numFmtId="0" fontId="14" fillId="0" borderId="2" xfId="4" applyFont="1" applyBorder="1" applyAlignment="1">
      <alignment horizontal="left"/>
    </xf>
    <xf numFmtId="0" fontId="15" fillId="4" borderId="7" xfId="4" applyFont="1" applyFill="1" applyBorder="1" applyAlignment="1">
      <alignment horizontal="center" vertical="center" wrapText="1"/>
    </xf>
    <xf numFmtId="0" fontId="15" fillId="4" borderId="3" xfId="4" applyFont="1" applyFill="1" applyBorder="1" applyAlignment="1">
      <alignment horizontal="center" vertical="center" wrapText="1"/>
    </xf>
    <xf numFmtId="0" fontId="13" fillId="0" borderId="0" xfId="0" applyFont="1" applyFill="1" applyBorder="1" applyAlignment="1">
      <alignment horizontal="left" vertical="center"/>
    </xf>
    <xf numFmtId="0" fontId="9" fillId="8" borderId="1" xfId="0" applyFont="1" applyFill="1" applyBorder="1" applyAlignment="1">
      <alignment horizontal="left" vertical="center"/>
    </xf>
    <xf numFmtId="0" fontId="9" fillId="8" borderId="5" xfId="0" applyFont="1" applyFill="1" applyBorder="1" applyAlignment="1">
      <alignment horizontal="left" vertical="center"/>
    </xf>
    <xf numFmtId="0" fontId="9" fillId="8" borderId="6" xfId="0" applyFont="1" applyFill="1" applyBorder="1" applyAlignment="1">
      <alignment horizontal="left" vertical="center"/>
    </xf>
    <xf numFmtId="0" fontId="9" fillId="8" borderId="2" xfId="0" applyFont="1" applyFill="1" applyBorder="1" applyAlignment="1">
      <alignment horizontal="left" vertical="center" wrapText="1"/>
    </xf>
    <xf numFmtId="0" fontId="9" fillId="5" borderId="2" xfId="0" applyFont="1" applyFill="1" applyBorder="1" applyAlignment="1">
      <alignment horizontal="center" vertical="center" wrapText="1"/>
    </xf>
    <xf numFmtId="0" fontId="17" fillId="10" borderId="2" xfId="0" applyFont="1" applyFill="1" applyBorder="1" applyAlignment="1">
      <alignment horizontal="center" vertical="center" wrapText="1"/>
    </xf>
    <xf numFmtId="0" fontId="9" fillId="0" borderId="2" xfId="0" applyFont="1" applyFill="1" applyBorder="1" applyAlignment="1">
      <alignment horizontal="left" vertical="center" wrapText="1"/>
    </xf>
    <xf numFmtId="0" fontId="9" fillId="8" borderId="2" xfId="0" applyFont="1" applyFill="1" applyBorder="1" applyAlignment="1">
      <alignment horizontal="center" vertical="center" wrapText="1"/>
    </xf>
    <xf numFmtId="0" fontId="14" fillId="3" borderId="7" xfId="5" applyFont="1" applyFill="1" applyBorder="1" applyAlignment="1">
      <alignment horizontal="left" vertical="center" wrapText="1"/>
    </xf>
    <xf numFmtId="0" fontId="15" fillId="3" borderId="7" xfId="0" applyFont="1" applyFill="1" applyBorder="1" applyAlignment="1">
      <alignment vertical="center"/>
    </xf>
    <xf numFmtId="0" fontId="15" fillId="0" borderId="2" xfId="5" applyFont="1" applyFill="1" applyBorder="1" applyAlignment="1">
      <alignment horizontal="center" vertical="center" wrapText="1"/>
    </xf>
    <xf numFmtId="0" fontId="15" fillId="0" borderId="2" xfId="5" applyFont="1" applyFill="1" applyBorder="1" applyAlignment="1">
      <alignment horizontal="center" vertical="center"/>
    </xf>
    <xf numFmtId="0" fontId="14" fillId="2" borderId="7" xfId="5" applyFont="1" applyFill="1" applyBorder="1" applyAlignment="1">
      <alignment horizontal="left" vertical="center" wrapText="1"/>
    </xf>
    <xf numFmtId="0" fontId="15" fillId="0" borderId="7" xfId="0" applyFont="1" applyBorder="1" applyAlignment="1">
      <alignment horizontal="center" vertical="center" wrapText="1"/>
    </xf>
    <xf numFmtId="0" fontId="15" fillId="0" borderId="3" xfId="0" applyFont="1" applyBorder="1" applyAlignment="1">
      <alignment horizontal="center" vertical="center" wrapText="1"/>
    </xf>
    <xf numFmtId="0" fontId="15" fillId="8" borderId="2" xfId="5" applyFont="1" applyFill="1" applyBorder="1" applyAlignment="1">
      <alignment horizontal="center" vertical="center" wrapText="1"/>
    </xf>
    <xf numFmtId="0" fontId="15" fillId="8" borderId="7" xfId="5" applyNumberFormat="1" applyFont="1" applyFill="1" applyBorder="1" applyAlignment="1">
      <alignment horizontal="center" vertical="center" wrapText="1"/>
    </xf>
    <xf numFmtId="0" fontId="15" fillId="8" borderId="3" xfId="5" applyNumberFormat="1" applyFont="1" applyFill="1" applyBorder="1" applyAlignment="1">
      <alignment horizontal="center" vertical="center" wrapText="1"/>
    </xf>
    <xf numFmtId="3" fontId="15" fillId="8" borderId="7" xfId="5" applyNumberFormat="1" applyFont="1" applyFill="1" applyBorder="1" applyAlignment="1">
      <alignment horizontal="center" vertical="center" wrapText="1"/>
    </xf>
    <xf numFmtId="3" fontId="15" fillId="8" borderId="3" xfId="5" applyNumberFormat="1" applyFont="1" applyFill="1" applyBorder="1" applyAlignment="1">
      <alignment horizontal="center" vertical="center" wrapText="1"/>
    </xf>
    <xf numFmtId="0" fontId="15" fillId="8" borderId="7" xfId="5" applyFont="1" applyFill="1" applyBorder="1" applyAlignment="1">
      <alignment horizontal="center" vertical="center" wrapText="1"/>
    </xf>
    <xf numFmtId="0" fontId="15" fillId="8" borderId="3" xfId="5" applyFont="1" applyFill="1" applyBorder="1" applyAlignment="1">
      <alignment horizontal="center" vertical="center" wrapText="1"/>
    </xf>
    <xf numFmtId="0" fontId="9" fillId="8" borderId="7" xfId="5" applyNumberFormat="1" applyFont="1" applyFill="1" applyBorder="1" applyAlignment="1">
      <alignment horizontal="center" vertical="center" wrapText="1"/>
    </xf>
    <xf numFmtId="0" fontId="9" fillId="8" borderId="3" xfId="5" applyNumberFormat="1" applyFont="1" applyFill="1" applyBorder="1" applyAlignment="1">
      <alignment horizontal="center" vertical="center" wrapText="1"/>
    </xf>
    <xf numFmtId="3" fontId="9" fillId="8" borderId="7" xfId="5" applyNumberFormat="1" applyFont="1" applyFill="1" applyBorder="1" applyAlignment="1">
      <alignment horizontal="center" vertical="center" wrapText="1"/>
    </xf>
    <xf numFmtId="3" fontId="9" fillId="8" borderId="3" xfId="5" applyNumberFormat="1" applyFont="1" applyFill="1" applyBorder="1" applyAlignment="1">
      <alignment horizontal="center" vertical="center" wrapText="1"/>
    </xf>
    <xf numFmtId="2" fontId="9" fillId="0" borderId="0" xfId="5" applyNumberFormat="1" applyFont="1" applyFill="1" applyBorder="1" applyAlignment="1">
      <alignment horizontal="center" vertical="center"/>
    </xf>
    <xf numFmtId="0" fontId="9" fillId="8" borderId="7" xfId="5" applyFont="1" applyFill="1" applyBorder="1" applyAlignment="1">
      <alignment horizontal="center" vertical="center" wrapText="1"/>
    </xf>
    <xf numFmtId="0" fontId="9" fillId="8" borderId="3" xfId="5" applyFont="1" applyFill="1" applyBorder="1" applyAlignment="1">
      <alignment horizontal="center" vertical="center" wrapText="1"/>
    </xf>
  </cellXfs>
  <cellStyles count="12">
    <cellStyle name="Comma" xfId="1" builtinId="3"/>
    <cellStyle name="Comma 2" xfId="11"/>
    <cellStyle name="Hyperlink" xfId="2" builtinId="8"/>
    <cellStyle name="Normal" xfId="0" builtinId="0"/>
    <cellStyle name="Normal 2" xfId="3"/>
    <cellStyle name="Normal 2 2" xfId="10"/>
    <cellStyle name="Normal 2 3" xfId="8"/>
    <cellStyle name="Normal 3" xfId="4"/>
    <cellStyle name="Normal 4" xfId="9"/>
    <cellStyle name="Normal_BENOMYL" xfId="5"/>
    <cellStyle name="Normal_BENOMYL 2" xfId="6"/>
    <cellStyle name="Percent" xfId="7" builtinId="5"/>
  </cellStyles>
  <dxfs count="7">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spPr>
      <a:bodyPr vertOverflow="clip" wrap="square" lIns="18288" tIns="0" rIns="0" bIns="0" upright="1"/>
      <a:lstStyle/>
    </a:spDef>
    <a:ln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51"/>
  <sheetViews>
    <sheetView zoomScale="90" zoomScaleNormal="90" workbookViewId="0">
      <selection activeCell="C15" sqref="C15"/>
    </sheetView>
  </sheetViews>
  <sheetFormatPr defaultRowHeight="15.75" x14ac:dyDescent="0.25"/>
  <cols>
    <col min="1" max="1" width="9.140625" style="4"/>
    <col min="2" max="2" width="26.28515625" style="4" customWidth="1"/>
    <col min="3" max="3" width="47.5703125" style="4" customWidth="1"/>
    <col min="4" max="4" width="41.7109375" style="4" bestFit="1" customWidth="1"/>
    <col min="5" max="5" width="24.85546875" style="4" bestFit="1" customWidth="1"/>
    <col min="6" max="6" width="18.7109375" style="4" customWidth="1"/>
    <col min="7" max="7" width="35.85546875" style="4" customWidth="1"/>
    <col min="8" max="8" width="25.42578125" style="4" customWidth="1"/>
    <col min="9" max="15" width="9.140625" style="4"/>
    <col min="16" max="16" width="26.140625" style="4" customWidth="1"/>
    <col min="17" max="16384" width="9.140625" style="4"/>
  </cols>
  <sheetData>
    <row r="1" spans="2:14" ht="18.75" x14ac:dyDescent="0.3">
      <c r="B1" s="5" t="s">
        <v>184</v>
      </c>
    </row>
    <row r="2" spans="2:14" ht="16.5" thickBot="1" x14ac:dyDescent="0.3"/>
    <row r="3" spans="2:14" s="241" customFormat="1" ht="23.25" thickBot="1" x14ac:dyDescent="0.3">
      <c r="B3" s="485" t="s">
        <v>312</v>
      </c>
      <c r="C3" s="486"/>
      <c r="D3" s="245" t="s">
        <v>125</v>
      </c>
    </row>
    <row r="4" spans="2:14" ht="16.5" thickBot="1" x14ac:dyDescent="0.3"/>
    <row r="5" spans="2:14" ht="16.5" customHeight="1" thickBot="1" x14ac:dyDescent="0.3">
      <c r="B5" s="487" t="s">
        <v>103</v>
      </c>
      <c r="C5" s="488"/>
      <c r="D5" s="248" t="s">
        <v>328</v>
      </c>
      <c r="F5" s="243"/>
      <c r="G5" s="242"/>
      <c r="H5" s="244"/>
      <c r="I5" s="242"/>
      <c r="J5" s="242"/>
      <c r="K5" s="242"/>
      <c r="L5" s="242"/>
      <c r="M5" s="242"/>
      <c r="N5" s="242"/>
    </row>
    <row r="6" spans="2:14" ht="16.5" thickBot="1" x14ac:dyDescent="0.3">
      <c r="B6" s="246"/>
      <c r="C6" s="251"/>
      <c r="D6" s="254"/>
    </row>
    <row r="7" spans="2:14" ht="32.25" customHeight="1" thickBot="1" x14ac:dyDescent="0.35">
      <c r="B7" s="489" t="s">
        <v>185</v>
      </c>
      <c r="C7" s="490"/>
      <c r="D7" s="470" t="s">
        <v>319</v>
      </c>
      <c r="E7" s="236"/>
    </row>
    <row r="8" spans="2:14" s="247" customFormat="1" ht="21" thickBot="1" x14ac:dyDescent="0.35">
      <c r="B8" s="252"/>
      <c r="C8" s="249"/>
      <c r="E8" s="250"/>
    </row>
    <row r="9" spans="2:14" x14ac:dyDescent="0.25">
      <c r="B9" s="492" t="s">
        <v>190</v>
      </c>
      <c r="C9" s="493"/>
      <c r="D9" s="494"/>
    </row>
    <row r="10" spans="2:14" s="6" customFormat="1" x14ac:dyDescent="0.25">
      <c r="B10" s="491" t="s">
        <v>189</v>
      </c>
      <c r="C10" s="267" t="s">
        <v>186</v>
      </c>
      <c r="D10" s="272" t="s">
        <v>326</v>
      </c>
    </row>
    <row r="11" spans="2:14" s="6" customFormat="1" x14ac:dyDescent="0.25">
      <c r="B11" s="491"/>
      <c r="C11" s="267" t="s">
        <v>188</v>
      </c>
      <c r="D11" s="272" t="s">
        <v>327</v>
      </c>
    </row>
    <row r="12" spans="2:14" s="6" customFormat="1" x14ac:dyDescent="0.25">
      <c r="B12" s="475"/>
      <c r="C12" s="476"/>
      <c r="D12" s="477"/>
    </row>
    <row r="13" spans="2:14" x14ac:dyDescent="0.25">
      <c r="B13" s="474" t="s">
        <v>191</v>
      </c>
      <c r="C13" s="267" t="s">
        <v>186</v>
      </c>
      <c r="D13" s="258" t="s">
        <v>323</v>
      </c>
    </row>
    <row r="14" spans="2:14" s="254" customFormat="1" x14ac:dyDescent="0.25">
      <c r="B14" s="474"/>
      <c r="C14" s="267" t="s">
        <v>187</v>
      </c>
      <c r="D14" s="258" t="s">
        <v>315</v>
      </c>
    </row>
    <row r="15" spans="2:14" x14ac:dyDescent="0.25">
      <c r="B15" s="474"/>
      <c r="C15" s="267" t="s">
        <v>192</v>
      </c>
      <c r="D15" s="469" t="s">
        <v>324</v>
      </c>
    </row>
    <row r="16" spans="2:14" s="254" customFormat="1" x14ac:dyDescent="0.25">
      <c r="B16" s="474"/>
      <c r="C16" s="267" t="s">
        <v>193</v>
      </c>
      <c r="D16" s="258" t="s">
        <v>316</v>
      </c>
    </row>
    <row r="17" spans="2:16" x14ac:dyDescent="0.25">
      <c r="B17" s="474"/>
      <c r="C17" s="267" t="s">
        <v>188</v>
      </c>
      <c r="D17" s="258" t="s">
        <v>325</v>
      </c>
    </row>
    <row r="18" spans="2:16" x14ac:dyDescent="0.25">
      <c r="B18" s="478"/>
      <c r="C18" s="479"/>
      <c r="D18" s="480"/>
    </row>
    <row r="19" spans="2:16" x14ac:dyDescent="0.25">
      <c r="B19" s="474" t="s">
        <v>198</v>
      </c>
      <c r="C19" s="267" t="s">
        <v>186</v>
      </c>
      <c r="D19" s="258" t="s">
        <v>320</v>
      </c>
    </row>
    <row r="20" spans="2:16" s="254" customFormat="1" x14ac:dyDescent="0.25">
      <c r="B20" s="474"/>
      <c r="C20" s="267" t="s">
        <v>187</v>
      </c>
      <c r="D20" s="258" t="s">
        <v>317</v>
      </c>
    </row>
    <row r="21" spans="2:16" x14ac:dyDescent="0.25">
      <c r="B21" s="474"/>
      <c r="C21" s="267" t="s">
        <v>192</v>
      </c>
      <c r="D21" s="258" t="s">
        <v>321</v>
      </c>
    </row>
    <row r="22" spans="2:16" ht="16.5" thickBot="1" x14ac:dyDescent="0.3">
      <c r="B22" s="481"/>
      <c r="C22" s="269" t="s">
        <v>188</v>
      </c>
      <c r="D22" s="259" t="s">
        <v>322</v>
      </c>
    </row>
    <row r="23" spans="2:16" s="251" customFormat="1" ht="16.5" thickBot="1" x14ac:dyDescent="0.3">
      <c r="B23" s="263"/>
      <c r="C23" s="264"/>
      <c r="D23" s="260"/>
    </row>
    <row r="24" spans="2:16" x14ac:dyDescent="0.25">
      <c r="B24" s="482" t="s">
        <v>199</v>
      </c>
      <c r="C24" s="483"/>
      <c r="D24" s="484"/>
    </row>
    <row r="25" spans="2:16" x14ac:dyDescent="0.25">
      <c r="B25" s="471" t="s">
        <v>200</v>
      </c>
      <c r="C25" s="266" t="s">
        <v>191</v>
      </c>
      <c r="D25" s="268" t="s">
        <v>314</v>
      </c>
    </row>
    <row r="26" spans="2:16" x14ac:dyDescent="0.25">
      <c r="B26" s="471"/>
      <c r="C26" s="266" t="s">
        <v>198</v>
      </c>
      <c r="D26" s="268" t="s">
        <v>314</v>
      </c>
    </row>
    <row r="27" spans="2:16" ht="16.5" thickBot="1" x14ac:dyDescent="0.3">
      <c r="B27" s="472" t="s">
        <v>201</v>
      </c>
      <c r="C27" s="473"/>
      <c r="D27" s="270">
        <v>11</v>
      </c>
    </row>
    <row r="28" spans="2:16" s="256" customFormat="1" ht="16.5" thickBot="1" x14ac:dyDescent="0.3">
      <c r="B28" s="265"/>
      <c r="C28" s="265"/>
      <c r="D28" s="271"/>
    </row>
    <row r="29" spans="2:16" ht="22.5" customHeight="1" x14ac:dyDescent="0.25">
      <c r="B29" s="495" t="s">
        <v>283</v>
      </c>
      <c r="C29" s="496"/>
      <c r="D29" s="497"/>
      <c r="P29" s="262"/>
    </row>
    <row r="30" spans="2:16" x14ac:dyDescent="0.25">
      <c r="B30" s="498" t="s">
        <v>200</v>
      </c>
      <c r="C30" s="499"/>
      <c r="D30" s="273">
        <v>0.64</v>
      </c>
      <c r="P30" s="256"/>
    </row>
    <row r="31" spans="2:16" ht="16.5" thickBot="1" x14ac:dyDescent="0.3">
      <c r="B31" s="500" t="s">
        <v>201</v>
      </c>
      <c r="C31" s="501"/>
      <c r="D31" s="261">
        <v>0.33</v>
      </c>
      <c r="P31" s="256"/>
    </row>
    <row r="32" spans="2:16" x14ac:dyDescent="0.25">
      <c r="B32" s="251"/>
      <c r="C32" s="251"/>
    </row>
    <row r="33" spans="2:4" x14ac:dyDescent="0.25">
      <c r="B33" s="502" t="s">
        <v>161</v>
      </c>
      <c r="C33" s="503"/>
      <c r="D33" s="504"/>
    </row>
    <row r="34" spans="2:4" x14ac:dyDescent="0.25">
      <c r="B34" s="458" t="s">
        <v>170</v>
      </c>
      <c r="C34" s="458" t="s">
        <v>122</v>
      </c>
      <c r="D34" s="458" t="s">
        <v>162</v>
      </c>
    </row>
    <row r="35" spans="2:4" x14ac:dyDescent="0.25">
      <c r="B35" s="459" t="s">
        <v>163</v>
      </c>
      <c r="C35" s="459" t="s">
        <v>164</v>
      </c>
      <c r="D35" s="459" t="s">
        <v>314</v>
      </c>
    </row>
    <row r="36" spans="2:4" x14ac:dyDescent="0.25">
      <c r="B36" s="459" t="s">
        <v>165</v>
      </c>
      <c r="C36" s="459" t="s">
        <v>166</v>
      </c>
      <c r="D36" s="459" t="s">
        <v>314</v>
      </c>
    </row>
    <row r="37" spans="2:4" x14ac:dyDescent="0.25">
      <c r="B37" s="459" t="s">
        <v>167</v>
      </c>
      <c r="C37" s="459" t="s">
        <v>168</v>
      </c>
      <c r="D37" s="459" t="s">
        <v>314</v>
      </c>
    </row>
    <row r="38" spans="2:4" ht="16.5" thickBot="1" x14ac:dyDescent="0.3">
      <c r="B38" s="254"/>
      <c r="C38" s="254"/>
      <c r="D38" s="254"/>
    </row>
    <row r="39" spans="2:4" x14ac:dyDescent="0.25">
      <c r="B39" s="505" t="s">
        <v>194</v>
      </c>
      <c r="C39" s="506"/>
      <c r="D39" s="254"/>
    </row>
    <row r="40" spans="2:4" x14ac:dyDescent="0.25">
      <c r="B40" s="460" t="s">
        <v>195</v>
      </c>
      <c r="C40" s="461" t="s">
        <v>196</v>
      </c>
      <c r="D40" s="254"/>
    </row>
    <row r="41" spans="2:4" x14ac:dyDescent="0.25">
      <c r="B41" s="462" t="s">
        <v>315</v>
      </c>
      <c r="C41" s="463" t="s">
        <v>316</v>
      </c>
      <c r="D41" s="254"/>
    </row>
    <row r="42" spans="2:4" x14ac:dyDescent="0.25">
      <c r="B42" s="462" t="s">
        <v>317</v>
      </c>
      <c r="C42" s="463" t="s">
        <v>318</v>
      </c>
      <c r="D42" s="254"/>
    </row>
    <row r="43" spans="2:4" x14ac:dyDescent="0.25">
      <c r="B43" s="462"/>
      <c r="C43" s="463"/>
      <c r="D43" s="254"/>
    </row>
    <row r="44" spans="2:4" x14ac:dyDescent="0.25">
      <c r="B44" s="464"/>
      <c r="C44" s="463"/>
      <c r="D44" s="254"/>
    </row>
    <row r="45" spans="2:4" ht="16.5" thickBot="1" x14ac:dyDescent="0.3">
      <c r="B45" s="465"/>
      <c r="C45" s="466"/>
      <c r="D45" s="254"/>
    </row>
    <row r="46" spans="2:4" ht="16.5" thickBot="1" x14ac:dyDescent="0.3">
      <c r="B46" s="254"/>
      <c r="C46" s="254"/>
      <c r="D46" s="254"/>
    </row>
    <row r="47" spans="2:4" x14ac:dyDescent="0.25">
      <c r="B47" s="467" t="s">
        <v>197</v>
      </c>
      <c r="C47" s="254"/>
      <c r="D47" s="254"/>
    </row>
    <row r="48" spans="2:4" x14ac:dyDescent="0.25">
      <c r="B48" s="468" t="s">
        <v>319</v>
      </c>
      <c r="C48" s="254"/>
      <c r="D48" s="254"/>
    </row>
    <row r="49" spans="2:5" x14ac:dyDescent="0.25">
      <c r="B49" s="468" t="s">
        <v>319</v>
      </c>
      <c r="C49" s="254"/>
      <c r="D49" s="254"/>
    </row>
    <row r="50" spans="2:5" x14ac:dyDescent="0.25">
      <c r="B50" s="468" t="s">
        <v>319</v>
      </c>
      <c r="C50" s="254"/>
      <c r="D50" s="254"/>
    </row>
    <row r="51" spans="2:5" x14ac:dyDescent="0.25">
      <c r="C51" s="9"/>
      <c r="D51" s="9"/>
      <c r="E51" s="9"/>
    </row>
  </sheetData>
  <dataConsolidate/>
  <mergeCells count="17">
    <mergeCell ref="B29:D29"/>
    <mergeCell ref="B30:C30"/>
    <mergeCell ref="B31:C31"/>
    <mergeCell ref="B33:D33"/>
    <mergeCell ref="B39:C39"/>
    <mergeCell ref="B3:C3"/>
    <mergeCell ref="B5:C5"/>
    <mergeCell ref="B7:C7"/>
    <mergeCell ref="B10:B11"/>
    <mergeCell ref="B9:D9"/>
    <mergeCell ref="B25:B26"/>
    <mergeCell ref="B27:C27"/>
    <mergeCell ref="B13:B17"/>
    <mergeCell ref="B12:D12"/>
    <mergeCell ref="B18:D18"/>
    <mergeCell ref="B19:B22"/>
    <mergeCell ref="B24:D24"/>
  </mergeCells>
  <dataValidations count="6">
    <dataValidation type="list" allowBlank="1" showInputMessage="1" showErrorMessage="1" sqref="D25:D26">
      <formula1>$D$35:$D$37</formula1>
    </dataValidation>
    <dataValidation type="list" allowBlank="1" showInputMessage="1" showErrorMessage="1" sqref="C7:C8">
      <formula1>$B$48:$B$50</formula1>
    </dataValidation>
    <dataValidation allowBlank="1" showInputMessage="1" showErrorMessage="1" promptTitle="Absorption" prompt="If POD source is route-specific, enter &quot;1&quot;" sqref="D15"/>
    <dataValidation type="list" allowBlank="1" showInputMessage="1" showErrorMessage="1" sqref="D20 D14">
      <formula1>$C$42:$C$43</formula1>
    </dataValidation>
    <dataValidation type="list" allowBlank="1" showInputMessage="1" showErrorMessage="1" sqref="D16">
      <formula1>$D$42:$D$46</formula1>
    </dataValidation>
    <dataValidation type="list" allowBlank="1" showInputMessage="1" showErrorMessage="1" sqref="D7">
      <formula1>$C$49:$C$51</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64"/>
  <sheetViews>
    <sheetView tabSelected="1" topLeftCell="A25" zoomScale="80" zoomScaleNormal="80" workbookViewId="0">
      <selection activeCell="C160" sqref="C160"/>
    </sheetView>
  </sheetViews>
  <sheetFormatPr defaultRowHeight="15.75" x14ac:dyDescent="0.25"/>
  <cols>
    <col min="1" max="1" width="33.5703125" style="4" customWidth="1"/>
    <col min="2" max="2" width="21" style="45" customWidth="1"/>
    <col min="3" max="3" width="24.140625" style="4" customWidth="1"/>
    <col min="4" max="4" width="16.140625" style="4" customWidth="1"/>
    <col min="5" max="5" width="23.140625" style="4" customWidth="1"/>
    <col min="6" max="6" width="21.28515625" style="4" customWidth="1"/>
    <col min="7" max="7" width="16.5703125" style="4" customWidth="1"/>
    <col min="8" max="8" width="19.140625" style="4" customWidth="1"/>
    <col min="9" max="9" width="21.85546875" style="4" customWidth="1"/>
    <col min="10" max="10" width="11.42578125" style="4" customWidth="1"/>
    <col min="11" max="11" width="12.42578125" style="4" customWidth="1"/>
    <col min="12" max="12" width="11.5703125" style="21" customWidth="1"/>
    <col min="13" max="13" width="14" style="19" customWidth="1"/>
    <col min="14" max="18" width="12.42578125" style="19" customWidth="1"/>
    <col min="19" max="19" width="13.42578125" style="19" customWidth="1"/>
    <col min="20" max="20" width="14.7109375" style="19" customWidth="1"/>
    <col min="21" max="21" width="12.42578125" style="19" customWidth="1"/>
    <col min="22" max="22" width="10.7109375" style="20" customWidth="1"/>
    <col min="23" max="23" width="11.42578125" style="4" customWidth="1"/>
    <col min="24" max="16384" width="9.140625" style="4"/>
  </cols>
  <sheetData>
    <row r="1" spans="1:22" s="254" customFormat="1" ht="18.75" x14ac:dyDescent="0.3">
      <c r="A1" s="277" t="s">
        <v>102</v>
      </c>
      <c r="B1" s="48"/>
      <c r="C1" s="48"/>
      <c r="E1" s="276" t="s">
        <v>202</v>
      </c>
      <c r="F1" s="276"/>
      <c r="L1" s="21"/>
      <c r="M1" s="19"/>
      <c r="N1" s="19"/>
      <c r="O1" s="19"/>
      <c r="P1" s="19"/>
      <c r="Q1" s="19"/>
      <c r="R1" s="19"/>
      <c r="S1" s="19"/>
      <c r="T1" s="19"/>
      <c r="U1" s="19"/>
      <c r="V1" s="20"/>
    </row>
    <row r="2" spans="1:22" s="6" customFormat="1" ht="18.75" x14ac:dyDescent="0.25">
      <c r="A2" s="416" t="s">
        <v>125</v>
      </c>
      <c r="B2" s="417"/>
      <c r="E2" s="275" t="s">
        <v>198</v>
      </c>
      <c r="F2" s="237" t="str">
        <f>'TOX and EXPO INPUTS'!$D$22</f>
        <v>KEY_Inhalation_LOC</v>
      </c>
      <c r="H2" s="8"/>
      <c r="I2" s="9"/>
    </row>
    <row r="3" spans="1:22" s="6" customFormat="1" ht="18.75" x14ac:dyDescent="0.25">
      <c r="A3" s="418" t="s">
        <v>127</v>
      </c>
      <c r="B3" s="419"/>
      <c r="I3" s="10"/>
      <c r="J3" s="253"/>
      <c r="K3" s="253"/>
      <c r="L3" s="253"/>
    </row>
    <row r="4" spans="1:22" s="6" customFormat="1" ht="18.75" x14ac:dyDescent="0.25">
      <c r="A4" s="169"/>
      <c r="B4" s="256"/>
      <c r="I4" s="10"/>
      <c r="J4" s="282"/>
      <c r="K4" s="283"/>
      <c r="L4" s="49"/>
    </row>
    <row r="5" spans="1:22" s="6" customFormat="1" ht="18.75" x14ac:dyDescent="0.25">
      <c r="A5" s="274"/>
      <c r="B5" s="255"/>
      <c r="E5" s="13"/>
      <c r="F5" s="13"/>
      <c r="G5" s="9"/>
      <c r="I5" s="10"/>
      <c r="J5" s="282"/>
      <c r="K5" s="284"/>
      <c r="L5" s="49"/>
    </row>
    <row r="6" spans="1:22" ht="18.75" x14ac:dyDescent="0.25">
      <c r="A6" s="513" t="s">
        <v>218</v>
      </c>
      <c r="B6" s="513"/>
      <c r="C6" s="513"/>
      <c r="D6" s="513"/>
      <c r="E6" s="9"/>
      <c r="F6" s="13"/>
      <c r="J6" s="282"/>
      <c r="K6" s="283"/>
      <c r="L6" s="49"/>
      <c r="M6" s="18"/>
      <c r="N6" s="18"/>
      <c r="O6" s="18"/>
      <c r="P6" s="18"/>
      <c r="Q6" s="18"/>
    </row>
    <row r="7" spans="1:22" ht="18.75" x14ac:dyDescent="0.25">
      <c r="A7" s="512" t="s">
        <v>118</v>
      </c>
      <c r="B7" s="512"/>
      <c r="C7" s="512"/>
      <c r="D7" s="302">
        <v>0.1</v>
      </c>
      <c r="E7" s="15"/>
      <c r="F7" s="9"/>
      <c r="G7" s="13"/>
      <c r="J7" s="282"/>
      <c r="K7" s="284"/>
      <c r="L7" s="285"/>
      <c r="M7" s="18"/>
      <c r="N7" s="18"/>
      <c r="O7" s="18"/>
      <c r="P7" s="18"/>
      <c r="Q7" s="18"/>
    </row>
    <row r="8" spans="1:22" s="9" customFormat="1" ht="18" customHeight="1" x14ac:dyDescent="0.25">
      <c r="A8" s="510" t="s">
        <v>9</v>
      </c>
      <c r="B8" s="510"/>
      <c r="C8" s="510"/>
      <c r="D8" s="237">
        <v>1</v>
      </c>
      <c r="J8" s="281"/>
      <c r="K8" s="281"/>
      <c r="L8" s="281"/>
    </row>
    <row r="9" spans="1:22" s="9" customFormat="1" ht="20.25" customHeight="1" x14ac:dyDescent="0.25">
      <c r="A9" s="510" t="s">
        <v>121</v>
      </c>
      <c r="B9" s="510"/>
      <c r="C9" s="257" t="s">
        <v>119</v>
      </c>
      <c r="D9" s="387"/>
      <c r="E9" s="239"/>
      <c r="F9" s="239"/>
      <c r="G9" s="239"/>
      <c r="J9" s="282"/>
      <c r="K9" s="283"/>
      <c r="L9" s="49"/>
    </row>
    <row r="10" spans="1:22" s="9" customFormat="1" ht="17.25" customHeight="1" x14ac:dyDescent="0.25">
      <c r="A10" s="510"/>
      <c r="B10" s="510"/>
      <c r="C10" s="257" t="s">
        <v>120</v>
      </c>
      <c r="D10" s="303">
        <v>10</v>
      </c>
      <c r="E10" s="239"/>
      <c r="F10" s="239"/>
      <c r="G10" s="239"/>
      <c r="J10" s="282"/>
      <c r="K10" s="284"/>
      <c r="L10" s="49"/>
    </row>
    <row r="11" spans="1:22" s="9" customFormat="1" ht="26.25" customHeight="1" x14ac:dyDescent="0.25">
      <c r="A11" s="510" t="s">
        <v>212</v>
      </c>
      <c r="B11" s="510"/>
      <c r="C11" s="510"/>
      <c r="D11" s="304"/>
      <c r="E11" s="239"/>
      <c r="F11" s="239"/>
      <c r="G11" s="305" t="s">
        <v>207</v>
      </c>
      <c r="H11" s="301"/>
      <c r="I11" s="301"/>
      <c r="J11" s="282"/>
      <c r="K11" s="284"/>
      <c r="L11" s="49"/>
    </row>
    <row r="12" spans="1:22" s="9" customFormat="1" x14ac:dyDescent="0.25">
      <c r="A12" s="510" t="s">
        <v>213</v>
      </c>
      <c r="B12" s="510"/>
      <c r="C12" s="510"/>
      <c r="D12" s="511">
        <v>3</v>
      </c>
      <c r="E12" s="1"/>
      <c r="F12" s="2"/>
      <c r="G12" s="301">
        <v>1</v>
      </c>
      <c r="H12" s="301" t="s">
        <v>203</v>
      </c>
      <c r="I12" s="301"/>
      <c r="J12" s="281"/>
      <c r="K12" s="281"/>
      <c r="L12" s="281"/>
    </row>
    <row r="13" spans="1:22" s="9" customFormat="1" x14ac:dyDescent="0.25">
      <c r="A13" s="510" t="s">
        <v>214</v>
      </c>
      <c r="B13" s="510"/>
      <c r="C13" s="510"/>
      <c r="D13" s="511"/>
      <c r="E13" s="1"/>
      <c r="F13" s="2"/>
      <c r="G13" s="301">
        <v>2</v>
      </c>
      <c r="H13" s="301" t="s">
        <v>204</v>
      </c>
      <c r="I13" s="301"/>
    </row>
    <row r="14" spans="1:22" s="9" customFormat="1" x14ac:dyDescent="0.25">
      <c r="A14" s="510" t="s">
        <v>215</v>
      </c>
      <c r="B14" s="510"/>
      <c r="C14" s="510"/>
      <c r="D14" s="511"/>
      <c r="E14" s="1"/>
      <c r="F14" s="2"/>
      <c r="G14" s="301">
        <v>3</v>
      </c>
      <c r="H14" s="301" t="s">
        <v>205</v>
      </c>
      <c r="I14" s="301"/>
    </row>
    <row r="15" spans="1:22" ht="18.75" x14ac:dyDescent="0.25">
      <c r="A15" s="510" t="s">
        <v>216</v>
      </c>
      <c r="B15" s="510"/>
      <c r="C15" s="510"/>
      <c r="D15" s="511"/>
      <c r="G15" s="301">
        <v>4</v>
      </c>
      <c r="H15" s="301" t="s">
        <v>206</v>
      </c>
      <c r="I15" s="301"/>
      <c r="J15" s="11"/>
      <c r="K15" s="17"/>
      <c r="L15" s="12"/>
      <c r="M15" s="18"/>
      <c r="N15" s="18"/>
      <c r="O15" s="18"/>
      <c r="P15" s="18"/>
      <c r="Q15" s="18"/>
    </row>
    <row r="16" spans="1:22" s="9" customFormat="1" x14ac:dyDescent="0.25">
      <c r="J16" s="11"/>
      <c r="K16" s="14"/>
      <c r="L16" s="12"/>
    </row>
    <row r="17" spans="1:22" s="9" customFormat="1" ht="18.75" x14ac:dyDescent="0.3">
      <c r="A17" s="509" t="s">
        <v>217</v>
      </c>
      <c r="B17" s="509"/>
      <c r="C17" s="509"/>
      <c r="D17" s="509"/>
      <c r="E17" s="509"/>
      <c r="F17" s="509"/>
      <c r="G17" s="278"/>
      <c r="H17" s="278"/>
      <c r="I17" s="278"/>
      <c r="J17" s="11"/>
      <c r="K17" s="14"/>
      <c r="L17" s="12"/>
    </row>
    <row r="18" spans="1:22" s="9" customFormat="1" ht="47.25" x14ac:dyDescent="0.25">
      <c r="A18" s="507" t="str">
        <f>IF($D$12=1, "Use This One", "Don't Use This One")</f>
        <v>Don't Use This One</v>
      </c>
      <c r="B18" s="287" t="s">
        <v>219</v>
      </c>
      <c r="C18" s="287" t="s">
        <v>208</v>
      </c>
      <c r="D18" s="287" t="s">
        <v>220</v>
      </c>
      <c r="E18" s="287" t="s">
        <v>287</v>
      </c>
      <c r="F18" s="287" t="s">
        <v>284</v>
      </c>
      <c r="G18" s="62"/>
      <c r="H18" s="62"/>
      <c r="I18" s="254"/>
    </row>
    <row r="19" spans="1:22" s="9" customFormat="1" x14ac:dyDescent="0.25">
      <c r="A19" s="508"/>
      <c r="B19" s="60">
        <v>28350</v>
      </c>
      <c r="C19" s="22">
        <v>0.25</v>
      </c>
      <c r="D19" s="23">
        <v>2.2000000000000001E-6</v>
      </c>
      <c r="E19" s="22">
        <v>33</v>
      </c>
      <c r="F19" s="23">
        <f>($D$9*$D$7*B19*C19*D19)/E19</f>
        <v>0</v>
      </c>
      <c r="G19" s="62"/>
      <c r="H19" s="62"/>
      <c r="I19" s="254"/>
    </row>
    <row r="20" spans="1:22" s="281" customFormat="1" x14ac:dyDescent="0.25">
      <c r="A20" s="57"/>
      <c r="B20" s="57"/>
      <c r="C20" s="31"/>
      <c r="D20" s="280"/>
      <c r="E20" s="31"/>
      <c r="F20" s="31"/>
      <c r="G20" s="57"/>
      <c r="H20" s="57"/>
      <c r="I20" s="253"/>
    </row>
    <row r="21" spans="1:22" s="9" customFormat="1" ht="63" x14ac:dyDescent="0.25">
      <c r="A21" s="507" t="str">
        <f>IF($D$12=2, "Use This One", "Don't Use This One")</f>
        <v>Don't Use This One</v>
      </c>
      <c r="B21" s="287" t="s">
        <v>219</v>
      </c>
      <c r="C21" s="287" t="s">
        <v>209</v>
      </c>
      <c r="D21" s="287" t="s">
        <v>210</v>
      </c>
      <c r="E21" s="287" t="s">
        <v>222</v>
      </c>
      <c r="F21" s="287" t="s">
        <v>211</v>
      </c>
      <c r="G21" s="287" t="s">
        <v>10</v>
      </c>
      <c r="H21" s="287" t="s">
        <v>287</v>
      </c>
      <c r="I21" s="287" t="s">
        <v>284</v>
      </c>
    </row>
    <row r="22" spans="1:22" s="9" customFormat="1" x14ac:dyDescent="0.25">
      <c r="A22" s="508"/>
      <c r="B22" s="60">
        <v>28350</v>
      </c>
      <c r="C22" s="52"/>
      <c r="D22" s="60">
        <v>1.5</v>
      </c>
      <c r="E22" s="60">
        <v>3.5000000000000003E-2</v>
      </c>
      <c r="F22" s="420" t="e">
        <f>(C22*D22*E22)/$D$9</f>
        <v>#DIV/0!</v>
      </c>
      <c r="G22" s="23">
        <v>2.2000000000000001E-6</v>
      </c>
      <c r="H22" s="22">
        <v>33</v>
      </c>
      <c r="I22" s="23" t="e">
        <f>($D$9*$D$7*B22*F22*G22)/H22</f>
        <v>#DIV/0!</v>
      </c>
    </row>
    <row r="23" spans="1:22" s="9" customFormat="1" x14ac:dyDescent="0.25">
      <c r="A23" s="306"/>
      <c r="B23" s="306"/>
      <c r="C23" s="62"/>
      <c r="D23" s="62"/>
      <c r="E23" s="62"/>
      <c r="F23" s="62"/>
      <c r="G23" s="62"/>
      <c r="H23" s="306"/>
      <c r="I23" s="254"/>
    </row>
    <row r="24" spans="1:22" s="9" customFormat="1" ht="47.25" x14ac:dyDescent="0.25">
      <c r="A24" s="507" t="str">
        <f>IF($D$12=3, "Use This One", "Don't Use This One")</f>
        <v>Use This One</v>
      </c>
      <c r="B24" s="287" t="s">
        <v>221</v>
      </c>
      <c r="C24" s="287" t="s">
        <v>208</v>
      </c>
      <c r="D24" s="287" t="s">
        <v>220</v>
      </c>
      <c r="E24" s="287" t="s">
        <v>287</v>
      </c>
      <c r="F24" s="287" t="s">
        <v>284</v>
      </c>
      <c r="G24" s="62"/>
      <c r="H24" s="62"/>
      <c r="I24" s="254"/>
    </row>
    <row r="25" spans="1:22" s="9" customFormat="1" x14ac:dyDescent="0.25">
      <c r="A25" s="508"/>
      <c r="B25" s="60">
        <f>1000</f>
        <v>1000</v>
      </c>
      <c r="C25" s="22">
        <v>0.25</v>
      </c>
      <c r="D25" s="23">
        <v>2.2000000000000001E-6</v>
      </c>
      <c r="E25" s="22">
        <v>33</v>
      </c>
      <c r="F25" s="23">
        <f>($D$10*$D$7*B25*C25*D25)/E25</f>
        <v>1.6666666666666667E-5</v>
      </c>
      <c r="G25" s="62"/>
      <c r="H25" s="62"/>
      <c r="I25" s="254"/>
    </row>
    <row r="26" spans="1:22" s="281" customFormat="1" x14ac:dyDescent="0.25">
      <c r="A26" s="57"/>
      <c r="B26" s="57"/>
      <c r="C26" s="31"/>
      <c r="D26" s="280"/>
      <c r="E26" s="31"/>
      <c r="F26" s="31"/>
      <c r="G26" s="57"/>
      <c r="H26" s="57"/>
      <c r="I26" s="253"/>
    </row>
    <row r="27" spans="1:22" s="9" customFormat="1" ht="47.25" x14ac:dyDescent="0.25">
      <c r="A27" s="507" t="str">
        <f>IF($D$12=4, "Use This One", "Don't Use This One")</f>
        <v>Don't Use This One</v>
      </c>
      <c r="B27" s="287" t="s">
        <v>221</v>
      </c>
      <c r="C27" s="287" t="s">
        <v>209</v>
      </c>
      <c r="D27" s="287" t="s">
        <v>210</v>
      </c>
      <c r="E27" s="287" t="s">
        <v>211</v>
      </c>
      <c r="F27" s="287" t="s">
        <v>10</v>
      </c>
      <c r="G27" s="287" t="s">
        <v>287</v>
      </c>
      <c r="H27" s="287" t="s">
        <v>284</v>
      </c>
      <c r="I27" s="254"/>
    </row>
    <row r="28" spans="1:22" s="9" customFormat="1" x14ac:dyDescent="0.25">
      <c r="A28" s="508"/>
      <c r="B28" s="60">
        <f>1000</f>
        <v>1000</v>
      </c>
      <c r="C28" s="52"/>
      <c r="D28" s="60">
        <v>1.5</v>
      </c>
      <c r="E28" s="420">
        <f>(C28*D28)/$D$10</f>
        <v>0</v>
      </c>
      <c r="F28" s="23">
        <v>2.2000000000000001E-6</v>
      </c>
      <c r="G28" s="22">
        <v>33</v>
      </c>
      <c r="H28" s="23">
        <f>($D$9*$D$7*B28*E28*F28)/G28</f>
        <v>0</v>
      </c>
      <c r="I28" s="254"/>
    </row>
    <row r="29" spans="1:22" s="9" customFormat="1" ht="15" x14ac:dyDescent="0.25">
      <c r="A29" s="25"/>
    </row>
    <row r="30" spans="1:22" s="9" customFormat="1" ht="18.75" x14ac:dyDescent="0.3">
      <c r="A30" s="5" t="s">
        <v>223</v>
      </c>
    </row>
    <row r="31" spans="1:22" ht="50.25" x14ac:dyDescent="0.25">
      <c r="A31" s="288" t="s">
        <v>122</v>
      </c>
      <c r="B31" s="287" t="s">
        <v>284</v>
      </c>
      <c r="C31" s="287" t="s">
        <v>225</v>
      </c>
      <c r="D31" s="287" t="s">
        <v>285</v>
      </c>
      <c r="E31" s="289" t="s">
        <v>226</v>
      </c>
      <c r="F31" s="287" t="s">
        <v>227</v>
      </c>
      <c r="G31" s="287" t="s">
        <v>24</v>
      </c>
      <c r="H31" s="287" t="s">
        <v>307</v>
      </c>
      <c r="I31" s="287" t="s">
        <v>308</v>
      </c>
      <c r="J31" s="287" t="s">
        <v>13</v>
      </c>
      <c r="K31" s="290" t="s">
        <v>115</v>
      </c>
      <c r="L31" s="4"/>
      <c r="M31" s="4"/>
      <c r="N31" s="26"/>
      <c r="O31" s="26"/>
      <c r="P31" s="26"/>
      <c r="Q31" s="26"/>
      <c r="R31" s="26"/>
      <c r="S31" s="26"/>
      <c r="T31" s="4"/>
      <c r="U31" s="4"/>
      <c r="V31" s="4"/>
    </row>
    <row r="32" spans="1:22" ht="18.75" x14ac:dyDescent="0.25">
      <c r="A32" s="27" t="s">
        <v>114</v>
      </c>
      <c r="B32" s="421">
        <f>F25</f>
        <v>1.6666666666666667E-5</v>
      </c>
      <c r="C32" s="28">
        <v>454000</v>
      </c>
      <c r="D32" s="29">
        <f>B32*C32</f>
        <v>7.5666666666666673</v>
      </c>
      <c r="E32" s="24">
        <v>0.45</v>
      </c>
      <c r="F32" s="24">
        <v>2</v>
      </c>
      <c r="G32" s="29">
        <f>(((D32*'TOX and EXPO INPUTS'!$D$30)/E32)*(1-(EXP(-(F32*E32)))))</f>
        <v>6.3861896172507979</v>
      </c>
      <c r="H32" s="24" t="e">
        <f>(G32*'TOX and EXPO INPUTS'!$D$21)/'TOX and EXPO INPUTS'!$D$26</f>
        <v>#VALUE!</v>
      </c>
      <c r="I32" s="24" t="e">
        <f>VALUE(TEXT(H32,"0.0E+00"))</f>
        <v>#VALUE!</v>
      </c>
      <c r="J32" s="24" t="e">
        <f>'TOX and EXPO INPUTS'!$D$19/H32</f>
        <v>#VALUE!</v>
      </c>
      <c r="K32" s="30" t="e">
        <f>VALUE(TEXT(J32,"0.0E+00"))</f>
        <v>#VALUE!</v>
      </c>
      <c r="L32" s="4"/>
      <c r="M32" s="4"/>
      <c r="N32" s="26"/>
      <c r="O32" s="26"/>
      <c r="P32" s="26"/>
      <c r="Q32" s="26"/>
      <c r="R32" s="26"/>
      <c r="S32" s="26"/>
      <c r="T32" s="4"/>
      <c r="U32" s="4"/>
      <c r="V32" s="4"/>
    </row>
    <row r="33" spans="1:22" x14ac:dyDescent="0.25">
      <c r="A33" s="7" t="s">
        <v>23</v>
      </c>
      <c r="B33" s="421">
        <f>F25</f>
        <v>1.6666666666666667E-5</v>
      </c>
      <c r="C33" s="28">
        <v>454000</v>
      </c>
      <c r="D33" s="29">
        <f>B33*C33</f>
        <v>7.5666666666666673</v>
      </c>
      <c r="E33" s="24">
        <v>0.45</v>
      </c>
      <c r="F33" s="24">
        <v>2</v>
      </c>
      <c r="G33" s="29">
        <f>(((D33*'TOX and EXPO INPUTS'!$D$31)/E33)*(1-(EXP(-(F33*E33)))))</f>
        <v>3.2928790213949424</v>
      </c>
      <c r="H33" s="24" t="e">
        <f>(G33*'TOX and EXPO INPUTS'!$D$21)/'TOX and EXPO INPUTS'!$D$27</f>
        <v>#VALUE!</v>
      </c>
      <c r="I33" s="24" t="e">
        <f>VALUE(TEXT(H33,"0.0E+00"))</f>
        <v>#VALUE!</v>
      </c>
      <c r="J33" s="24" t="e">
        <f>'TOX and EXPO INPUTS'!$D$19/H33</f>
        <v>#VALUE!</v>
      </c>
      <c r="K33" s="30" t="e">
        <f>VALUE(TEXT(J33,"0.0E+00"))</f>
        <v>#VALUE!</v>
      </c>
      <c r="L33" s="4"/>
      <c r="M33" s="4"/>
    </row>
    <row r="34" spans="1:22" s="6" customFormat="1" x14ac:dyDescent="0.25">
      <c r="A34" s="31"/>
      <c r="B34" s="32"/>
      <c r="C34" s="31"/>
      <c r="D34" s="33"/>
      <c r="E34" s="34"/>
      <c r="F34" s="31"/>
      <c r="G34" s="31"/>
      <c r="H34" s="34"/>
      <c r="I34" s="31"/>
      <c r="J34" s="31"/>
      <c r="K34" s="31"/>
      <c r="L34" s="35"/>
      <c r="N34" s="36"/>
      <c r="O34" s="36"/>
      <c r="P34" s="36"/>
      <c r="Q34" s="36"/>
      <c r="R34" s="36"/>
      <c r="S34" s="36"/>
      <c r="T34" s="36"/>
      <c r="U34" s="36"/>
      <c r="V34" s="37"/>
    </row>
    <row r="35" spans="1:22" s="253" customFormat="1" x14ac:dyDescent="0.25">
      <c r="A35" s="31"/>
      <c r="B35" s="32"/>
      <c r="C35" s="31"/>
      <c r="D35" s="33"/>
      <c r="E35" s="238"/>
      <c r="F35" s="31"/>
      <c r="G35" s="31"/>
      <c r="H35" s="238"/>
      <c r="I35" s="31"/>
      <c r="J35" s="31"/>
      <c r="K35" s="31"/>
      <c r="L35" s="35"/>
      <c r="N35" s="36"/>
      <c r="O35" s="36"/>
      <c r="P35" s="36"/>
      <c r="Q35" s="36"/>
      <c r="R35" s="36"/>
      <c r="S35" s="36"/>
      <c r="T35" s="36"/>
      <c r="U35" s="36"/>
      <c r="V35" s="37"/>
    </row>
    <row r="36" spans="1:22" s="253" customFormat="1" ht="18.75" x14ac:dyDescent="0.3">
      <c r="A36" s="5" t="s">
        <v>224</v>
      </c>
      <c r="B36" s="32"/>
      <c r="C36" s="31"/>
      <c r="D36" s="33"/>
      <c r="E36" s="238"/>
      <c r="F36" s="31"/>
      <c r="G36" s="31"/>
      <c r="H36" s="238"/>
      <c r="I36" s="31"/>
      <c r="J36" s="31"/>
      <c r="K36" s="31"/>
      <c r="L36" s="35"/>
      <c r="N36" s="36"/>
      <c r="O36" s="36"/>
      <c r="P36" s="36"/>
      <c r="Q36" s="36"/>
      <c r="R36" s="36"/>
      <c r="S36" s="36"/>
      <c r="T36" s="36"/>
      <c r="U36" s="36"/>
      <c r="V36" s="37"/>
    </row>
    <row r="37" spans="1:22" s="6" customFormat="1" x14ac:dyDescent="0.25">
      <c r="A37" s="297" t="s">
        <v>160</v>
      </c>
      <c r="B37" s="297"/>
      <c r="C37" s="298"/>
      <c r="D37" s="298"/>
      <c r="E37" s="298"/>
      <c r="F37" s="298"/>
      <c r="G37" s="298"/>
      <c r="H37" s="291"/>
      <c r="I37" s="31"/>
      <c r="J37" s="31"/>
      <c r="K37" s="31"/>
      <c r="L37" s="35"/>
      <c r="N37" s="36"/>
      <c r="O37" s="36"/>
      <c r="P37" s="36"/>
      <c r="Q37" s="36"/>
      <c r="R37" s="36"/>
      <c r="S37" s="36"/>
      <c r="T37" s="36"/>
      <c r="U37" s="36"/>
      <c r="V37" s="37"/>
    </row>
    <row r="38" spans="1:22" s="39" customFormat="1" ht="33" customHeight="1" x14ac:dyDescent="0.25">
      <c r="A38" s="299" t="s">
        <v>149</v>
      </c>
      <c r="B38" s="299" t="s">
        <v>229</v>
      </c>
      <c r="C38" s="287" t="s">
        <v>284</v>
      </c>
      <c r="D38" s="287" t="s">
        <v>225</v>
      </c>
      <c r="E38" s="287" t="s">
        <v>285</v>
      </c>
      <c r="F38" s="289" t="s">
        <v>226</v>
      </c>
      <c r="G38" s="289" t="s">
        <v>228</v>
      </c>
      <c r="H38" s="38"/>
    </row>
    <row r="39" spans="1:22" s="39" customFormat="1" x14ac:dyDescent="0.25">
      <c r="A39" s="292">
        <v>0</v>
      </c>
      <c r="B39" s="293">
        <f>A39/60</f>
        <v>0</v>
      </c>
      <c r="C39" s="422">
        <f>F25</f>
        <v>1.6666666666666667E-5</v>
      </c>
      <c r="D39" s="28">
        <v>454000</v>
      </c>
      <c r="E39" s="294">
        <f>C39*D39</f>
        <v>7.5666666666666673</v>
      </c>
      <c r="F39" s="295">
        <v>1.26</v>
      </c>
      <c r="G39" s="296">
        <f t="shared" ref="G39:G70" si="0">E39*EXP(-F39*B39)</f>
        <v>7.5666666666666673</v>
      </c>
      <c r="H39" s="44"/>
    </row>
    <row r="40" spans="1:22" s="39" customFormat="1" hidden="1" x14ac:dyDescent="0.25">
      <c r="A40" s="40">
        <v>1</v>
      </c>
      <c r="B40" s="41">
        <f t="shared" ref="B40:B103" si="1">A40/60</f>
        <v>1.6666666666666666E-2</v>
      </c>
      <c r="C40" s="300"/>
      <c r="D40" s="28">
        <v>454000</v>
      </c>
      <c r="E40" s="294">
        <f t="shared" ref="E40:E103" si="2">C40*D40</f>
        <v>0</v>
      </c>
      <c r="F40" s="42">
        <v>1.26</v>
      </c>
      <c r="G40" s="43">
        <f t="shared" si="0"/>
        <v>0</v>
      </c>
      <c r="H40" s="44"/>
    </row>
    <row r="41" spans="1:22" s="39" customFormat="1" hidden="1" x14ac:dyDescent="0.25">
      <c r="A41" s="40">
        <v>2</v>
      </c>
      <c r="B41" s="41">
        <f t="shared" si="1"/>
        <v>3.3333333333333333E-2</v>
      </c>
      <c r="C41" s="300"/>
      <c r="D41" s="28">
        <v>454000</v>
      </c>
      <c r="E41" s="294">
        <f t="shared" si="2"/>
        <v>0</v>
      </c>
      <c r="F41" s="42">
        <v>1.26</v>
      </c>
      <c r="G41" s="43">
        <f t="shared" si="0"/>
        <v>0</v>
      </c>
      <c r="H41" s="44"/>
    </row>
    <row r="42" spans="1:22" s="39" customFormat="1" hidden="1" x14ac:dyDescent="0.25">
      <c r="A42" s="40">
        <v>3</v>
      </c>
      <c r="B42" s="41">
        <f t="shared" si="1"/>
        <v>0.05</v>
      </c>
      <c r="C42" s="300"/>
      <c r="D42" s="28">
        <v>454000</v>
      </c>
      <c r="E42" s="294">
        <f t="shared" si="2"/>
        <v>0</v>
      </c>
      <c r="F42" s="42">
        <v>1.26</v>
      </c>
      <c r="G42" s="43">
        <f t="shared" si="0"/>
        <v>0</v>
      </c>
      <c r="H42" s="44"/>
    </row>
    <row r="43" spans="1:22" s="39" customFormat="1" hidden="1" x14ac:dyDescent="0.25">
      <c r="A43" s="40">
        <v>4</v>
      </c>
      <c r="B43" s="41">
        <f t="shared" si="1"/>
        <v>6.6666666666666666E-2</v>
      </c>
      <c r="C43" s="300"/>
      <c r="D43" s="28">
        <v>454000</v>
      </c>
      <c r="E43" s="294">
        <f t="shared" si="2"/>
        <v>0</v>
      </c>
      <c r="F43" s="42">
        <v>1.26</v>
      </c>
      <c r="G43" s="43">
        <f t="shared" si="0"/>
        <v>0</v>
      </c>
      <c r="H43" s="44"/>
    </row>
    <row r="44" spans="1:22" s="39" customFormat="1" x14ac:dyDescent="0.25">
      <c r="A44" s="40">
        <v>5</v>
      </c>
      <c r="B44" s="41">
        <f t="shared" si="1"/>
        <v>8.3333333333333329E-2</v>
      </c>
      <c r="C44" s="423">
        <f>C39</f>
        <v>1.6666666666666667E-5</v>
      </c>
      <c r="D44" s="28">
        <v>454000</v>
      </c>
      <c r="E44" s="294">
        <f t="shared" si="2"/>
        <v>7.5666666666666673</v>
      </c>
      <c r="F44" s="42">
        <v>1.26</v>
      </c>
      <c r="G44" s="43">
        <f t="shared" si="0"/>
        <v>6.8124555542360774</v>
      </c>
      <c r="H44" s="44"/>
    </row>
    <row r="45" spans="1:22" s="39" customFormat="1" hidden="1" x14ac:dyDescent="0.25">
      <c r="A45" s="40">
        <v>6</v>
      </c>
      <c r="B45" s="41">
        <f t="shared" si="1"/>
        <v>0.1</v>
      </c>
      <c r="C45" s="423">
        <f t="shared" ref="C45:C108" si="3">C40</f>
        <v>0</v>
      </c>
      <c r="D45" s="28">
        <v>454000</v>
      </c>
      <c r="E45" s="294">
        <f t="shared" si="2"/>
        <v>0</v>
      </c>
      <c r="F45" s="42">
        <v>1.26</v>
      </c>
      <c r="G45" s="43">
        <f t="shared" si="0"/>
        <v>0</v>
      </c>
      <c r="H45" s="44"/>
    </row>
    <row r="46" spans="1:22" s="39" customFormat="1" hidden="1" x14ac:dyDescent="0.25">
      <c r="A46" s="40">
        <v>7</v>
      </c>
      <c r="B46" s="41">
        <f t="shared" si="1"/>
        <v>0.11666666666666667</v>
      </c>
      <c r="C46" s="423">
        <f t="shared" si="3"/>
        <v>0</v>
      </c>
      <c r="D46" s="28">
        <v>454000</v>
      </c>
      <c r="E46" s="294">
        <f t="shared" si="2"/>
        <v>0</v>
      </c>
      <c r="F46" s="42">
        <v>1.26</v>
      </c>
      <c r="G46" s="43">
        <f t="shared" si="0"/>
        <v>0</v>
      </c>
      <c r="H46" s="44"/>
    </row>
    <row r="47" spans="1:22" s="39" customFormat="1" hidden="1" x14ac:dyDescent="0.25">
      <c r="A47" s="40">
        <v>8</v>
      </c>
      <c r="B47" s="41">
        <f t="shared" si="1"/>
        <v>0.13333333333333333</v>
      </c>
      <c r="C47" s="423">
        <f t="shared" si="3"/>
        <v>0</v>
      </c>
      <c r="D47" s="28">
        <v>454000</v>
      </c>
      <c r="E47" s="294">
        <f t="shared" si="2"/>
        <v>0</v>
      </c>
      <c r="F47" s="42">
        <v>1.26</v>
      </c>
      <c r="G47" s="43">
        <f t="shared" si="0"/>
        <v>0</v>
      </c>
      <c r="H47" s="44"/>
    </row>
    <row r="48" spans="1:22" s="39" customFormat="1" hidden="1" x14ac:dyDescent="0.25">
      <c r="A48" s="40">
        <v>9</v>
      </c>
      <c r="B48" s="41">
        <f t="shared" si="1"/>
        <v>0.15</v>
      </c>
      <c r="C48" s="423">
        <f t="shared" si="3"/>
        <v>0</v>
      </c>
      <c r="D48" s="28">
        <v>454000</v>
      </c>
      <c r="E48" s="294">
        <f t="shared" si="2"/>
        <v>0</v>
      </c>
      <c r="F48" s="42">
        <v>1.26</v>
      </c>
      <c r="G48" s="43">
        <f t="shared" si="0"/>
        <v>0</v>
      </c>
      <c r="H48" s="44"/>
    </row>
    <row r="49" spans="1:8" s="39" customFormat="1" x14ac:dyDescent="0.25">
      <c r="A49" s="40">
        <v>10</v>
      </c>
      <c r="B49" s="41">
        <f t="shared" si="1"/>
        <v>0.16666666666666666</v>
      </c>
      <c r="C49" s="423">
        <f t="shared" si="3"/>
        <v>1.6666666666666667E-5</v>
      </c>
      <c r="D49" s="28">
        <v>454000</v>
      </c>
      <c r="E49" s="294">
        <f t="shared" si="2"/>
        <v>7.5666666666666673</v>
      </c>
      <c r="F49" s="42">
        <v>1.26</v>
      </c>
      <c r="G49" s="43">
        <f t="shared" si="0"/>
        <v>6.1334207945077495</v>
      </c>
      <c r="H49" s="44"/>
    </row>
    <row r="50" spans="1:8" s="39" customFormat="1" hidden="1" x14ac:dyDescent="0.25">
      <c r="A50" s="40">
        <v>11</v>
      </c>
      <c r="B50" s="41">
        <f t="shared" si="1"/>
        <v>0.18333333333333332</v>
      </c>
      <c r="C50" s="423">
        <f t="shared" si="3"/>
        <v>0</v>
      </c>
      <c r="D50" s="28">
        <v>454000</v>
      </c>
      <c r="E50" s="294">
        <f t="shared" si="2"/>
        <v>0</v>
      </c>
      <c r="F50" s="42">
        <v>1.26</v>
      </c>
      <c r="G50" s="43">
        <f t="shared" si="0"/>
        <v>0</v>
      </c>
      <c r="H50" s="44"/>
    </row>
    <row r="51" spans="1:8" s="39" customFormat="1" hidden="1" x14ac:dyDescent="0.25">
      <c r="A51" s="40">
        <v>12</v>
      </c>
      <c r="B51" s="41">
        <f t="shared" si="1"/>
        <v>0.2</v>
      </c>
      <c r="C51" s="423">
        <f t="shared" si="3"/>
        <v>0</v>
      </c>
      <c r="D51" s="28">
        <v>454000</v>
      </c>
      <c r="E51" s="294">
        <f t="shared" si="2"/>
        <v>0</v>
      </c>
      <c r="F51" s="42">
        <v>1.26</v>
      </c>
      <c r="G51" s="43">
        <f t="shared" si="0"/>
        <v>0</v>
      </c>
      <c r="H51" s="44"/>
    </row>
    <row r="52" spans="1:8" s="39" customFormat="1" hidden="1" x14ac:dyDescent="0.25">
      <c r="A52" s="40">
        <v>13</v>
      </c>
      <c r="B52" s="41">
        <f t="shared" si="1"/>
        <v>0.21666666666666667</v>
      </c>
      <c r="C52" s="423">
        <f t="shared" si="3"/>
        <v>0</v>
      </c>
      <c r="D52" s="28">
        <v>454000</v>
      </c>
      <c r="E52" s="294">
        <f t="shared" si="2"/>
        <v>0</v>
      </c>
      <c r="F52" s="42">
        <v>1.26</v>
      </c>
      <c r="G52" s="43">
        <f t="shared" si="0"/>
        <v>0</v>
      </c>
      <c r="H52" s="44"/>
    </row>
    <row r="53" spans="1:8" s="39" customFormat="1" hidden="1" x14ac:dyDescent="0.25">
      <c r="A53" s="40">
        <v>14</v>
      </c>
      <c r="B53" s="41">
        <f t="shared" si="1"/>
        <v>0.23333333333333334</v>
      </c>
      <c r="C53" s="423">
        <f t="shared" si="3"/>
        <v>0</v>
      </c>
      <c r="D53" s="28">
        <v>454000</v>
      </c>
      <c r="E53" s="294">
        <f t="shared" si="2"/>
        <v>0</v>
      </c>
      <c r="F53" s="42">
        <v>1.26</v>
      </c>
      <c r="G53" s="43">
        <f t="shared" si="0"/>
        <v>0</v>
      </c>
      <c r="H53" s="44"/>
    </row>
    <row r="54" spans="1:8" s="39" customFormat="1" x14ac:dyDescent="0.25">
      <c r="A54" s="40">
        <v>15</v>
      </c>
      <c r="B54" s="41">
        <f t="shared" si="1"/>
        <v>0.25</v>
      </c>
      <c r="C54" s="423">
        <f t="shared" si="3"/>
        <v>1.6666666666666667E-5</v>
      </c>
      <c r="D54" s="28">
        <v>454000</v>
      </c>
      <c r="E54" s="294">
        <f t="shared" si="2"/>
        <v>7.5666666666666673</v>
      </c>
      <c r="F54" s="42">
        <v>1.26</v>
      </c>
      <c r="G54" s="43">
        <f t="shared" si="0"/>
        <v>5.5220691486358637</v>
      </c>
      <c r="H54" s="44"/>
    </row>
    <row r="55" spans="1:8" s="39" customFormat="1" hidden="1" x14ac:dyDescent="0.25">
      <c r="A55" s="40">
        <v>16</v>
      </c>
      <c r="B55" s="41">
        <f t="shared" si="1"/>
        <v>0.26666666666666666</v>
      </c>
      <c r="C55" s="423">
        <f t="shared" si="3"/>
        <v>0</v>
      </c>
      <c r="D55" s="28">
        <v>454000</v>
      </c>
      <c r="E55" s="294">
        <f t="shared" si="2"/>
        <v>0</v>
      </c>
      <c r="F55" s="42">
        <v>1.26</v>
      </c>
      <c r="G55" s="43">
        <f t="shared" si="0"/>
        <v>0</v>
      </c>
      <c r="H55" s="44"/>
    </row>
    <row r="56" spans="1:8" s="39" customFormat="1" hidden="1" x14ac:dyDescent="0.25">
      <c r="A56" s="40">
        <v>17</v>
      </c>
      <c r="B56" s="41">
        <f t="shared" si="1"/>
        <v>0.28333333333333333</v>
      </c>
      <c r="C56" s="423">
        <f t="shared" si="3"/>
        <v>0</v>
      </c>
      <c r="D56" s="28">
        <v>454000</v>
      </c>
      <c r="E56" s="294">
        <f t="shared" si="2"/>
        <v>0</v>
      </c>
      <c r="F56" s="42">
        <v>1.26</v>
      </c>
      <c r="G56" s="43">
        <f t="shared" si="0"/>
        <v>0</v>
      </c>
      <c r="H56" s="44"/>
    </row>
    <row r="57" spans="1:8" s="39" customFormat="1" hidden="1" x14ac:dyDescent="0.25">
      <c r="A57" s="40">
        <v>18</v>
      </c>
      <c r="B57" s="41">
        <f t="shared" si="1"/>
        <v>0.3</v>
      </c>
      <c r="C57" s="423">
        <f t="shared" si="3"/>
        <v>0</v>
      </c>
      <c r="D57" s="28">
        <v>454000</v>
      </c>
      <c r="E57" s="294">
        <f t="shared" si="2"/>
        <v>0</v>
      </c>
      <c r="F57" s="42">
        <v>1.26</v>
      </c>
      <c r="G57" s="43">
        <f t="shared" si="0"/>
        <v>0</v>
      </c>
      <c r="H57" s="44"/>
    </row>
    <row r="58" spans="1:8" s="39" customFormat="1" hidden="1" x14ac:dyDescent="0.25">
      <c r="A58" s="40">
        <v>19</v>
      </c>
      <c r="B58" s="41">
        <f t="shared" si="1"/>
        <v>0.31666666666666665</v>
      </c>
      <c r="C58" s="423">
        <f t="shared" si="3"/>
        <v>0</v>
      </c>
      <c r="D58" s="28">
        <v>454000</v>
      </c>
      <c r="E58" s="294">
        <f t="shared" si="2"/>
        <v>0</v>
      </c>
      <c r="F58" s="42">
        <v>1.26</v>
      </c>
      <c r="G58" s="43">
        <f t="shared" si="0"/>
        <v>0</v>
      </c>
      <c r="H58" s="44"/>
    </row>
    <row r="59" spans="1:8" s="39" customFormat="1" x14ac:dyDescent="0.25">
      <c r="A59" s="40">
        <v>20</v>
      </c>
      <c r="B59" s="41">
        <f t="shared" si="1"/>
        <v>0.33333333333333331</v>
      </c>
      <c r="C59" s="423">
        <f t="shared" si="3"/>
        <v>1.6666666666666667E-5</v>
      </c>
      <c r="D59" s="28">
        <v>454000</v>
      </c>
      <c r="E59" s="294">
        <f t="shared" si="2"/>
        <v>7.5666666666666673</v>
      </c>
      <c r="F59" s="42">
        <v>1.26</v>
      </c>
      <c r="G59" s="43">
        <f t="shared" si="0"/>
        <v>4.9716542699339294</v>
      </c>
      <c r="H59" s="44"/>
    </row>
    <row r="60" spans="1:8" s="39" customFormat="1" hidden="1" x14ac:dyDescent="0.25">
      <c r="A60" s="40">
        <v>21</v>
      </c>
      <c r="B60" s="41">
        <f t="shared" si="1"/>
        <v>0.35</v>
      </c>
      <c r="C60" s="423">
        <f t="shared" si="3"/>
        <v>0</v>
      </c>
      <c r="D60" s="28">
        <v>454000</v>
      </c>
      <c r="E60" s="294">
        <f t="shared" si="2"/>
        <v>0</v>
      </c>
      <c r="F60" s="42">
        <v>1.26</v>
      </c>
      <c r="G60" s="43">
        <f t="shared" si="0"/>
        <v>0</v>
      </c>
      <c r="H60" s="44"/>
    </row>
    <row r="61" spans="1:8" s="39" customFormat="1" hidden="1" x14ac:dyDescent="0.25">
      <c r="A61" s="40">
        <v>22</v>
      </c>
      <c r="B61" s="41">
        <f t="shared" si="1"/>
        <v>0.36666666666666664</v>
      </c>
      <c r="C61" s="423">
        <f t="shared" si="3"/>
        <v>0</v>
      </c>
      <c r="D61" s="28">
        <v>454000</v>
      </c>
      <c r="E61" s="294">
        <f t="shared" si="2"/>
        <v>0</v>
      </c>
      <c r="F61" s="42">
        <v>1.26</v>
      </c>
      <c r="G61" s="43">
        <f t="shared" si="0"/>
        <v>0</v>
      </c>
      <c r="H61" s="44"/>
    </row>
    <row r="62" spans="1:8" s="39" customFormat="1" hidden="1" x14ac:dyDescent="0.25">
      <c r="A62" s="40">
        <v>23</v>
      </c>
      <c r="B62" s="41">
        <f t="shared" si="1"/>
        <v>0.38333333333333336</v>
      </c>
      <c r="C62" s="423">
        <f t="shared" si="3"/>
        <v>0</v>
      </c>
      <c r="D62" s="28">
        <v>454000</v>
      </c>
      <c r="E62" s="294">
        <f t="shared" si="2"/>
        <v>0</v>
      </c>
      <c r="F62" s="42">
        <v>1.26</v>
      </c>
      <c r="G62" s="43">
        <f t="shared" si="0"/>
        <v>0</v>
      </c>
      <c r="H62" s="44"/>
    </row>
    <row r="63" spans="1:8" s="39" customFormat="1" hidden="1" x14ac:dyDescent="0.25">
      <c r="A63" s="40">
        <v>24</v>
      </c>
      <c r="B63" s="41">
        <f t="shared" si="1"/>
        <v>0.4</v>
      </c>
      <c r="C63" s="423">
        <f t="shared" si="3"/>
        <v>0</v>
      </c>
      <c r="D63" s="28">
        <v>454000</v>
      </c>
      <c r="E63" s="294">
        <f t="shared" si="2"/>
        <v>0</v>
      </c>
      <c r="F63" s="42">
        <v>1.26</v>
      </c>
      <c r="G63" s="43">
        <f t="shared" si="0"/>
        <v>0</v>
      </c>
      <c r="H63" s="44"/>
    </row>
    <row r="64" spans="1:8" s="39" customFormat="1" hidden="1" x14ac:dyDescent="0.25">
      <c r="A64" s="40">
        <v>25</v>
      </c>
      <c r="B64" s="41">
        <f t="shared" si="1"/>
        <v>0.41666666666666669</v>
      </c>
      <c r="C64" s="423">
        <f t="shared" si="3"/>
        <v>1.6666666666666667E-5</v>
      </c>
      <c r="D64" s="28">
        <v>454000</v>
      </c>
      <c r="E64" s="294">
        <f t="shared" si="2"/>
        <v>7.5666666666666673</v>
      </c>
      <c r="F64" s="42">
        <v>1.26</v>
      </c>
      <c r="G64" s="43">
        <f t="shared" si="0"/>
        <v>4.4761022570422346</v>
      </c>
      <c r="H64" s="44"/>
    </row>
    <row r="65" spans="1:8" s="39" customFormat="1" hidden="1" x14ac:dyDescent="0.25">
      <c r="A65" s="40">
        <v>26</v>
      </c>
      <c r="B65" s="41">
        <f t="shared" si="1"/>
        <v>0.43333333333333335</v>
      </c>
      <c r="C65" s="423">
        <f t="shared" si="3"/>
        <v>0</v>
      </c>
      <c r="D65" s="28">
        <v>454000</v>
      </c>
      <c r="E65" s="294">
        <f t="shared" si="2"/>
        <v>0</v>
      </c>
      <c r="F65" s="42">
        <v>1.26</v>
      </c>
      <c r="G65" s="43">
        <f t="shared" si="0"/>
        <v>0</v>
      </c>
      <c r="H65" s="44"/>
    </row>
    <row r="66" spans="1:8" s="39" customFormat="1" hidden="1" x14ac:dyDescent="0.25">
      <c r="A66" s="40">
        <v>27</v>
      </c>
      <c r="B66" s="41">
        <f t="shared" si="1"/>
        <v>0.45</v>
      </c>
      <c r="C66" s="423">
        <f t="shared" si="3"/>
        <v>0</v>
      </c>
      <c r="D66" s="28">
        <v>454000</v>
      </c>
      <c r="E66" s="294">
        <f t="shared" si="2"/>
        <v>0</v>
      </c>
      <c r="F66" s="42">
        <v>1.26</v>
      </c>
      <c r="G66" s="43">
        <f t="shared" si="0"/>
        <v>0</v>
      </c>
      <c r="H66" s="44"/>
    </row>
    <row r="67" spans="1:8" s="39" customFormat="1" hidden="1" x14ac:dyDescent="0.25">
      <c r="A67" s="40">
        <v>28</v>
      </c>
      <c r="B67" s="41">
        <f t="shared" si="1"/>
        <v>0.46666666666666667</v>
      </c>
      <c r="C67" s="423">
        <f t="shared" si="3"/>
        <v>0</v>
      </c>
      <c r="D67" s="28">
        <v>454000</v>
      </c>
      <c r="E67" s="294">
        <f t="shared" si="2"/>
        <v>0</v>
      </c>
      <c r="F67" s="42">
        <v>1.26</v>
      </c>
      <c r="G67" s="43">
        <f t="shared" si="0"/>
        <v>0</v>
      </c>
      <c r="H67" s="44"/>
    </row>
    <row r="68" spans="1:8" s="39" customFormat="1" hidden="1" x14ac:dyDescent="0.25">
      <c r="A68" s="40">
        <v>29</v>
      </c>
      <c r="B68" s="41">
        <f t="shared" si="1"/>
        <v>0.48333333333333334</v>
      </c>
      <c r="C68" s="423">
        <f t="shared" si="3"/>
        <v>0</v>
      </c>
      <c r="D68" s="28">
        <v>454000</v>
      </c>
      <c r="E68" s="294">
        <f t="shared" si="2"/>
        <v>0</v>
      </c>
      <c r="F68" s="42">
        <v>1.26</v>
      </c>
      <c r="G68" s="43">
        <f t="shared" si="0"/>
        <v>0</v>
      </c>
      <c r="H68" s="44"/>
    </row>
    <row r="69" spans="1:8" s="39" customFormat="1" x14ac:dyDescent="0.25">
      <c r="A69" s="40">
        <v>30</v>
      </c>
      <c r="B69" s="41">
        <f t="shared" si="1"/>
        <v>0.5</v>
      </c>
      <c r="C69" s="423">
        <f t="shared" si="3"/>
        <v>1.6666666666666667E-5</v>
      </c>
      <c r="D69" s="28">
        <v>454000</v>
      </c>
      <c r="E69" s="294">
        <f t="shared" si="2"/>
        <v>7.5666666666666673</v>
      </c>
      <c r="F69" s="42">
        <v>1.26</v>
      </c>
      <c r="G69" s="43">
        <f t="shared" si="0"/>
        <v>4.029944627618856</v>
      </c>
      <c r="H69" s="44"/>
    </row>
    <row r="70" spans="1:8" s="39" customFormat="1" hidden="1" x14ac:dyDescent="0.25">
      <c r="A70" s="40">
        <v>31</v>
      </c>
      <c r="B70" s="41">
        <f t="shared" si="1"/>
        <v>0.51666666666666672</v>
      </c>
      <c r="C70" s="423">
        <f t="shared" si="3"/>
        <v>0</v>
      </c>
      <c r="D70" s="28">
        <v>454000</v>
      </c>
      <c r="E70" s="294">
        <f t="shared" si="2"/>
        <v>0</v>
      </c>
      <c r="F70" s="42">
        <v>1.26</v>
      </c>
      <c r="G70" s="43">
        <f t="shared" si="0"/>
        <v>0</v>
      </c>
      <c r="H70" s="44"/>
    </row>
    <row r="71" spans="1:8" s="39" customFormat="1" hidden="1" x14ac:dyDescent="0.25">
      <c r="A71" s="40">
        <v>32</v>
      </c>
      <c r="B71" s="41">
        <f t="shared" si="1"/>
        <v>0.53333333333333333</v>
      </c>
      <c r="C71" s="423">
        <f t="shared" si="3"/>
        <v>0</v>
      </c>
      <c r="D71" s="28">
        <v>454000</v>
      </c>
      <c r="E71" s="294">
        <f t="shared" si="2"/>
        <v>0</v>
      </c>
      <c r="F71" s="42">
        <v>1.26</v>
      </c>
      <c r="G71" s="43">
        <f t="shared" ref="G71:G102" si="4">E71*EXP(-F71*B71)</f>
        <v>0</v>
      </c>
      <c r="H71" s="44"/>
    </row>
    <row r="72" spans="1:8" s="39" customFormat="1" hidden="1" x14ac:dyDescent="0.25">
      <c r="A72" s="40">
        <v>33</v>
      </c>
      <c r="B72" s="41">
        <f t="shared" si="1"/>
        <v>0.55000000000000004</v>
      </c>
      <c r="C72" s="423">
        <f t="shared" si="3"/>
        <v>0</v>
      </c>
      <c r="D72" s="28">
        <v>454000</v>
      </c>
      <c r="E72" s="294">
        <f t="shared" si="2"/>
        <v>0</v>
      </c>
      <c r="F72" s="42">
        <v>1.26</v>
      </c>
      <c r="G72" s="43">
        <f t="shared" si="4"/>
        <v>0</v>
      </c>
      <c r="H72" s="44"/>
    </row>
    <row r="73" spans="1:8" s="39" customFormat="1" hidden="1" x14ac:dyDescent="0.25">
      <c r="A73" s="40">
        <v>34</v>
      </c>
      <c r="B73" s="41">
        <f t="shared" si="1"/>
        <v>0.56666666666666665</v>
      </c>
      <c r="C73" s="423">
        <f t="shared" si="3"/>
        <v>0</v>
      </c>
      <c r="D73" s="28">
        <v>454000</v>
      </c>
      <c r="E73" s="294">
        <f t="shared" si="2"/>
        <v>0</v>
      </c>
      <c r="F73" s="42">
        <v>1.26</v>
      </c>
      <c r="G73" s="43">
        <f t="shared" si="4"/>
        <v>0</v>
      </c>
      <c r="H73" s="44"/>
    </row>
    <row r="74" spans="1:8" s="39" customFormat="1" hidden="1" x14ac:dyDescent="0.25">
      <c r="A74" s="40">
        <v>35</v>
      </c>
      <c r="B74" s="41">
        <f t="shared" si="1"/>
        <v>0.58333333333333337</v>
      </c>
      <c r="C74" s="423">
        <f t="shared" si="3"/>
        <v>1.6666666666666667E-5</v>
      </c>
      <c r="D74" s="28">
        <v>454000</v>
      </c>
      <c r="E74" s="294">
        <f t="shared" si="2"/>
        <v>7.5666666666666673</v>
      </c>
      <c r="F74" s="42">
        <v>1.26</v>
      </c>
      <c r="G74" s="43">
        <f t="shared" si="4"/>
        <v>3.6282579729100322</v>
      </c>
      <c r="H74" s="44"/>
    </row>
    <row r="75" spans="1:8" s="39" customFormat="1" hidden="1" x14ac:dyDescent="0.25">
      <c r="A75" s="40">
        <v>36</v>
      </c>
      <c r="B75" s="41">
        <f t="shared" si="1"/>
        <v>0.6</v>
      </c>
      <c r="C75" s="423">
        <f t="shared" si="3"/>
        <v>0</v>
      </c>
      <c r="D75" s="28">
        <v>454000</v>
      </c>
      <c r="E75" s="294">
        <f t="shared" si="2"/>
        <v>0</v>
      </c>
      <c r="F75" s="42">
        <v>1.26</v>
      </c>
      <c r="G75" s="43">
        <f t="shared" si="4"/>
        <v>0</v>
      </c>
      <c r="H75" s="44"/>
    </row>
    <row r="76" spans="1:8" s="39" customFormat="1" hidden="1" x14ac:dyDescent="0.25">
      <c r="A76" s="40">
        <v>37</v>
      </c>
      <c r="B76" s="41">
        <f t="shared" si="1"/>
        <v>0.6166666666666667</v>
      </c>
      <c r="C76" s="423">
        <f t="shared" si="3"/>
        <v>0</v>
      </c>
      <c r="D76" s="28">
        <v>454000</v>
      </c>
      <c r="E76" s="294">
        <f t="shared" si="2"/>
        <v>0</v>
      </c>
      <c r="F76" s="42">
        <v>1.26</v>
      </c>
      <c r="G76" s="43">
        <f t="shared" si="4"/>
        <v>0</v>
      </c>
      <c r="H76" s="44"/>
    </row>
    <row r="77" spans="1:8" s="39" customFormat="1" hidden="1" x14ac:dyDescent="0.25">
      <c r="A77" s="40">
        <v>38</v>
      </c>
      <c r="B77" s="41">
        <f t="shared" si="1"/>
        <v>0.6333333333333333</v>
      </c>
      <c r="C77" s="423">
        <f t="shared" si="3"/>
        <v>0</v>
      </c>
      <c r="D77" s="28">
        <v>454000</v>
      </c>
      <c r="E77" s="294">
        <f t="shared" si="2"/>
        <v>0</v>
      </c>
      <c r="F77" s="42">
        <v>1.26</v>
      </c>
      <c r="G77" s="43">
        <f t="shared" si="4"/>
        <v>0</v>
      </c>
      <c r="H77" s="44"/>
    </row>
    <row r="78" spans="1:8" s="39" customFormat="1" hidden="1" x14ac:dyDescent="0.25">
      <c r="A78" s="40">
        <v>39</v>
      </c>
      <c r="B78" s="41">
        <f t="shared" si="1"/>
        <v>0.65</v>
      </c>
      <c r="C78" s="423">
        <f t="shared" si="3"/>
        <v>0</v>
      </c>
      <c r="D78" s="28">
        <v>454000</v>
      </c>
      <c r="E78" s="294">
        <f t="shared" si="2"/>
        <v>0</v>
      </c>
      <c r="F78" s="42">
        <v>1.26</v>
      </c>
      <c r="G78" s="43">
        <f t="shared" si="4"/>
        <v>0</v>
      </c>
      <c r="H78" s="44"/>
    </row>
    <row r="79" spans="1:8" s="39" customFormat="1" x14ac:dyDescent="0.25">
      <c r="A79" s="40">
        <v>40</v>
      </c>
      <c r="B79" s="41">
        <f t="shared" si="1"/>
        <v>0.66666666666666663</v>
      </c>
      <c r="C79" s="423">
        <f t="shared" si="3"/>
        <v>1.6666666666666667E-5</v>
      </c>
      <c r="D79" s="28">
        <v>454000</v>
      </c>
      <c r="E79" s="294">
        <f t="shared" si="2"/>
        <v>7.5666666666666673</v>
      </c>
      <c r="F79" s="42">
        <v>1.26</v>
      </c>
      <c r="G79" s="43">
        <f t="shared" si="4"/>
        <v>3.2666096272800367</v>
      </c>
      <c r="H79" s="44"/>
    </row>
    <row r="80" spans="1:8" s="39" customFormat="1" hidden="1" x14ac:dyDescent="0.25">
      <c r="A80" s="40">
        <v>41</v>
      </c>
      <c r="B80" s="41">
        <f t="shared" si="1"/>
        <v>0.68333333333333335</v>
      </c>
      <c r="C80" s="423">
        <f t="shared" si="3"/>
        <v>0</v>
      </c>
      <c r="D80" s="28">
        <v>454000</v>
      </c>
      <c r="E80" s="294">
        <f t="shared" si="2"/>
        <v>0</v>
      </c>
      <c r="F80" s="42">
        <v>1.26</v>
      </c>
      <c r="G80" s="43">
        <f t="shared" si="4"/>
        <v>0</v>
      </c>
      <c r="H80" s="44"/>
    </row>
    <row r="81" spans="1:8" s="39" customFormat="1" hidden="1" x14ac:dyDescent="0.25">
      <c r="A81" s="40">
        <v>42</v>
      </c>
      <c r="B81" s="41">
        <f t="shared" si="1"/>
        <v>0.7</v>
      </c>
      <c r="C81" s="423">
        <f t="shared" si="3"/>
        <v>0</v>
      </c>
      <c r="D81" s="28">
        <v>454000</v>
      </c>
      <c r="E81" s="294">
        <f t="shared" si="2"/>
        <v>0</v>
      </c>
      <c r="F81" s="42">
        <v>1.26</v>
      </c>
      <c r="G81" s="43">
        <f t="shared" si="4"/>
        <v>0</v>
      </c>
      <c r="H81" s="44"/>
    </row>
    <row r="82" spans="1:8" s="39" customFormat="1" hidden="1" x14ac:dyDescent="0.25">
      <c r="A82" s="40">
        <v>43</v>
      </c>
      <c r="B82" s="41">
        <f t="shared" si="1"/>
        <v>0.71666666666666667</v>
      </c>
      <c r="C82" s="423">
        <f t="shared" si="3"/>
        <v>0</v>
      </c>
      <c r="D82" s="28">
        <v>454000</v>
      </c>
      <c r="E82" s="294">
        <f t="shared" si="2"/>
        <v>0</v>
      </c>
      <c r="F82" s="42">
        <v>1.26</v>
      </c>
      <c r="G82" s="43">
        <f t="shared" si="4"/>
        <v>0</v>
      </c>
      <c r="H82" s="44"/>
    </row>
    <row r="83" spans="1:8" s="39" customFormat="1" hidden="1" x14ac:dyDescent="0.25">
      <c r="A83" s="40">
        <v>44</v>
      </c>
      <c r="B83" s="41">
        <f t="shared" si="1"/>
        <v>0.73333333333333328</v>
      </c>
      <c r="C83" s="423">
        <f t="shared" si="3"/>
        <v>0</v>
      </c>
      <c r="D83" s="28">
        <v>454000</v>
      </c>
      <c r="E83" s="294">
        <f t="shared" si="2"/>
        <v>0</v>
      </c>
      <c r="F83" s="42">
        <v>1.26</v>
      </c>
      <c r="G83" s="43">
        <f t="shared" si="4"/>
        <v>0</v>
      </c>
      <c r="H83" s="44"/>
    </row>
    <row r="84" spans="1:8" s="39" customFormat="1" hidden="1" x14ac:dyDescent="0.25">
      <c r="A84" s="40">
        <v>45</v>
      </c>
      <c r="B84" s="41">
        <f t="shared" si="1"/>
        <v>0.75</v>
      </c>
      <c r="C84" s="423">
        <f t="shared" si="3"/>
        <v>1.6666666666666667E-5</v>
      </c>
      <c r="D84" s="28">
        <v>454000</v>
      </c>
      <c r="E84" s="294">
        <f t="shared" si="2"/>
        <v>7.5666666666666673</v>
      </c>
      <c r="F84" s="42">
        <v>1.26</v>
      </c>
      <c r="G84" s="43">
        <f t="shared" si="4"/>
        <v>2.9410087531565976</v>
      </c>
      <c r="H84" s="44"/>
    </row>
    <row r="85" spans="1:8" s="39" customFormat="1" hidden="1" x14ac:dyDescent="0.25">
      <c r="A85" s="40">
        <v>46</v>
      </c>
      <c r="B85" s="41">
        <f t="shared" si="1"/>
        <v>0.76666666666666672</v>
      </c>
      <c r="C85" s="423">
        <f t="shared" si="3"/>
        <v>0</v>
      </c>
      <c r="D85" s="28">
        <v>454000</v>
      </c>
      <c r="E85" s="294">
        <f t="shared" si="2"/>
        <v>0</v>
      </c>
      <c r="F85" s="42">
        <v>1.26</v>
      </c>
      <c r="G85" s="43">
        <f t="shared" si="4"/>
        <v>0</v>
      </c>
      <c r="H85" s="44"/>
    </row>
    <row r="86" spans="1:8" s="39" customFormat="1" hidden="1" x14ac:dyDescent="0.25">
      <c r="A86" s="40">
        <v>47</v>
      </c>
      <c r="B86" s="41">
        <f t="shared" si="1"/>
        <v>0.78333333333333333</v>
      </c>
      <c r="C86" s="423">
        <f t="shared" si="3"/>
        <v>0</v>
      </c>
      <c r="D86" s="28">
        <v>454000</v>
      </c>
      <c r="E86" s="294">
        <f t="shared" si="2"/>
        <v>0</v>
      </c>
      <c r="F86" s="42">
        <v>1.26</v>
      </c>
      <c r="G86" s="43">
        <f t="shared" si="4"/>
        <v>0</v>
      </c>
      <c r="H86" s="44"/>
    </row>
    <row r="87" spans="1:8" s="39" customFormat="1" hidden="1" x14ac:dyDescent="0.25">
      <c r="A87" s="40">
        <v>48</v>
      </c>
      <c r="B87" s="41">
        <f t="shared" si="1"/>
        <v>0.8</v>
      </c>
      <c r="C87" s="423">
        <f t="shared" si="3"/>
        <v>0</v>
      </c>
      <c r="D87" s="28">
        <v>454000</v>
      </c>
      <c r="E87" s="294">
        <f t="shared" si="2"/>
        <v>0</v>
      </c>
      <c r="F87" s="42">
        <v>1.26</v>
      </c>
      <c r="G87" s="43">
        <f t="shared" si="4"/>
        <v>0</v>
      </c>
      <c r="H87" s="44"/>
    </row>
    <row r="88" spans="1:8" s="39" customFormat="1" hidden="1" x14ac:dyDescent="0.25">
      <c r="A88" s="40">
        <v>49</v>
      </c>
      <c r="B88" s="41">
        <f t="shared" si="1"/>
        <v>0.81666666666666665</v>
      </c>
      <c r="C88" s="423">
        <f t="shared" si="3"/>
        <v>0</v>
      </c>
      <c r="D88" s="28">
        <v>454000</v>
      </c>
      <c r="E88" s="294">
        <f t="shared" si="2"/>
        <v>0</v>
      </c>
      <c r="F88" s="42">
        <v>1.26</v>
      </c>
      <c r="G88" s="43">
        <f t="shared" si="4"/>
        <v>0</v>
      </c>
      <c r="H88" s="44"/>
    </row>
    <row r="89" spans="1:8" s="39" customFormat="1" hidden="1" x14ac:dyDescent="0.25">
      <c r="A89" s="40">
        <v>50</v>
      </c>
      <c r="B89" s="41">
        <f t="shared" si="1"/>
        <v>0.83333333333333337</v>
      </c>
      <c r="C89" s="423">
        <f t="shared" si="3"/>
        <v>1.6666666666666667E-5</v>
      </c>
      <c r="D89" s="28">
        <v>454000</v>
      </c>
      <c r="E89" s="294">
        <f t="shared" si="2"/>
        <v>7.5666666666666673</v>
      </c>
      <c r="F89" s="42">
        <v>1.26</v>
      </c>
      <c r="G89" s="43">
        <f t="shared" si="4"/>
        <v>2.6478623016077423</v>
      </c>
      <c r="H89" s="44"/>
    </row>
    <row r="90" spans="1:8" s="39" customFormat="1" hidden="1" x14ac:dyDescent="0.25">
      <c r="A90" s="40">
        <v>51</v>
      </c>
      <c r="B90" s="41">
        <f t="shared" si="1"/>
        <v>0.85</v>
      </c>
      <c r="C90" s="423">
        <f t="shared" si="3"/>
        <v>0</v>
      </c>
      <c r="D90" s="28">
        <v>454000</v>
      </c>
      <c r="E90" s="294">
        <f t="shared" si="2"/>
        <v>0</v>
      </c>
      <c r="F90" s="42">
        <v>1.26</v>
      </c>
      <c r="G90" s="43">
        <f t="shared" si="4"/>
        <v>0</v>
      </c>
      <c r="H90" s="44"/>
    </row>
    <row r="91" spans="1:8" s="39" customFormat="1" hidden="1" x14ac:dyDescent="0.25">
      <c r="A91" s="40">
        <v>52</v>
      </c>
      <c r="B91" s="41">
        <f t="shared" si="1"/>
        <v>0.8666666666666667</v>
      </c>
      <c r="C91" s="423">
        <f t="shared" si="3"/>
        <v>0</v>
      </c>
      <c r="D91" s="28">
        <v>454000</v>
      </c>
      <c r="E91" s="294">
        <f t="shared" si="2"/>
        <v>0</v>
      </c>
      <c r="F91" s="42">
        <v>1.26</v>
      </c>
      <c r="G91" s="43">
        <f t="shared" si="4"/>
        <v>0</v>
      </c>
      <c r="H91" s="44"/>
    </row>
    <row r="92" spans="1:8" s="39" customFormat="1" hidden="1" x14ac:dyDescent="0.25">
      <c r="A92" s="40">
        <v>53</v>
      </c>
      <c r="B92" s="41">
        <f t="shared" si="1"/>
        <v>0.8833333333333333</v>
      </c>
      <c r="C92" s="423">
        <f t="shared" si="3"/>
        <v>0</v>
      </c>
      <c r="D92" s="28">
        <v>454000</v>
      </c>
      <c r="E92" s="294">
        <f t="shared" si="2"/>
        <v>0</v>
      </c>
      <c r="F92" s="42">
        <v>1.26</v>
      </c>
      <c r="G92" s="43">
        <f t="shared" si="4"/>
        <v>0</v>
      </c>
      <c r="H92" s="44"/>
    </row>
    <row r="93" spans="1:8" s="39" customFormat="1" hidden="1" x14ac:dyDescent="0.25">
      <c r="A93" s="40">
        <v>54</v>
      </c>
      <c r="B93" s="41">
        <f t="shared" si="1"/>
        <v>0.9</v>
      </c>
      <c r="C93" s="423">
        <f t="shared" si="3"/>
        <v>0</v>
      </c>
      <c r="D93" s="28">
        <v>454000</v>
      </c>
      <c r="E93" s="294">
        <f t="shared" si="2"/>
        <v>0</v>
      </c>
      <c r="F93" s="42">
        <v>1.26</v>
      </c>
      <c r="G93" s="43">
        <f t="shared" si="4"/>
        <v>0</v>
      </c>
      <c r="H93" s="44"/>
    </row>
    <row r="94" spans="1:8" s="39" customFormat="1" hidden="1" x14ac:dyDescent="0.25">
      <c r="A94" s="40">
        <v>55</v>
      </c>
      <c r="B94" s="41">
        <f t="shared" si="1"/>
        <v>0.91666666666666663</v>
      </c>
      <c r="C94" s="423">
        <f t="shared" si="3"/>
        <v>1.6666666666666667E-5</v>
      </c>
      <c r="D94" s="28">
        <v>454000</v>
      </c>
      <c r="E94" s="294">
        <f t="shared" si="2"/>
        <v>7.5666666666666673</v>
      </c>
      <c r="F94" s="42">
        <v>1.26</v>
      </c>
      <c r="G94" s="43">
        <f t="shared" si="4"/>
        <v>2.3839353625691611</v>
      </c>
      <c r="H94" s="44"/>
    </row>
    <row r="95" spans="1:8" s="39" customFormat="1" hidden="1" x14ac:dyDescent="0.25">
      <c r="A95" s="40">
        <v>56</v>
      </c>
      <c r="B95" s="41">
        <f t="shared" si="1"/>
        <v>0.93333333333333335</v>
      </c>
      <c r="C95" s="423">
        <f t="shared" si="3"/>
        <v>0</v>
      </c>
      <c r="D95" s="28">
        <v>454000</v>
      </c>
      <c r="E95" s="294">
        <f t="shared" si="2"/>
        <v>0</v>
      </c>
      <c r="F95" s="42">
        <v>1.26</v>
      </c>
      <c r="G95" s="43">
        <f t="shared" si="4"/>
        <v>0</v>
      </c>
      <c r="H95" s="44"/>
    </row>
    <row r="96" spans="1:8" s="39" customFormat="1" hidden="1" x14ac:dyDescent="0.25">
      <c r="A96" s="40">
        <v>57</v>
      </c>
      <c r="B96" s="41">
        <f t="shared" si="1"/>
        <v>0.95</v>
      </c>
      <c r="C96" s="423">
        <f t="shared" si="3"/>
        <v>0</v>
      </c>
      <c r="D96" s="28">
        <v>454000</v>
      </c>
      <c r="E96" s="294">
        <f t="shared" si="2"/>
        <v>0</v>
      </c>
      <c r="F96" s="42">
        <v>1.26</v>
      </c>
      <c r="G96" s="43">
        <f t="shared" si="4"/>
        <v>0</v>
      </c>
      <c r="H96" s="44"/>
    </row>
    <row r="97" spans="1:8" s="39" customFormat="1" hidden="1" x14ac:dyDescent="0.25">
      <c r="A97" s="40">
        <v>58</v>
      </c>
      <c r="B97" s="41">
        <f t="shared" si="1"/>
        <v>0.96666666666666667</v>
      </c>
      <c r="C97" s="423">
        <f t="shared" si="3"/>
        <v>0</v>
      </c>
      <c r="D97" s="28">
        <v>454000</v>
      </c>
      <c r="E97" s="294">
        <f t="shared" si="2"/>
        <v>0</v>
      </c>
      <c r="F97" s="42">
        <v>1.26</v>
      </c>
      <c r="G97" s="43">
        <f t="shared" si="4"/>
        <v>0</v>
      </c>
      <c r="H97" s="44"/>
    </row>
    <row r="98" spans="1:8" s="39" customFormat="1" hidden="1" x14ac:dyDescent="0.25">
      <c r="A98" s="40">
        <v>59</v>
      </c>
      <c r="B98" s="41">
        <f t="shared" si="1"/>
        <v>0.98333333333333328</v>
      </c>
      <c r="C98" s="423">
        <f t="shared" si="3"/>
        <v>0</v>
      </c>
      <c r="D98" s="28">
        <v>454000</v>
      </c>
      <c r="E98" s="294">
        <f t="shared" si="2"/>
        <v>0</v>
      </c>
      <c r="F98" s="42">
        <v>1.26</v>
      </c>
      <c r="G98" s="43">
        <f t="shared" si="4"/>
        <v>0</v>
      </c>
      <c r="H98" s="44"/>
    </row>
    <row r="99" spans="1:8" s="39" customFormat="1" x14ac:dyDescent="0.25">
      <c r="A99" s="40">
        <v>60</v>
      </c>
      <c r="B99" s="41">
        <f t="shared" si="1"/>
        <v>1</v>
      </c>
      <c r="C99" s="423">
        <f t="shared" si="3"/>
        <v>1.6666666666666667E-5</v>
      </c>
      <c r="D99" s="28">
        <v>454000</v>
      </c>
      <c r="E99" s="294">
        <f t="shared" si="2"/>
        <v>7.5666666666666673</v>
      </c>
      <c r="F99" s="42">
        <v>1.26</v>
      </c>
      <c r="G99" s="43">
        <f t="shared" si="4"/>
        <v>2.146315467181596</v>
      </c>
      <c r="H99" s="44"/>
    </row>
    <row r="100" spans="1:8" s="39" customFormat="1" hidden="1" x14ac:dyDescent="0.25">
      <c r="A100" s="40">
        <v>61</v>
      </c>
      <c r="B100" s="41">
        <f t="shared" si="1"/>
        <v>1.0166666666666666</v>
      </c>
      <c r="C100" s="423">
        <f t="shared" si="3"/>
        <v>0</v>
      </c>
      <c r="D100" s="28">
        <v>454000</v>
      </c>
      <c r="E100" s="294">
        <f t="shared" si="2"/>
        <v>0</v>
      </c>
      <c r="F100" s="42">
        <v>1.26</v>
      </c>
      <c r="G100" s="43">
        <f t="shared" si="4"/>
        <v>0</v>
      </c>
      <c r="H100" s="44"/>
    </row>
    <row r="101" spans="1:8" s="39" customFormat="1" hidden="1" x14ac:dyDescent="0.25">
      <c r="A101" s="40">
        <v>62</v>
      </c>
      <c r="B101" s="41">
        <f t="shared" si="1"/>
        <v>1.0333333333333334</v>
      </c>
      <c r="C101" s="423">
        <f t="shared" si="3"/>
        <v>0</v>
      </c>
      <c r="D101" s="28">
        <v>454000</v>
      </c>
      <c r="E101" s="294">
        <f t="shared" si="2"/>
        <v>0</v>
      </c>
      <c r="F101" s="42">
        <v>1.26</v>
      </c>
      <c r="G101" s="43">
        <f t="shared" si="4"/>
        <v>0</v>
      </c>
      <c r="H101" s="44"/>
    </row>
    <row r="102" spans="1:8" s="39" customFormat="1" hidden="1" x14ac:dyDescent="0.25">
      <c r="A102" s="40">
        <v>63</v>
      </c>
      <c r="B102" s="41">
        <f t="shared" si="1"/>
        <v>1.05</v>
      </c>
      <c r="C102" s="423">
        <f t="shared" si="3"/>
        <v>0</v>
      </c>
      <c r="D102" s="28">
        <v>454000</v>
      </c>
      <c r="E102" s="294">
        <f t="shared" si="2"/>
        <v>0</v>
      </c>
      <c r="F102" s="42">
        <v>1.26</v>
      </c>
      <c r="G102" s="43">
        <f t="shared" si="4"/>
        <v>0</v>
      </c>
      <c r="H102" s="44"/>
    </row>
    <row r="103" spans="1:8" s="39" customFormat="1" hidden="1" x14ac:dyDescent="0.25">
      <c r="A103" s="40">
        <v>64</v>
      </c>
      <c r="B103" s="41">
        <f t="shared" si="1"/>
        <v>1.0666666666666667</v>
      </c>
      <c r="C103" s="423">
        <f t="shared" si="3"/>
        <v>0</v>
      </c>
      <c r="D103" s="28">
        <v>454000</v>
      </c>
      <c r="E103" s="294">
        <f t="shared" si="2"/>
        <v>0</v>
      </c>
      <c r="F103" s="42">
        <v>1.26</v>
      </c>
      <c r="G103" s="43">
        <f t="shared" ref="G103:G134" si="5">E103*EXP(-F103*B103)</f>
        <v>0</v>
      </c>
      <c r="H103" s="44"/>
    </row>
    <row r="104" spans="1:8" s="39" customFormat="1" hidden="1" x14ac:dyDescent="0.25">
      <c r="A104" s="40">
        <v>65</v>
      </c>
      <c r="B104" s="41">
        <f t="shared" ref="B104:B160" si="6">A104/60</f>
        <v>1.0833333333333333</v>
      </c>
      <c r="C104" s="423">
        <f t="shared" si="3"/>
        <v>1.6666666666666667E-5</v>
      </c>
      <c r="D104" s="28">
        <v>454000</v>
      </c>
      <c r="E104" s="294">
        <f t="shared" ref="E104:E159" si="7">C104*D104</f>
        <v>7.5666666666666673</v>
      </c>
      <c r="F104" s="42">
        <v>1.26</v>
      </c>
      <c r="G104" s="43">
        <f t="shared" si="5"/>
        <v>1.9323804483097879</v>
      </c>
      <c r="H104" s="44"/>
    </row>
    <row r="105" spans="1:8" s="39" customFormat="1" hidden="1" x14ac:dyDescent="0.25">
      <c r="A105" s="40">
        <v>66</v>
      </c>
      <c r="B105" s="41">
        <f t="shared" si="6"/>
        <v>1.1000000000000001</v>
      </c>
      <c r="C105" s="423">
        <f t="shared" si="3"/>
        <v>0</v>
      </c>
      <c r="D105" s="28">
        <v>454000</v>
      </c>
      <c r="E105" s="294">
        <f t="shared" si="7"/>
        <v>0</v>
      </c>
      <c r="F105" s="42">
        <v>1.26</v>
      </c>
      <c r="G105" s="43">
        <f t="shared" si="5"/>
        <v>0</v>
      </c>
      <c r="H105" s="44"/>
    </row>
    <row r="106" spans="1:8" s="39" customFormat="1" hidden="1" x14ac:dyDescent="0.25">
      <c r="A106" s="40">
        <v>67</v>
      </c>
      <c r="B106" s="41">
        <f t="shared" si="6"/>
        <v>1.1166666666666667</v>
      </c>
      <c r="C106" s="423">
        <f t="shared" si="3"/>
        <v>0</v>
      </c>
      <c r="D106" s="28">
        <v>454000</v>
      </c>
      <c r="E106" s="294">
        <f t="shared" si="7"/>
        <v>0</v>
      </c>
      <c r="F106" s="42">
        <v>1.26</v>
      </c>
      <c r="G106" s="43">
        <f t="shared" si="5"/>
        <v>0</v>
      </c>
      <c r="H106" s="44"/>
    </row>
    <row r="107" spans="1:8" s="39" customFormat="1" hidden="1" x14ac:dyDescent="0.25">
      <c r="A107" s="40">
        <v>68</v>
      </c>
      <c r="B107" s="41">
        <f t="shared" si="6"/>
        <v>1.1333333333333333</v>
      </c>
      <c r="C107" s="423">
        <f t="shared" si="3"/>
        <v>0</v>
      </c>
      <c r="D107" s="28">
        <v>454000</v>
      </c>
      <c r="E107" s="294">
        <f t="shared" si="7"/>
        <v>0</v>
      </c>
      <c r="F107" s="42">
        <v>1.26</v>
      </c>
      <c r="G107" s="43">
        <f t="shared" si="5"/>
        <v>0</v>
      </c>
      <c r="H107" s="44"/>
    </row>
    <row r="108" spans="1:8" s="39" customFormat="1" hidden="1" x14ac:dyDescent="0.25">
      <c r="A108" s="40">
        <v>69</v>
      </c>
      <c r="B108" s="41">
        <f t="shared" si="6"/>
        <v>1.1499999999999999</v>
      </c>
      <c r="C108" s="423">
        <f t="shared" si="3"/>
        <v>0</v>
      </c>
      <c r="D108" s="28">
        <v>454000</v>
      </c>
      <c r="E108" s="294">
        <f t="shared" si="7"/>
        <v>0</v>
      </c>
      <c r="F108" s="42">
        <v>1.26</v>
      </c>
      <c r="G108" s="43">
        <f t="shared" si="5"/>
        <v>0</v>
      </c>
      <c r="H108" s="44"/>
    </row>
    <row r="109" spans="1:8" s="39" customFormat="1" hidden="1" x14ac:dyDescent="0.25">
      <c r="A109" s="40">
        <v>70</v>
      </c>
      <c r="B109" s="41">
        <f t="shared" si="6"/>
        <v>1.1666666666666667</v>
      </c>
      <c r="C109" s="423">
        <f t="shared" ref="C109:C159" si="8">C104</f>
        <v>1.6666666666666667E-5</v>
      </c>
      <c r="D109" s="28">
        <v>454000</v>
      </c>
      <c r="E109" s="294">
        <f t="shared" si="7"/>
        <v>7.5666666666666673</v>
      </c>
      <c r="F109" s="42">
        <v>1.26</v>
      </c>
      <c r="G109" s="43">
        <f t="shared" si="5"/>
        <v>1.7397695045795434</v>
      </c>
      <c r="H109" s="44"/>
    </row>
    <row r="110" spans="1:8" s="39" customFormat="1" hidden="1" x14ac:dyDescent="0.25">
      <c r="A110" s="40">
        <v>71</v>
      </c>
      <c r="B110" s="41">
        <f t="shared" si="6"/>
        <v>1.1833333333333333</v>
      </c>
      <c r="C110" s="423">
        <f t="shared" si="8"/>
        <v>0</v>
      </c>
      <c r="D110" s="28">
        <v>454000</v>
      </c>
      <c r="E110" s="294">
        <f t="shared" si="7"/>
        <v>0</v>
      </c>
      <c r="F110" s="42">
        <v>1.26</v>
      </c>
      <c r="G110" s="43">
        <f t="shared" si="5"/>
        <v>0</v>
      </c>
      <c r="H110" s="44"/>
    </row>
    <row r="111" spans="1:8" s="39" customFormat="1" hidden="1" x14ac:dyDescent="0.25">
      <c r="A111" s="40">
        <v>72</v>
      </c>
      <c r="B111" s="41">
        <f t="shared" si="6"/>
        <v>1.2</v>
      </c>
      <c r="C111" s="423">
        <f t="shared" si="8"/>
        <v>0</v>
      </c>
      <c r="D111" s="28">
        <v>454000</v>
      </c>
      <c r="E111" s="294">
        <f t="shared" si="7"/>
        <v>0</v>
      </c>
      <c r="F111" s="42">
        <v>1.26</v>
      </c>
      <c r="G111" s="43">
        <f t="shared" si="5"/>
        <v>0</v>
      </c>
      <c r="H111" s="44"/>
    </row>
    <row r="112" spans="1:8" s="39" customFormat="1" hidden="1" x14ac:dyDescent="0.25">
      <c r="A112" s="40">
        <v>73</v>
      </c>
      <c r="B112" s="41">
        <f t="shared" si="6"/>
        <v>1.2166666666666666</v>
      </c>
      <c r="C112" s="423">
        <f t="shared" si="8"/>
        <v>0</v>
      </c>
      <c r="D112" s="28">
        <v>454000</v>
      </c>
      <c r="E112" s="294">
        <f t="shared" si="7"/>
        <v>0</v>
      </c>
      <c r="F112" s="42">
        <v>1.26</v>
      </c>
      <c r="G112" s="43">
        <f t="shared" si="5"/>
        <v>0</v>
      </c>
      <c r="H112" s="44"/>
    </row>
    <row r="113" spans="1:8" s="39" customFormat="1" hidden="1" x14ac:dyDescent="0.25">
      <c r="A113" s="40">
        <v>74</v>
      </c>
      <c r="B113" s="41">
        <f t="shared" si="6"/>
        <v>1.2333333333333334</v>
      </c>
      <c r="C113" s="423">
        <f t="shared" si="8"/>
        <v>0</v>
      </c>
      <c r="D113" s="28">
        <v>454000</v>
      </c>
      <c r="E113" s="294">
        <f t="shared" si="7"/>
        <v>0</v>
      </c>
      <c r="F113" s="42">
        <v>1.26</v>
      </c>
      <c r="G113" s="43">
        <f t="shared" si="5"/>
        <v>0</v>
      </c>
      <c r="H113" s="44"/>
    </row>
    <row r="114" spans="1:8" s="39" customFormat="1" hidden="1" x14ac:dyDescent="0.25">
      <c r="A114" s="40">
        <v>75</v>
      </c>
      <c r="B114" s="41">
        <f t="shared" si="6"/>
        <v>1.25</v>
      </c>
      <c r="C114" s="423">
        <f t="shared" si="8"/>
        <v>1.6666666666666667E-5</v>
      </c>
      <c r="D114" s="28">
        <v>454000</v>
      </c>
      <c r="E114" s="294">
        <f t="shared" si="7"/>
        <v>7.5666666666666673</v>
      </c>
      <c r="F114" s="42">
        <v>1.26</v>
      </c>
      <c r="G114" s="43">
        <f t="shared" si="5"/>
        <v>1.5663571486207217</v>
      </c>
      <c r="H114" s="44"/>
    </row>
    <row r="115" spans="1:8" s="39" customFormat="1" hidden="1" x14ac:dyDescent="0.25">
      <c r="A115" s="40">
        <v>76</v>
      </c>
      <c r="B115" s="41">
        <f t="shared" si="6"/>
        <v>1.2666666666666666</v>
      </c>
      <c r="C115" s="423">
        <f t="shared" si="8"/>
        <v>0</v>
      </c>
      <c r="D115" s="28">
        <v>454000</v>
      </c>
      <c r="E115" s="294">
        <f t="shared" si="7"/>
        <v>0</v>
      </c>
      <c r="F115" s="42">
        <v>1.26</v>
      </c>
      <c r="G115" s="43">
        <f t="shared" si="5"/>
        <v>0</v>
      </c>
      <c r="H115" s="44"/>
    </row>
    <row r="116" spans="1:8" s="39" customFormat="1" hidden="1" x14ac:dyDescent="0.25">
      <c r="A116" s="40">
        <v>77</v>
      </c>
      <c r="B116" s="41">
        <f t="shared" si="6"/>
        <v>1.2833333333333334</v>
      </c>
      <c r="C116" s="423">
        <f t="shared" si="8"/>
        <v>0</v>
      </c>
      <c r="D116" s="28">
        <v>454000</v>
      </c>
      <c r="E116" s="294">
        <f t="shared" si="7"/>
        <v>0</v>
      </c>
      <c r="F116" s="42">
        <v>1.26</v>
      </c>
      <c r="G116" s="43">
        <f t="shared" si="5"/>
        <v>0</v>
      </c>
      <c r="H116" s="44"/>
    </row>
    <row r="117" spans="1:8" s="39" customFormat="1" hidden="1" x14ac:dyDescent="0.25">
      <c r="A117" s="40">
        <v>78</v>
      </c>
      <c r="B117" s="41">
        <f t="shared" si="6"/>
        <v>1.3</v>
      </c>
      <c r="C117" s="423">
        <f t="shared" si="8"/>
        <v>0</v>
      </c>
      <c r="D117" s="28">
        <v>454000</v>
      </c>
      <c r="E117" s="294">
        <f t="shared" si="7"/>
        <v>0</v>
      </c>
      <c r="F117" s="42">
        <v>1.26</v>
      </c>
      <c r="G117" s="43">
        <f t="shared" si="5"/>
        <v>0</v>
      </c>
      <c r="H117" s="44"/>
    </row>
    <row r="118" spans="1:8" s="39" customFormat="1" hidden="1" x14ac:dyDescent="0.25">
      <c r="A118" s="40">
        <v>79</v>
      </c>
      <c r="B118" s="41">
        <f t="shared" si="6"/>
        <v>1.3166666666666667</v>
      </c>
      <c r="C118" s="423">
        <f t="shared" si="8"/>
        <v>0</v>
      </c>
      <c r="D118" s="28">
        <v>454000</v>
      </c>
      <c r="E118" s="294">
        <f t="shared" si="7"/>
        <v>0</v>
      </c>
      <c r="F118" s="42">
        <v>1.26</v>
      </c>
      <c r="G118" s="43">
        <f t="shared" si="5"/>
        <v>0</v>
      </c>
      <c r="H118" s="44"/>
    </row>
    <row r="119" spans="1:8" s="39" customFormat="1" hidden="1" x14ac:dyDescent="0.25">
      <c r="A119" s="40">
        <v>80</v>
      </c>
      <c r="B119" s="41">
        <f t="shared" si="6"/>
        <v>1.3333333333333333</v>
      </c>
      <c r="C119" s="423">
        <f t="shared" si="8"/>
        <v>1.6666666666666667E-5</v>
      </c>
      <c r="D119" s="28">
        <v>454000</v>
      </c>
      <c r="E119" s="294">
        <f t="shared" si="7"/>
        <v>7.5666666666666673</v>
      </c>
      <c r="F119" s="42">
        <v>1.26</v>
      </c>
      <c r="G119" s="43">
        <f t="shared" si="5"/>
        <v>1.4102297520315357</v>
      </c>
      <c r="H119" s="44"/>
    </row>
    <row r="120" spans="1:8" s="39" customFormat="1" hidden="1" x14ac:dyDescent="0.25">
      <c r="A120" s="40">
        <v>81</v>
      </c>
      <c r="B120" s="41">
        <f t="shared" si="6"/>
        <v>1.35</v>
      </c>
      <c r="C120" s="423">
        <f t="shared" si="8"/>
        <v>0</v>
      </c>
      <c r="D120" s="28">
        <v>454000</v>
      </c>
      <c r="E120" s="294">
        <f t="shared" si="7"/>
        <v>0</v>
      </c>
      <c r="F120" s="42">
        <v>1.26</v>
      </c>
      <c r="G120" s="43">
        <f t="shared" si="5"/>
        <v>0</v>
      </c>
      <c r="H120" s="44"/>
    </row>
    <row r="121" spans="1:8" s="39" customFormat="1" hidden="1" x14ac:dyDescent="0.25">
      <c r="A121" s="40">
        <v>82</v>
      </c>
      <c r="B121" s="41">
        <f t="shared" si="6"/>
        <v>1.3666666666666667</v>
      </c>
      <c r="C121" s="423">
        <f t="shared" si="8"/>
        <v>0</v>
      </c>
      <c r="D121" s="28">
        <v>454000</v>
      </c>
      <c r="E121" s="294">
        <f t="shared" si="7"/>
        <v>0</v>
      </c>
      <c r="F121" s="42">
        <v>1.26</v>
      </c>
      <c r="G121" s="43">
        <f t="shared" si="5"/>
        <v>0</v>
      </c>
      <c r="H121" s="44"/>
    </row>
    <row r="122" spans="1:8" s="39" customFormat="1" hidden="1" x14ac:dyDescent="0.25">
      <c r="A122" s="40">
        <v>83</v>
      </c>
      <c r="B122" s="41">
        <f t="shared" si="6"/>
        <v>1.3833333333333333</v>
      </c>
      <c r="C122" s="423">
        <f t="shared" si="8"/>
        <v>0</v>
      </c>
      <c r="D122" s="28">
        <v>454000</v>
      </c>
      <c r="E122" s="294">
        <f t="shared" si="7"/>
        <v>0</v>
      </c>
      <c r="F122" s="42">
        <v>1.26</v>
      </c>
      <c r="G122" s="43">
        <f t="shared" si="5"/>
        <v>0</v>
      </c>
      <c r="H122" s="44"/>
    </row>
    <row r="123" spans="1:8" s="39" customFormat="1" hidden="1" x14ac:dyDescent="0.25">
      <c r="A123" s="40">
        <v>84</v>
      </c>
      <c r="B123" s="41">
        <f t="shared" si="6"/>
        <v>1.4</v>
      </c>
      <c r="C123" s="423">
        <f t="shared" si="8"/>
        <v>0</v>
      </c>
      <c r="D123" s="28">
        <v>454000</v>
      </c>
      <c r="E123" s="294">
        <f t="shared" si="7"/>
        <v>0</v>
      </c>
      <c r="F123" s="42">
        <v>1.26</v>
      </c>
      <c r="G123" s="43">
        <f t="shared" si="5"/>
        <v>0</v>
      </c>
      <c r="H123" s="44"/>
    </row>
    <row r="124" spans="1:8" s="39" customFormat="1" hidden="1" x14ac:dyDescent="0.25">
      <c r="A124" s="40">
        <v>85</v>
      </c>
      <c r="B124" s="41">
        <f t="shared" si="6"/>
        <v>1.4166666666666667</v>
      </c>
      <c r="C124" s="423">
        <f t="shared" si="8"/>
        <v>1.6666666666666667E-5</v>
      </c>
      <c r="D124" s="28">
        <v>454000</v>
      </c>
      <c r="E124" s="294">
        <f t="shared" si="7"/>
        <v>7.5666666666666673</v>
      </c>
      <c r="F124" s="42">
        <v>1.26</v>
      </c>
      <c r="G124" s="43">
        <f t="shared" si="5"/>
        <v>1.2696644282347398</v>
      </c>
      <c r="H124" s="44"/>
    </row>
    <row r="125" spans="1:8" s="39" customFormat="1" hidden="1" x14ac:dyDescent="0.25">
      <c r="A125" s="40">
        <v>86</v>
      </c>
      <c r="B125" s="41">
        <f t="shared" si="6"/>
        <v>1.4333333333333333</v>
      </c>
      <c r="C125" s="423">
        <f t="shared" si="8"/>
        <v>0</v>
      </c>
      <c r="D125" s="28">
        <v>454000</v>
      </c>
      <c r="E125" s="294">
        <f t="shared" si="7"/>
        <v>0</v>
      </c>
      <c r="F125" s="42">
        <v>1.26</v>
      </c>
      <c r="G125" s="43">
        <f t="shared" si="5"/>
        <v>0</v>
      </c>
      <c r="H125" s="44"/>
    </row>
    <row r="126" spans="1:8" s="39" customFormat="1" hidden="1" x14ac:dyDescent="0.25">
      <c r="A126" s="40">
        <v>87</v>
      </c>
      <c r="B126" s="41">
        <f t="shared" si="6"/>
        <v>1.45</v>
      </c>
      <c r="C126" s="423">
        <f t="shared" si="8"/>
        <v>0</v>
      </c>
      <c r="D126" s="28">
        <v>454000</v>
      </c>
      <c r="E126" s="294">
        <f t="shared" si="7"/>
        <v>0</v>
      </c>
      <c r="F126" s="42">
        <v>1.26</v>
      </c>
      <c r="G126" s="43">
        <f t="shared" si="5"/>
        <v>0</v>
      </c>
      <c r="H126" s="44"/>
    </row>
    <row r="127" spans="1:8" s="39" customFormat="1" hidden="1" x14ac:dyDescent="0.25">
      <c r="A127" s="40">
        <v>88</v>
      </c>
      <c r="B127" s="41">
        <f t="shared" si="6"/>
        <v>1.4666666666666666</v>
      </c>
      <c r="C127" s="423">
        <f t="shared" si="8"/>
        <v>0</v>
      </c>
      <c r="D127" s="28">
        <v>454000</v>
      </c>
      <c r="E127" s="294">
        <f t="shared" si="7"/>
        <v>0</v>
      </c>
      <c r="F127" s="42">
        <v>1.26</v>
      </c>
      <c r="G127" s="43">
        <f t="shared" si="5"/>
        <v>0</v>
      </c>
      <c r="H127" s="44"/>
    </row>
    <row r="128" spans="1:8" s="39" customFormat="1" hidden="1" x14ac:dyDescent="0.25">
      <c r="A128" s="40">
        <v>89</v>
      </c>
      <c r="B128" s="41">
        <f t="shared" si="6"/>
        <v>1.4833333333333334</v>
      </c>
      <c r="C128" s="423">
        <f t="shared" si="8"/>
        <v>0</v>
      </c>
      <c r="D128" s="28">
        <v>454000</v>
      </c>
      <c r="E128" s="294">
        <f t="shared" si="7"/>
        <v>0</v>
      </c>
      <c r="F128" s="42">
        <v>1.26</v>
      </c>
      <c r="G128" s="43">
        <f t="shared" si="5"/>
        <v>0</v>
      </c>
      <c r="H128" s="44"/>
    </row>
    <row r="129" spans="1:8" s="39" customFormat="1" hidden="1" x14ac:dyDescent="0.25">
      <c r="A129" s="40">
        <v>90</v>
      </c>
      <c r="B129" s="41">
        <f t="shared" si="6"/>
        <v>1.5</v>
      </c>
      <c r="C129" s="423">
        <f t="shared" si="8"/>
        <v>1.6666666666666667E-5</v>
      </c>
      <c r="D129" s="28">
        <v>454000</v>
      </c>
      <c r="E129" s="294">
        <f t="shared" si="7"/>
        <v>7.5666666666666673</v>
      </c>
      <c r="F129" s="42">
        <v>1.26</v>
      </c>
      <c r="G129" s="43">
        <f t="shared" si="5"/>
        <v>1.143110020195206</v>
      </c>
      <c r="H129" s="44"/>
    </row>
    <row r="130" spans="1:8" s="39" customFormat="1" hidden="1" x14ac:dyDescent="0.25">
      <c r="A130" s="40">
        <v>91</v>
      </c>
      <c r="B130" s="41">
        <f t="shared" si="6"/>
        <v>1.5166666666666666</v>
      </c>
      <c r="C130" s="423">
        <f t="shared" si="8"/>
        <v>0</v>
      </c>
      <c r="D130" s="28">
        <v>454000</v>
      </c>
      <c r="E130" s="294">
        <f t="shared" si="7"/>
        <v>0</v>
      </c>
      <c r="F130" s="42">
        <v>1.26</v>
      </c>
      <c r="G130" s="43">
        <f t="shared" si="5"/>
        <v>0</v>
      </c>
      <c r="H130" s="44"/>
    </row>
    <row r="131" spans="1:8" s="39" customFormat="1" hidden="1" x14ac:dyDescent="0.25">
      <c r="A131" s="40">
        <v>92</v>
      </c>
      <c r="B131" s="41">
        <f t="shared" si="6"/>
        <v>1.5333333333333334</v>
      </c>
      <c r="C131" s="423">
        <f t="shared" si="8"/>
        <v>0</v>
      </c>
      <c r="D131" s="28">
        <v>454000</v>
      </c>
      <c r="E131" s="294">
        <f t="shared" si="7"/>
        <v>0</v>
      </c>
      <c r="F131" s="42">
        <v>1.26</v>
      </c>
      <c r="G131" s="43">
        <f t="shared" si="5"/>
        <v>0</v>
      </c>
      <c r="H131" s="44"/>
    </row>
    <row r="132" spans="1:8" s="39" customFormat="1" hidden="1" x14ac:dyDescent="0.25">
      <c r="A132" s="40">
        <v>93</v>
      </c>
      <c r="B132" s="41">
        <f t="shared" si="6"/>
        <v>1.55</v>
      </c>
      <c r="C132" s="423">
        <f t="shared" si="8"/>
        <v>0</v>
      </c>
      <c r="D132" s="28">
        <v>454000</v>
      </c>
      <c r="E132" s="294">
        <f t="shared" si="7"/>
        <v>0</v>
      </c>
      <c r="F132" s="42">
        <v>1.26</v>
      </c>
      <c r="G132" s="43">
        <f t="shared" si="5"/>
        <v>0</v>
      </c>
      <c r="H132" s="44"/>
    </row>
    <row r="133" spans="1:8" s="39" customFormat="1" hidden="1" x14ac:dyDescent="0.25">
      <c r="A133" s="40">
        <v>94</v>
      </c>
      <c r="B133" s="41">
        <f t="shared" si="6"/>
        <v>1.5666666666666667</v>
      </c>
      <c r="C133" s="423">
        <f t="shared" si="8"/>
        <v>0</v>
      </c>
      <c r="D133" s="28">
        <v>454000</v>
      </c>
      <c r="E133" s="294">
        <f t="shared" si="7"/>
        <v>0</v>
      </c>
      <c r="F133" s="42">
        <v>1.26</v>
      </c>
      <c r="G133" s="43">
        <f t="shared" si="5"/>
        <v>0</v>
      </c>
      <c r="H133" s="44"/>
    </row>
    <row r="134" spans="1:8" s="39" customFormat="1" hidden="1" x14ac:dyDescent="0.25">
      <c r="A134" s="40">
        <v>95</v>
      </c>
      <c r="B134" s="41">
        <f t="shared" si="6"/>
        <v>1.5833333333333333</v>
      </c>
      <c r="C134" s="423">
        <f t="shared" si="8"/>
        <v>1.6666666666666667E-5</v>
      </c>
      <c r="D134" s="28">
        <v>454000</v>
      </c>
      <c r="E134" s="294">
        <f t="shared" si="7"/>
        <v>7.5666666666666673</v>
      </c>
      <c r="F134" s="42">
        <v>1.26</v>
      </c>
      <c r="G134" s="43">
        <f t="shared" si="5"/>
        <v>1.0291699831958256</v>
      </c>
      <c r="H134" s="44"/>
    </row>
    <row r="135" spans="1:8" s="39" customFormat="1" hidden="1" x14ac:dyDescent="0.25">
      <c r="A135" s="40">
        <v>96</v>
      </c>
      <c r="B135" s="41">
        <f t="shared" si="6"/>
        <v>1.6</v>
      </c>
      <c r="C135" s="423">
        <f t="shared" si="8"/>
        <v>0</v>
      </c>
      <c r="D135" s="28">
        <v>454000</v>
      </c>
      <c r="E135" s="294">
        <f t="shared" si="7"/>
        <v>0</v>
      </c>
      <c r="F135" s="42">
        <v>1.26</v>
      </c>
      <c r="G135" s="43">
        <f t="shared" ref="G135:G159" si="9">E135*EXP(-F135*B135)</f>
        <v>0</v>
      </c>
      <c r="H135" s="44"/>
    </row>
    <row r="136" spans="1:8" s="39" customFormat="1" hidden="1" x14ac:dyDescent="0.25">
      <c r="A136" s="40">
        <v>97</v>
      </c>
      <c r="B136" s="41">
        <f t="shared" si="6"/>
        <v>1.6166666666666667</v>
      </c>
      <c r="C136" s="423">
        <f t="shared" si="8"/>
        <v>0</v>
      </c>
      <c r="D136" s="28">
        <v>454000</v>
      </c>
      <c r="E136" s="294">
        <f t="shared" si="7"/>
        <v>0</v>
      </c>
      <c r="F136" s="42">
        <v>1.26</v>
      </c>
      <c r="G136" s="43">
        <f t="shared" si="9"/>
        <v>0</v>
      </c>
      <c r="H136" s="44"/>
    </row>
    <row r="137" spans="1:8" s="39" customFormat="1" hidden="1" x14ac:dyDescent="0.25">
      <c r="A137" s="40">
        <v>98</v>
      </c>
      <c r="B137" s="41">
        <f t="shared" si="6"/>
        <v>1.6333333333333333</v>
      </c>
      <c r="C137" s="423">
        <f t="shared" si="8"/>
        <v>0</v>
      </c>
      <c r="D137" s="28">
        <v>454000</v>
      </c>
      <c r="E137" s="294">
        <f t="shared" si="7"/>
        <v>0</v>
      </c>
      <c r="F137" s="42">
        <v>1.26</v>
      </c>
      <c r="G137" s="43">
        <f t="shared" si="9"/>
        <v>0</v>
      </c>
      <c r="H137" s="44"/>
    </row>
    <row r="138" spans="1:8" s="39" customFormat="1" hidden="1" x14ac:dyDescent="0.25">
      <c r="A138" s="40">
        <v>99</v>
      </c>
      <c r="B138" s="41">
        <f t="shared" si="6"/>
        <v>1.65</v>
      </c>
      <c r="C138" s="423">
        <f t="shared" si="8"/>
        <v>0</v>
      </c>
      <c r="D138" s="28">
        <v>454000</v>
      </c>
      <c r="E138" s="294">
        <f t="shared" si="7"/>
        <v>0</v>
      </c>
      <c r="F138" s="42">
        <v>1.26</v>
      </c>
      <c r="G138" s="43">
        <f t="shared" si="9"/>
        <v>0</v>
      </c>
      <c r="H138" s="44"/>
    </row>
    <row r="139" spans="1:8" s="39" customFormat="1" hidden="1" x14ac:dyDescent="0.25">
      <c r="A139" s="40">
        <v>100</v>
      </c>
      <c r="B139" s="41">
        <f t="shared" si="6"/>
        <v>1.6666666666666667</v>
      </c>
      <c r="C139" s="423">
        <f t="shared" si="8"/>
        <v>1.6666666666666667E-5</v>
      </c>
      <c r="D139" s="28">
        <v>454000</v>
      </c>
      <c r="E139" s="294">
        <f t="shared" si="7"/>
        <v>7.5666666666666673</v>
      </c>
      <c r="F139" s="42">
        <v>1.26</v>
      </c>
      <c r="G139" s="43">
        <f t="shared" si="9"/>
        <v>0.92658697378089649</v>
      </c>
      <c r="H139" s="44"/>
    </row>
    <row r="140" spans="1:8" s="39" customFormat="1" hidden="1" x14ac:dyDescent="0.25">
      <c r="A140" s="40">
        <v>101</v>
      </c>
      <c r="B140" s="41">
        <f t="shared" si="6"/>
        <v>1.6833333333333333</v>
      </c>
      <c r="C140" s="423">
        <f t="shared" si="8"/>
        <v>0</v>
      </c>
      <c r="D140" s="28">
        <v>454000</v>
      </c>
      <c r="E140" s="294">
        <f t="shared" si="7"/>
        <v>0</v>
      </c>
      <c r="F140" s="42">
        <v>1.26</v>
      </c>
      <c r="G140" s="43">
        <f t="shared" si="9"/>
        <v>0</v>
      </c>
      <c r="H140" s="44"/>
    </row>
    <row r="141" spans="1:8" s="39" customFormat="1" hidden="1" x14ac:dyDescent="0.25">
      <c r="A141" s="40">
        <v>102</v>
      </c>
      <c r="B141" s="41">
        <f t="shared" si="6"/>
        <v>1.7</v>
      </c>
      <c r="C141" s="423">
        <f t="shared" si="8"/>
        <v>0</v>
      </c>
      <c r="D141" s="28">
        <v>454000</v>
      </c>
      <c r="E141" s="294">
        <f t="shared" si="7"/>
        <v>0</v>
      </c>
      <c r="F141" s="42">
        <v>1.26</v>
      </c>
      <c r="G141" s="43">
        <f t="shared" si="9"/>
        <v>0</v>
      </c>
      <c r="H141" s="44"/>
    </row>
    <row r="142" spans="1:8" s="39" customFormat="1" hidden="1" x14ac:dyDescent="0.25">
      <c r="A142" s="40">
        <v>103</v>
      </c>
      <c r="B142" s="41">
        <f t="shared" si="6"/>
        <v>1.7166666666666666</v>
      </c>
      <c r="C142" s="423">
        <f t="shared" si="8"/>
        <v>0</v>
      </c>
      <c r="D142" s="28">
        <v>454000</v>
      </c>
      <c r="E142" s="294">
        <f t="shared" si="7"/>
        <v>0</v>
      </c>
      <c r="F142" s="42">
        <v>1.26</v>
      </c>
      <c r="G142" s="43">
        <f t="shared" si="9"/>
        <v>0</v>
      </c>
      <c r="H142" s="44"/>
    </row>
    <row r="143" spans="1:8" s="39" customFormat="1" hidden="1" x14ac:dyDescent="0.25">
      <c r="A143" s="40">
        <v>104</v>
      </c>
      <c r="B143" s="41">
        <f t="shared" si="6"/>
        <v>1.7333333333333334</v>
      </c>
      <c r="C143" s="423">
        <f t="shared" si="8"/>
        <v>0</v>
      </c>
      <c r="D143" s="28">
        <v>454000</v>
      </c>
      <c r="E143" s="294">
        <f t="shared" si="7"/>
        <v>0</v>
      </c>
      <c r="F143" s="42">
        <v>1.26</v>
      </c>
      <c r="G143" s="43">
        <f t="shared" si="9"/>
        <v>0</v>
      </c>
      <c r="H143" s="44"/>
    </row>
    <row r="144" spans="1:8" s="39" customFormat="1" hidden="1" x14ac:dyDescent="0.25">
      <c r="A144" s="40">
        <v>105</v>
      </c>
      <c r="B144" s="41">
        <f t="shared" si="6"/>
        <v>1.75</v>
      </c>
      <c r="C144" s="423">
        <f t="shared" si="8"/>
        <v>1.6666666666666667E-5</v>
      </c>
      <c r="D144" s="28">
        <v>454000</v>
      </c>
      <c r="E144" s="294">
        <f t="shared" si="7"/>
        <v>7.5666666666666673</v>
      </c>
      <c r="F144" s="42">
        <v>1.26</v>
      </c>
      <c r="G144" s="43">
        <f t="shared" si="9"/>
        <v>0.83422897480393821</v>
      </c>
      <c r="H144" s="44"/>
    </row>
    <row r="145" spans="1:12" s="39" customFormat="1" hidden="1" x14ac:dyDescent="0.25">
      <c r="A145" s="40">
        <v>106</v>
      </c>
      <c r="B145" s="41">
        <f t="shared" si="6"/>
        <v>1.7666666666666666</v>
      </c>
      <c r="C145" s="423">
        <f t="shared" si="8"/>
        <v>0</v>
      </c>
      <c r="D145" s="28">
        <v>454000</v>
      </c>
      <c r="E145" s="294">
        <f t="shared" si="7"/>
        <v>0</v>
      </c>
      <c r="F145" s="42">
        <v>1.26</v>
      </c>
      <c r="G145" s="43">
        <f t="shared" si="9"/>
        <v>0</v>
      </c>
      <c r="H145" s="44"/>
    </row>
    <row r="146" spans="1:12" s="39" customFormat="1" hidden="1" x14ac:dyDescent="0.25">
      <c r="A146" s="40">
        <v>107</v>
      </c>
      <c r="B146" s="41">
        <f t="shared" si="6"/>
        <v>1.7833333333333334</v>
      </c>
      <c r="C146" s="423">
        <f t="shared" si="8"/>
        <v>0</v>
      </c>
      <c r="D146" s="28">
        <v>454000</v>
      </c>
      <c r="E146" s="294">
        <f t="shared" si="7"/>
        <v>0</v>
      </c>
      <c r="F146" s="42">
        <v>1.26</v>
      </c>
      <c r="G146" s="43">
        <f t="shared" si="9"/>
        <v>0</v>
      </c>
      <c r="H146" s="44"/>
    </row>
    <row r="147" spans="1:12" s="39" customFormat="1" hidden="1" x14ac:dyDescent="0.25">
      <c r="A147" s="40">
        <v>108</v>
      </c>
      <c r="B147" s="41">
        <f t="shared" si="6"/>
        <v>1.8</v>
      </c>
      <c r="C147" s="423">
        <f t="shared" si="8"/>
        <v>0</v>
      </c>
      <c r="D147" s="28">
        <v>454000</v>
      </c>
      <c r="E147" s="294">
        <f t="shared" si="7"/>
        <v>0</v>
      </c>
      <c r="F147" s="42">
        <v>1.26</v>
      </c>
      <c r="G147" s="43">
        <f t="shared" si="9"/>
        <v>0</v>
      </c>
      <c r="H147" s="44"/>
    </row>
    <row r="148" spans="1:12" s="39" customFormat="1" hidden="1" x14ac:dyDescent="0.25">
      <c r="A148" s="40">
        <v>109</v>
      </c>
      <c r="B148" s="41">
        <f t="shared" si="6"/>
        <v>1.8166666666666667</v>
      </c>
      <c r="C148" s="423">
        <f t="shared" si="8"/>
        <v>0</v>
      </c>
      <c r="D148" s="28">
        <v>454000</v>
      </c>
      <c r="E148" s="294">
        <f t="shared" si="7"/>
        <v>0</v>
      </c>
      <c r="F148" s="42">
        <v>1.26</v>
      </c>
      <c r="G148" s="43">
        <f t="shared" si="9"/>
        <v>0</v>
      </c>
      <c r="H148" s="44"/>
    </row>
    <row r="149" spans="1:12" s="39" customFormat="1" hidden="1" x14ac:dyDescent="0.25">
      <c r="A149" s="40">
        <v>110</v>
      </c>
      <c r="B149" s="41">
        <f t="shared" si="6"/>
        <v>1.8333333333333333</v>
      </c>
      <c r="C149" s="423">
        <f t="shared" si="8"/>
        <v>1.6666666666666667E-5</v>
      </c>
      <c r="D149" s="28">
        <v>454000</v>
      </c>
      <c r="E149" s="294">
        <f t="shared" si="7"/>
        <v>7.5666666666666673</v>
      </c>
      <c r="F149" s="42">
        <v>1.26</v>
      </c>
      <c r="G149" s="43">
        <f t="shared" si="9"/>
        <v>0.75107680346798555</v>
      </c>
      <c r="H149" s="44"/>
    </row>
    <row r="150" spans="1:12" s="39" customFormat="1" hidden="1" x14ac:dyDescent="0.25">
      <c r="A150" s="40">
        <v>111</v>
      </c>
      <c r="B150" s="41">
        <f t="shared" si="6"/>
        <v>1.85</v>
      </c>
      <c r="C150" s="423">
        <f t="shared" si="8"/>
        <v>0</v>
      </c>
      <c r="D150" s="28">
        <v>454000</v>
      </c>
      <c r="E150" s="294">
        <f t="shared" si="7"/>
        <v>0</v>
      </c>
      <c r="F150" s="42">
        <v>1.26</v>
      </c>
      <c r="G150" s="43">
        <f t="shared" si="9"/>
        <v>0</v>
      </c>
      <c r="H150" s="44"/>
    </row>
    <row r="151" spans="1:12" s="39" customFormat="1" hidden="1" x14ac:dyDescent="0.25">
      <c r="A151" s="40">
        <v>112</v>
      </c>
      <c r="B151" s="41">
        <f t="shared" si="6"/>
        <v>1.8666666666666667</v>
      </c>
      <c r="C151" s="423">
        <f t="shared" si="8"/>
        <v>0</v>
      </c>
      <c r="D151" s="28">
        <v>454000</v>
      </c>
      <c r="E151" s="294">
        <f t="shared" si="7"/>
        <v>0</v>
      </c>
      <c r="F151" s="42">
        <v>1.26</v>
      </c>
      <c r="G151" s="43">
        <f t="shared" si="9"/>
        <v>0</v>
      </c>
      <c r="H151" s="44"/>
    </row>
    <row r="152" spans="1:12" s="39" customFormat="1" hidden="1" x14ac:dyDescent="0.25">
      <c r="A152" s="40">
        <v>113</v>
      </c>
      <c r="B152" s="41">
        <f t="shared" si="6"/>
        <v>1.8833333333333333</v>
      </c>
      <c r="C152" s="423">
        <f t="shared" si="8"/>
        <v>0</v>
      </c>
      <c r="D152" s="28">
        <v>454000</v>
      </c>
      <c r="E152" s="294">
        <f t="shared" si="7"/>
        <v>0</v>
      </c>
      <c r="F152" s="42">
        <v>1.26</v>
      </c>
      <c r="G152" s="43">
        <f t="shared" si="9"/>
        <v>0</v>
      </c>
      <c r="H152" s="44"/>
    </row>
    <row r="153" spans="1:12" s="39" customFormat="1" hidden="1" x14ac:dyDescent="0.25">
      <c r="A153" s="40">
        <v>114</v>
      </c>
      <c r="B153" s="41">
        <f t="shared" si="6"/>
        <v>1.9</v>
      </c>
      <c r="C153" s="423">
        <f t="shared" si="8"/>
        <v>0</v>
      </c>
      <c r="D153" s="28">
        <v>454000</v>
      </c>
      <c r="E153" s="294">
        <f t="shared" si="7"/>
        <v>0</v>
      </c>
      <c r="F153" s="42">
        <v>1.26</v>
      </c>
      <c r="G153" s="43">
        <f t="shared" si="9"/>
        <v>0</v>
      </c>
      <c r="H153" s="44"/>
    </row>
    <row r="154" spans="1:12" s="39" customFormat="1" hidden="1" x14ac:dyDescent="0.25">
      <c r="A154" s="40">
        <v>115</v>
      </c>
      <c r="B154" s="41">
        <f t="shared" si="6"/>
        <v>1.9166666666666667</v>
      </c>
      <c r="C154" s="423">
        <f t="shared" si="8"/>
        <v>1.6666666666666667E-5</v>
      </c>
      <c r="D154" s="28">
        <v>454000</v>
      </c>
      <c r="E154" s="294">
        <f t="shared" si="7"/>
        <v>7.5666666666666673</v>
      </c>
      <c r="F154" s="42">
        <v>1.26</v>
      </c>
      <c r="G154" s="43">
        <f t="shared" si="9"/>
        <v>0.6762128645079325</v>
      </c>
      <c r="H154" s="44"/>
    </row>
    <row r="155" spans="1:12" s="39" customFormat="1" hidden="1" x14ac:dyDescent="0.25">
      <c r="A155" s="40">
        <v>116</v>
      </c>
      <c r="B155" s="41">
        <f t="shared" si="6"/>
        <v>1.9333333333333333</v>
      </c>
      <c r="C155" s="423">
        <f t="shared" si="8"/>
        <v>0</v>
      </c>
      <c r="D155" s="28">
        <v>454000</v>
      </c>
      <c r="E155" s="294">
        <f t="shared" si="7"/>
        <v>0</v>
      </c>
      <c r="F155" s="42">
        <v>1.26</v>
      </c>
      <c r="G155" s="43">
        <f t="shared" si="9"/>
        <v>0</v>
      </c>
      <c r="H155" s="44"/>
    </row>
    <row r="156" spans="1:12" s="39" customFormat="1" hidden="1" x14ac:dyDescent="0.25">
      <c r="A156" s="40">
        <v>117</v>
      </c>
      <c r="B156" s="41">
        <f t="shared" si="6"/>
        <v>1.95</v>
      </c>
      <c r="C156" s="423">
        <f t="shared" si="8"/>
        <v>0</v>
      </c>
      <c r="D156" s="28">
        <v>454000</v>
      </c>
      <c r="E156" s="294">
        <f t="shared" si="7"/>
        <v>0</v>
      </c>
      <c r="F156" s="42">
        <v>1.26</v>
      </c>
      <c r="G156" s="43">
        <f t="shared" si="9"/>
        <v>0</v>
      </c>
      <c r="H156" s="44"/>
    </row>
    <row r="157" spans="1:12" s="39" customFormat="1" hidden="1" x14ac:dyDescent="0.25">
      <c r="A157" s="40">
        <v>118</v>
      </c>
      <c r="B157" s="41">
        <f t="shared" si="6"/>
        <v>1.9666666666666666</v>
      </c>
      <c r="C157" s="423">
        <f t="shared" si="8"/>
        <v>0</v>
      </c>
      <c r="D157" s="28">
        <v>454000</v>
      </c>
      <c r="E157" s="294">
        <f t="shared" si="7"/>
        <v>0</v>
      </c>
      <c r="F157" s="42">
        <v>1.26</v>
      </c>
      <c r="G157" s="43">
        <f t="shared" si="9"/>
        <v>0</v>
      </c>
      <c r="H157" s="44"/>
    </row>
    <row r="158" spans="1:12" s="39" customFormat="1" hidden="1" x14ac:dyDescent="0.25">
      <c r="A158" s="40">
        <v>119</v>
      </c>
      <c r="B158" s="41">
        <f t="shared" si="6"/>
        <v>1.9833333333333334</v>
      </c>
      <c r="C158" s="423">
        <f t="shared" si="8"/>
        <v>0</v>
      </c>
      <c r="D158" s="28">
        <v>454000</v>
      </c>
      <c r="E158" s="294">
        <f t="shared" si="7"/>
        <v>0</v>
      </c>
      <c r="F158" s="42">
        <v>1.26</v>
      </c>
      <c r="G158" s="43">
        <f t="shared" si="9"/>
        <v>0</v>
      </c>
      <c r="H158" s="44"/>
    </row>
    <row r="159" spans="1:12" s="39" customFormat="1" x14ac:dyDescent="0.25">
      <c r="A159" s="40">
        <v>120</v>
      </c>
      <c r="B159" s="41">
        <f t="shared" si="6"/>
        <v>2</v>
      </c>
      <c r="C159" s="423">
        <f t="shared" si="8"/>
        <v>1.6666666666666667E-5</v>
      </c>
      <c r="D159" s="28">
        <v>454000</v>
      </c>
      <c r="E159" s="294">
        <f t="shared" si="7"/>
        <v>7.5666666666666673</v>
      </c>
      <c r="F159" s="42">
        <v>1.26</v>
      </c>
      <c r="G159" s="43">
        <f t="shared" si="9"/>
        <v>0.60881102440479551</v>
      </c>
      <c r="H159" s="44"/>
    </row>
    <row r="160" spans="1:12" x14ac:dyDescent="0.25">
      <c r="B160" s="4"/>
      <c r="C160" s="45"/>
      <c r="L160" s="4"/>
    </row>
    <row r="161" spans="1:22" ht="54" customHeight="1" x14ac:dyDescent="0.25">
      <c r="A161" s="288" t="s">
        <v>122</v>
      </c>
      <c r="B161" s="287" t="s">
        <v>286</v>
      </c>
      <c r="C161" s="289" t="s">
        <v>226</v>
      </c>
      <c r="D161" s="287" t="s">
        <v>227</v>
      </c>
      <c r="E161" s="287" t="s">
        <v>24</v>
      </c>
      <c r="F161" s="287" t="s">
        <v>307</v>
      </c>
      <c r="G161" s="287" t="s">
        <v>308</v>
      </c>
      <c r="H161" s="287" t="s">
        <v>13</v>
      </c>
      <c r="I161" s="290" t="s">
        <v>115</v>
      </c>
    </row>
    <row r="162" spans="1:22" x14ac:dyDescent="0.25">
      <c r="A162" s="27" t="s">
        <v>114</v>
      </c>
      <c r="B162" s="46"/>
      <c r="C162" s="24">
        <v>0.45</v>
      </c>
      <c r="D162" s="24">
        <v>16</v>
      </c>
      <c r="E162" s="29">
        <f>(((B162*'TOX and EXPO INPUTS'!$D$30)/C162)*(1-(EXP(-(D162*C162)))))</f>
        <v>0</v>
      </c>
      <c r="F162" s="24" t="e">
        <f>(E162*'TOX and EXPO INPUTS'!$D$21)/'TOX and EXPO INPUTS'!$D$26</f>
        <v>#VALUE!</v>
      </c>
      <c r="G162" s="24" t="e">
        <f>VALUE(TEXT(F162,"0.0E+00"))</f>
        <v>#VALUE!</v>
      </c>
      <c r="H162" s="24" t="e">
        <f>'TOX and EXPO INPUTS'!$D$19/F162</f>
        <v>#VALUE!</v>
      </c>
      <c r="I162" s="30" t="e">
        <f>VALUE(TEXT(H162,"0.0E+00"))</f>
        <v>#VALUE!</v>
      </c>
      <c r="M162" s="4"/>
      <c r="N162" s="4"/>
      <c r="O162" s="4"/>
      <c r="P162" s="4"/>
      <c r="Q162" s="4"/>
      <c r="R162" s="4"/>
      <c r="S162" s="4"/>
      <c r="T162" s="4"/>
      <c r="U162" s="4"/>
      <c r="V162" s="4"/>
    </row>
    <row r="163" spans="1:22" s="9" customFormat="1" x14ac:dyDescent="0.25">
      <c r="A163" s="7" t="s">
        <v>23</v>
      </c>
      <c r="B163" s="46"/>
      <c r="C163" s="24">
        <v>0.45</v>
      </c>
      <c r="D163" s="24">
        <v>18</v>
      </c>
      <c r="E163" s="29">
        <f>(((B163*'TOX and EXPO INPUTS'!$D$31)/C163)*(1-(EXP(-(D163*C163)))))</f>
        <v>0</v>
      </c>
      <c r="F163" s="24" t="e">
        <f>(E163*'TOX and EXPO INPUTS'!$D$21)/'TOX and EXPO INPUTS'!$D$27</f>
        <v>#VALUE!</v>
      </c>
      <c r="G163" s="24" t="e">
        <f>VALUE(TEXT(F163,"0.0E+00"))</f>
        <v>#VALUE!</v>
      </c>
      <c r="H163" s="24" t="e">
        <f>'TOX and EXPO INPUTS'!$D$19/F163</f>
        <v>#VALUE!</v>
      </c>
      <c r="I163" s="30" t="e">
        <f>VALUE(TEXT(H163,"0.0E+00"))</f>
        <v>#VALUE!</v>
      </c>
    </row>
    <row r="164" spans="1:22" s="9" customFormat="1" ht="15" x14ac:dyDescent="0.25">
      <c r="A164" s="25"/>
    </row>
  </sheetData>
  <dataConsolidate/>
  <mergeCells count="15">
    <mergeCell ref="A7:C7"/>
    <mergeCell ref="A8:C8"/>
    <mergeCell ref="A9:B10"/>
    <mergeCell ref="A6:D6"/>
    <mergeCell ref="A11:C11"/>
    <mergeCell ref="A12:C12"/>
    <mergeCell ref="A13:C13"/>
    <mergeCell ref="A14:C14"/>
    <mergeCell ref="A15:C15"/>
    <mergeCell ref="D12:D15"/>
    <mergeCell ref="A18:A19"/>
    <mergeCell ref="A21:A22"/>
    <mergeCell ref="A24:A25"/>
    <mergeCell ref="A27:A28"/>
    <mergeCell ref="A17:F17"/>
  </mergeCells>
  <phoneticPr fontId="3" type="noConversion"/>
  <conditionalFormatting sqref="I162:I163 K32:K33">
    <cfRule type="cellIs" dxfId="6" priority="7" operator="lessThan">
      <formula>$F$2</formula>
    </cfRule>
  </conditionalFormatting>
  <dataValidations count="1">
    <dataValidation type="list" allowBlank="1" showInputMessage="1" showErrorMessage="1" sqref="D12:D15">
      <formula1>$G$12:$G$15</formula1>
    </dataValidation>
  </dataValidations>
  <pageMargins left="0.75" right="0.75" top="1" bottom="1" header="0.5" footer="0.5"/>
  <pageSetup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2"/>
  <sheetViews>
    <sheetView zoomScale="70" zoomScaleNormal="70" workbookViewId="0">
      <selection activeCell="J12" sqref="J12"/>
    </sheetView>
  </sheetViews>
  <sheetFormatPr defaultRowHeight="18.75" x14ac:dyDescent="0.3"/>
  <cols>
    <col min="1" max="1" width="13.28515625" style="308" customWidth="1"/>
    <col min="2" max="2" width="19.5703125" style="308" customWidth="1"/>
    <col min="3" max="3" width="17.7109375" style="308" customWidth="1"/>
    <col min="4" max="4" width="18.42578125" style="308" customWidth="1"/>
    <col min="5" max="5" width="18.5703125" style="308" customWidth="1"/>
    <col min="6" max="6" width="16.28515625" style="308" customWidth="1"/>
    <col min="7" max="7" width="19.28515625" style="308" bestFit="1" customWidth="1"/>
    <col min="8" max="8" width="15.85546875" style="308" customWidth="1"/>
    <col min="9" max="9" width="14.140625" style="308" customWidth="1"/>
    <col min="10" max="10" width="16.28515625" style="308" customWidth="1"/>
    <col min="11" max="16384" width="9.140625" style="308"/>
  </cols>
  <sheetData>
    <row r="1" spans="1:9" ht="20.25" x14ac:dyDescent="0.3">
      <c r="A1" s="448" t="s">
        <v>246</v>
      </c>
    </row>
    <row r="3" spans="1:9" x14ac:dyDescent="0.3">
      <c r="A3" s="307" t="s">
        <v>152</v>
      </c>
    </row>
    <row r="5" spans="1:9" x14ac:dyDescent="0.3">
      <c r="A5" s="307" t="s">
        <v>134</v>
      </c>
    </row>
    <row r="6" spans="1:9" x14ac:dyDescent="0.3">
      <c r="A6" s="515" t="s">
        <v>135</v>
      </c>
      <c r="B6" s="515"/>
      <c r="C6" s="515"/>
      <c r="D6" s="515"/>
      <c r="E6" s="515"/>
      <c r="F6" s="515"/>
      <c r="G6" s="515"/>
      <c r="H6" s="309"/>
      <c r="I6" s="309"/>
    </row>
    <row r="7" spans="1:9" ht="56.25" x14ac:dyDescent="0.3">
      <c r="A7" s="310" t="s">
        <v>136</v>
      </c>
      <c r="B7" s="310" t="s">
        <v>230</v>
      </c>
      <c r="C7" s="310" t="s">
        <v>231</v>
      </c>
      <c r="D7" s="310" t="s">
        <v>232</v>
      </c>
      <c r="E7" s="310" t="s">
        <v>233</v>
      </c>
      <c r="F7" s="310" t="s">
        <v>234</v>
      </c>
      <c r="G7" s="310" t="s">
        <v>235</v>
      </c>
    </row>
    <row r="8" spans="1:9" x14ac:dyDescent="0.3">
      <c r="A8" s="311">
        <v>1</v>
      </c>
      <c r="B8" s="312">
        <f>+(A8/2)</f>
        <v>0.5</v>
      </c>
      <c r="C8" s="313">
        <v>0.01</v>
      </c>
      <c r="D8" s="314">
        <f>(4/3)*3.14*(B8^3)</f>
        <v>0.52333333333333332</v>
      </c>
      <c r="E8" s="315">
        <f>C8*D8</f>
        <v>5.2333333333333329E-3</v>
      </c>
      <c r="F8" s="315">
        <f t="shared" ref="F8:F25" si="0">(E8/(1.33*3.14))^0.333</f>
        <v>0.10805205654369823</v>
      </c>
      <c r="G8" s="315">
        <f>F8*2</f>
        <v>0.21610411308739647</v>
      </c>
    </row>
    <row r="9" spans="1:9" x14ac:dyDescent="0.3">
      <c r="A9" s="311">
        <v>5</v>
      </c>
      <c r="B9" s="312">
        <f>+(A9/2)</f>
        <v>2.5</v>
      </c>
      <c r="C9" s="313">
        <v>0.01</v>
      </c>
      <c r="D9" s="314">
        <f t="shared" ref="D9:D22" si="1">(4/3)*3.14*(B9^3)</f>
        <v>65.416666666666671</v>
      </c>
      <c r="E9" s="314">
        <f t="shared" ref="E9:E22" si="2">C9*D9</f>
        <v>0.65416666666666667</v>
      </c>
      <c r="F9" s="314">
        <f t="shared" si="0"/>
        <v>0.53939146667718019</v>
      </c>
      <c r="G9" s="314">
        <f t="shared" ref="G9:G25" si="3">F9*2</f>
        <v>1.0787829333543604</v>
      </c>
    </row>
    <row r="10" spans="1:9" x14ac:dyDescent="0.3">
      <c r="A10" s="311">
        <v>10</v>
      </c>
      <c r="B10" s="312">
        <f>+(A10/2)</f>
        <v>5</v>
      </c>
      <c r="C10" s="313">
        <v>0.01</v>
      </c>
      <c r="D10" s="314">
        <f t="shared" si="1"/>
        <v>523.33333333333337</v>
      </c>
      <c r="E10" s="314">
        <f t="shared" si="2"/>
        <v>5.2333333333333334</v>
      </c>
      <c r="F10" s="314">
        <f t="shared" si="0"/>
        <v>1.0780354370980589</v>
      </c>
      <c r="G10" s="314">
        <f t="shared" si="3"/>
        <v>2.1560708741961179</v>
      </c>
    </row>
    <row r="11" spans="1:9" s="307" customFormat="1" x14ac:dyDescent="0.3">
      <c r="A11" s="316">
        <v>15</v>
      </c>
      <c r="B11" s="316">
        <f t="shared" ref="B11:B22" si="4">+(A11/2)</f>
        <v>7.5</v>
      </c>
      <c r="C11" s="317">
        <v>0.01</v>
      </c>
      <c r="D11" s="318">
        <f t="shared" si="1"/>
        <v>1766.25</v>
      </c>
      <c r="E11" s="318">
        <f t="shared" si="2"/>
        <v>17.662500000000001</v>
      </c>
      <c r="F11" s="318">
        <f t="shared" si="0"/>
        <v>1.616397629919903</v>
      </c>
      <c r="G11" s="318">
        <f t="shared" si="3"/>
        <v>3.232795259839806</v>
      </c>
    </row>
    <row r="12" spans="1:9" x14ac:dyDescent="0.3">
      <c r="A12" s="312">
        <v>20</v>
      </c>
      <c r="B12" s="312">
        <f t="shared" si="4"/>
        <v>10</v>
      </c>
      <c r="C12" s="313">
        <v>0.01</v>
      </c>
      <c r="D12" s="314">
        <f t="shared" si="1"/>
        <v>4186.666666666667</v>
      </c>
      <c r="E12" s="314">
        <f t="shared" si="2"/>
        <v>41.866666666666667</v>
      </c>
      <c r="F12" s="314">
        <f t="shared" si="0"/>
        <v>2.1545769175743064</v>
      </c>
      <c r="G12" s="314">
        <f t="shared" si="3"/>
        <v>4.3091538351486127</v>
      </c>
    </row>
    <row r="13" spans="1:9" x14ac:dyDescent="0.3">
      <c r="A13" s="312">
        <v>30</v>
      </c>
      <c r="B13" s="312">
        <f t="shared" si="4"/>
        <v>15</v>
      </c>
      <c r="C13" s="313">
        <v>0.01</v>
      </c>
      <c r="D13" s="314">
        <f t="shared" si="1"/>
        <v>14130</v>
      </c>
      <c r="E13" s="314">
        <f t="shared" si="2"/>
        <v>141.30000000000001</v>
      </c>
      <c r="F13" s="314">
        <f t="shared" si="0"/>
        <v>3.2305552333438317</v>
      </c>
      <c r="G13" s="314">
        <f t="shared" si="3"/>
        <v>6.4611104666876633</v>
      </c>
    </row>
    <row r="14" spans="1:9" x14ac:dyDescent="0.3">
      <c r="A14" s="312">
        <v>40</v>
      </c>
      <c r="B14" s="312">
        <f t="shared" si="4"/>
        <v>20</v>
      </c>
      <c r="C14" s="313">
        <v>0.01</v>
      </c>
      <c r="D14" s="314">
        <f t="shared" si="1"/>
        <v>33493.333333333336</v>
      </c>
      <c r="E14" s="314">
        <f t="shared" si="2"/>
        <v>334.93333333333334</v>
      </c>
      <c r="F14" s="314">
        <f t="shared" si="0"/>
        <v>4.3061679922510203</v>
      </c>
      <c r="G14" s="314">
        <f t="shared" si="3"/>
        <v>8.6123359845020406</v>
      </c>
    </row>
    <row r="15" spans="1:9" x14ac:dyDescent="0.3">
      <c r="A15" s="312">
        <v>50</v>
      </c>
      <c r="B15" s="312">
        <f t="shared" si="4"/>
        <v>25</v>
      </c>
      <c r="C15" s="313">
        <v>0.01</v>
      </c>
      <c r="D15" s="314">
        <f t="shared" si="1"/>
        <v>65416.666666666664</v>
      </c>
      <c r="E15" s="314">
        <f t="shared" si="2"/>
        <v>654.16666666666663</v>
      </c>
      <c r="F15" s="314">
        <f t="shared" si="0"/>
        <v>5.3815090072916334</v>
      </c>
      <c r="G15" s="314">
        <f t="shared" si="3"/>
        <v>10.763018014583267</v>
      </c>
    </row>
    <row r="16" spans="1:9" s="307" customFormat="1" x14ac:dyDescent="0.3">
      <c r="A16" s="316">
        <v>60</v>
      </c>
      <c r="B16" s="316">
        <f t="shared" si="4"/>
        <v>30</v>
      </c>
      <c r="C16" s="317">
        <v>0.01</v>
      </c>
      <c r="D16" s="318">
        <f t="shared" si="1"/>
        <v>113040</v>
      </c>
      <c r="E16" s="318">
        <f t="shared" si="2"/>
        <v>1130.4000000000001</v>
      </c>
      <c r="F16" s="318">
        <f t="shared" si="0"/>
        <v>6.4566335179558347</v>
      </c>
      <c r="G16" s="318">
        <f t="shared" si="3"/>
        <v>12.913267035911669</v>
      </c>
    </row>
    <row r="17" spans="1:9" x14ac:dyDescent="0.3">
      <c r="A17" s="312">
        <v>70</v>
      </c>
      <c r="B17" s="312">
        <f t="shared" si="4"/>
        <v>35</v>
      </c>
      <c r="C17" s="313">
        <v>0.01</v>
      </c>
      <c r="D17" s="314">
        <f t="shared" si="1"/>
        <v>179503.33333333331</v>
      </c>
      <c r="E17" s="314">
        <f t="shared" si="2"/>
        <v>1795.0333333333331</v>
      </c>
      <c r="F17" s="314">
        <f t="shared" si="0"/>
        <v>7.5315780169214239</v>
      </c>
      <c r="G17" s="314">
        <f t="shared" si="3"/>
        <v>15.063156033842848</v>
      </c>
    </row>
    <row r="18" spans="1:9" x14ac:dyDescent="0.3">
      <c r="A18" s="312">
        <v>80</v>
      </c>
      <c r="B18" s="312">
        <f t="shared" si="4"/>
        <v>40</v>
      </c>
      <c r="C18" s="313">
        <v>0.01</v>
      </c>
      <c r="D18" s="314">
        <f t="shared" si="1"/>
        <v>267946.66666666669</v>
      </c>
      <c r="E18" s="314">
        <f t="shared" si="2"/>
        <v>2679.4666666666667</v>
      </c>
      <c r="F18" s="314">
        <f t="shared" si="0"/>
        <v>8.6063684365298041</v>
      </c>
      <c r="G18" s="314">
        <f t="shared" si="3"/>
        <v>17.212736873059608</v>
      </c>
    </row>
    <row r="19" spans="1:9" x14ac:dyDescent="0.3">
      <c r="A19" s="312">
        <v>90</v>
      </c>
      <c r="B19" s="312">
        <f t="shared" si="4"/>
        <v>45</v>
      </c>
      <c r="C19" s="313">
        <v>0.01</v>
      </c>
      <c r="D19" s="314">
        <f t="shared" si="1"/>
        <v>381510</v>
      </c>
      <c r="E19" s="314">
        <f t="shared" si="2"/>
        <v>3815.1</v>
      </c>
      <c r="F19" s="314">
        <f t="shared" si="0"/>
        <v>9.6810241635274785</v>
      </c>
      <c r="G19" s="314">
        <f t="shared" si="3"/>
        <v>19.362048327054957</v>
      </c>
    </row>
    <row r="20" spans="1:9" x14ac:dyDescent="0.3">
      <c r="A20" s="312">
        <v>100</v>
      </c>
      <c r="B20" s="312">
        <f t="shared" si="4"/>
        <v>50</v>
      </c>
      <c r="C20" s="313">
        <v>0.01</v>
      </c>
      <c r="D20" s="314">
        <f t="shared" si="1"/>
        <v>523333.33333333331</v>
      </c>
      <c r="E20" s="314">
        <f t="shared" si="2"/>
        <v>5233.333333333333</v>
      </c>
      <c r="F20" s="314">
        <f t="shared" si="0"/>
        <v>10.755560243957076</v>
      </c>
      <c r="G20" s="314">
        <f t="shared" si="3"/>
        <v>21.511120487914152</v>
      </c>
    </row>
    <row r="21" spans="1:9" x14ac:dyDescent="0.3">
      <c r="A21" s="312">
        <v>150</v>
      </c>
      <c r="B21" s="312">
        <f t="shared" si="4"/>
        <v>75</v>
      </c>
      <c r="C21" s="313">
        <v>0.01</v>
      </c>
      <c r="D21" s="314">
        <f t="shared" si="1"/>
        <v>1766250</v>
      </c>
      <c r="E21" s="314">
        <f t="shared" si="2"/>
        <v>17662.5</v>
      </c>
      <c r="F21" s="314">
        <f t="shared" si="0"/>
        <v>16.126800185337117</v>
      </c>
      <c r="G21" s="314">
        <f t="shared" si="3"/>
        <v>32.253600370674235</v>
      </c>
    </row>
    <row r="22" spans="1:9" x14ac:dyDescent="0.3">
      <c r="A22" s="312">
        <v>200</v>
      </c>
      <c r="B22" s="312">
        <f t="shared" si="4"/>
        <v>100</v>
      </c>
      <c r="C22" s="313">
        <v>0.01</v>
      </c>
      <c r="D22" s="314">
        <f t="shared" si="1"/>
        <v>4186666.6666666665</v>
      </c>
      <c r="E22" s="314">
        <f t="shared" si="2"/>
        <v>41866.666666666664</v>
      </c>
      <c r="F22" s="314">
        <f t="shared" si="0"/>
        <v>21.496215281744863</v>
      </c>
      <c r="G22" s="314">
        <f t="shared" si="3"/>
        <v>42.992430563489727</v>
      </c>
    </row>
    <row r="23" spans="1:9" x14ac:dyDescent="0.3">
      <c r="A23" s="312">
        <v>300</v>
      </c>
      <c r="B23" s="312">
        <f>+(A23/2)</f>
        <v>150</v>
      </c>
      <c r="C23" s="313">
        <v>0.01</v>
      </c>
      <c r="D23" s="314">
        <f>(4/3)*3.14*(B23^3)</f>
        <v>14130000</v>
      </c>
      <c r="E23" s="314">
        <f>C23*D23</f>
        <v>141300</v>
      </c>
      <c r="F23" s="314">
        <f t="shared" si="0"/>
        <v>32.231251624894242</v>
      </c>
      <c r="G23" s="314">
        <f t="shared" si="3"/>
        <v>64.462503249788483</v>
      </c>
    </row>
    <row r="24" spans="1:9" x14ac:dyDescent="0.3">
      <c r="A24" s="312">
        <v>400</v>
      </c>
      <c r="B24" s="312">
        <f>+(A24/2)</f>
        <v>200</v>
      </c>
      <c r="C24" s="313">
        <v>0.01</v>
      </c>
      <c r="D24" s="314">
        <f>(4/3)*3.14*(B24^3)</f>
        <v>33493333.333333332</v>
      </c>
      <c r="E24" s="314">
        <f>C24*D24</f>
        <v>334933.33333333331</v>
      </c>
      <c r="F24" s="314">
        <f t="shared" si="0"/>
        <v>42.962640806994813</v>
      </c>
      <c r="G24" s="314">
        <f t="shared" si="3"/>
        <v>85.925281613989625</v>
      </c>
    </row>
    <row r="25" spans="1:9" x14ac:dyDescent="0.3">
      <c r="A25" s="312">
        <v>500</v>
      </c>
      <c r="B25" s="312">
        <f>+(A25/2)</f>
        <v>250</v>
      </c>
      <c r="C25" s="313">
        <v>0.01</v>
      </c>
      <c r="D25" s="314">
        <f>(4/3)*3.14*(B25^3)</f>
        <v>65416666.666666664</v>
      </c>
      <c r="E25" s="314">
        <f>C25*D25</f>
        <v>654166.66666666663</v>
      </c>
      <c r="F25" s="314">
        <f t="shared" si="0"/>
        <v>53.691318800365096</v>
      </c>
      <c r="G25" s="314">
        <f t="shared" si="3"/>
        <v>107.38263760073019</v>
      </c>
    </row>
    <row r="26" spans="1:9" x14ac:dyDescent="0.3">
      <c r="A26" s="308" t="s">
        <v>137</v>
      </c>
    </row>
    <row r="27" spans="1:9" x14ac:dyDescent="0.3">
      <c r="A27" s="308" t="s">
        <v>138</v>
      </c>
    </row>
    <row r="28" spans="1:9" x14ac:dyDescent="0.3">
      <c r="A28" s="308" t="s">
        <v>150</v>
      </c>
    </row>
    <row r="29" spans="1:9" x14ac:dyDescent="0.3">
      <c r="A29" s="319" t="s">
        <v>139</v>
      </c>
    </row>
    <row r="30" spans="1:9" x14ac:dyDescent="0.3">
      <c r="A30" s="319" t="s">
        <v>151</v>
      </c>
      <c r="I30" s="320"/>
    </row>
    <row r="31" spans="1:9" x14ac:dyDescent="0.3">
      <c r="A31" s="319" t="s">
        <v>140</v>
      </c>
    </row>
    <row r="33" spans="1:10" x14ac:dyDescent="0.3">
      <c r="A33" s="307" t="s">
        <v>141</v>
      </c>
    </row>
    <row r="34" spans="1:10" ht="18" customHeight="1" x14ac:dyDescent="0.3">
      <c r="A34" s="516" t="s">
        <v>136</v>
      </c>
      <c r="B34" s="516" t="s">
        <v>142</v>
      </c>
      <c r="C34" s="516" t="s">
        <v>236</v>
      </c>
      <c r="D34" s="516" t="s">
        <v>237</v>
      </c>
      <c r="E34" s="516" t="s">
        <v>238</v>
      </c>
      <c r="F34" s="516" t="s">
        <v>239</v>
      </c>
      <c r="G34" s="516" t="s">
        <v>240</v>
      </c>
      <c r="H34" s="514" t="s">
        <v>143</v>
      </c>
      <c r="I34" s="514"/>
      <c r="J34" s="514"/>
    </row>
    <row r="35" spans="1:10" ht="45" customHeight="1" x14ac:dyDescent="0.3">
      <c r="A35" s="517"/>
      <c r="B35" s="517"/>
      <c r="C35" s="517"/>
      <c r="D35" s="517"/>
      <c r="E35" s="517"/>
      <c r="F35" s="517"/>
      <c r="G35" s="517"/>
      <c r="H35" s="321" t="s">
        <v>241</v>
      </c>
      <c r="I35" s="321" t="s">
        <v>242</v>
      </c>
      <c r="J35" s="322" t="s">
        <v>243</v>
      </c>
    </row>
    <row r="36" spans="1:10" x14ac:dyDescent="0.3">
      <c r="A36" s="311">
        <f>A8</f>
        <v>1</v>
      </c>
      <c r="B36" s="315">
        <f>G8</f>
        <v>0.21610411308739647</v>
      </c>
      <c r="C36" s="323">
        <f>B36*0.000001</f>
        <v>2.1610411308739646E-7</v>
      </c>
      <c r="D36" s="312">
        <v>1000</v>
      </c>
      <c r="E36" s="312">
        <v>9.8070000000000004</v>
      </c>
      <c r="F36" s="324">
        <v>1.8600000000000001E-5</v>
      </c>
      <c r="G36" s="323">
        <f>(D36*(C36^2)*E36)/(18*F36)</f>
        <v>1.3679706878975432E-6</v>
      </c>
      <c r="H36" s="325">
        <f t="shared" ref="H36:H53" si="5">(8*0.3048)/G36</f>
        <v>1782494.3338132615</v>
      </c>
      <c r="I36" s="326">
        <f t="shared" ref="I36:J53" si="6">H36/60</f>
        <v>29708.238896887691</v>
      </c>
      <c r="J36" s="326">
        <f t="shared" si="6"/>
        <v>495.13731494812816</v>
      </c>
    </row>
    <row r="37" spans="1:10" x14ac:dyDescent="0.3">
      <c r="A37" s="311">
        <f t="shared" ref="A37:A53" si="7">A9</f>
        <v>5</v>
      </c>
      <c r="B37" s="315">
        <f t="shared" ref="B37:B53" si="8">G9</f>
        <v>1.0787829333543604</v>
      </c>
      <c r="C37" s="323">
        <f t="shared" ref="C37:C53" si="9">B37*0.000001</f>
        <v>1.0787829333543602E-6</v>
      </c>
      <c r="D37" s="312">
        <v>1000</v>
      </c>
      <c r="E37" s="312">
        <v>9.8070000000000004</v>
      </c>
      <c r="F37" s="324">
        <v>1.8600000000000001E-5</v>
      </c>
      <c r="G37" s="323">
        <f t="shared" ref="G37:G53" si="10">(D37*(C37^2)*E37)/(18*F37)</f>
        <v>3.4089360985149736E-5</v>
      </c>
      <c r="H37" s="325">
        <f t="shared" si="5"/>
        <v>71529.648240171897</v>
      </c>
      <c r="I37" s="326">
        <f t="shared" si="6"/>
        <v>1192.160804002865</v>
      </c>
      <c r="J37" s="326">
        <f t="shared" si="6"/>
        <v>19.869346733381082</v>
      </c>
    </row>
    <row r="38" spans="1:10" x14ac:dyDescent="0.3">
      <c r="A38" s="311">
        <f t="shared" si="7"/>
        <v>10</v>
      </c>
      <c r="B38" s="315">
        <f t="shared" si="8"/>
        <v>2.1560708741961179</v>
      </c>
      <c r="C38" s="323">
        <f t="shared" si="9"/>
        <v>2.1560708741961178E-6</v>
      </c>
      <c r="D38" s="312">
        <v>1000</v>
      </c>
      <c r="E38" s="312">
        <v>9.8070000000000004</v>
      </c>
      <c r="F38" s="324">
        <v>1.8600000000000001E-5</v>
      </c>
      <c r="G38" s="323">
        <f t="shared" si="10"/>
        <v>1.36168543351131E-4</v>
      </c>
      <c r="H38" s="325">
        <f t="shared" si="5"/>
        <v>17907.219538305701</v>
      </c>
      <c r="I38" s="326">
        <f t="shared" si="6"/>
        <v>298.45365897176168</v>
      </c>
      <c r="J38" s="326">
        <f t="shared" si="6"/>
        <v>4.9742276495293618</v>
      </c>
    </row>
    <row r="39" spans="1:10" s="307" customFormat="1" x14ac:dyDescent="0.3">
      <c r="A39" s="327">
        <f t="shared" si="7"/>
        <v>15</v>
      </c>
      <c r="B39" s="328">
        <f t="shared" si="8"/>
        <v>3.232795259839806</v>
      </c>
      <c r="C39" s="329">
        <f t="shared" si="9"/>
        <v>3.2327952598398057E-6</v>
      </c>
      <c r="D39" s="316">
        <v>1000</v>
      </c>
      <c r="E39" s="316">
        <v>9.8070000000000004</v>
      </c>
      <c r="F39" s="330">
        <v>1.8600000000000001E-5</v>
      </c>
      <c r="G39" s="329">
        <f t="shared" si="10"/>
        <v>3.0613087108232655E-4</v>
      </c>
      <c r="H39" s="331">
        <f t="shared" si="5"/>
        <v>7965.2208592326224</v>
      </c>
      <c r="I39" s="332">
        <f t="shared" si="6"/>
        <v>132.75368098721037</v>
      </c>
      <c r="J39" s="332">
        <f t="shared" si="6"/>
        <v>2.2125613497868395</v>
      </c>
    </row>
    <row r="40" spans="1:10" x14ac:dyDescent="0.3">
      <c r="A40" s="311">
        <f t="shared" si="7"/>
        <v>20</v>
      </c>
      <c r="B40" s="315">
        <f t="shared" si="8"/>
        <v>4.3091538351486127</v>
      </c>
      <c r="C40" s="323">
        <f t="shared" si="9"/>
        <v>4.3091538351486125E-6</v>
      </c>
      <c r="D40" s="312">
        <v>1000</v>
      </c>
      <c r="E40" s="312">
        <v>9.8070000000000004</v>
      </c>
      <c r="F40" s="324">
        <v>1.8600000000000001E-5</v>
      </c>
      <c r="G40" s="323">
        <f t="shared" si="10"/>
        <v>5.439196178082127E-4</v>
      </c>
      <c r="H40" s="325">
        <f t="shared" si="5"/>
        <v>4483.015357721084</v>
      </c>
      <c r="I40" s="326">
        <f t="shared" si="6"/>
        <v>74.716922628684728</v>
      </c>
      <c r="J40" s="326">
        <f t="shared" si="6"/>
        <v>1.2452820438114121</v>
      </c>
    </row>
    <row r="41" spans="1:10" x14ac:dyDescent="0.3">
      <c r="A41" s="311">
        <f t="shared" si="7"/>
        <v>30</v>
      </c>
      <c r="B41" s="315">
        <f t="shared" si="8"/>
        <v>6.4611104666876633</v>
      </c>
      <c r="C41" s="323">
        <f t="shared" si="9"/>
        <v>6.4611104666876632E-6</v>
      </c>
      <c r="D41" s="312">
        <v>1000</v>
      </c>
      <c r="E41" s="312">
        <v>9.8070000000000004</v>
      </c>
      <c r="F41" s="324">
        <v>1.8600000000000001E-5</v>
      </c>
      <c r="G41" s="323">
        <f t="shared" si="10"/>
        <v>1.2228271104363793E-3</v>
      </c>
      <c r="H41" s="325">
        <f t="shared" si="5"/>
        <v>1994.0676643404072</v>
      </c>
      <c r="I41" s="326">
        <f t="shared" si="6"/>
        <v>33.234461072340117</v>
      </c>
      <c r="J41" s="326">
        <f t="shared" si="6"/>
        <v>0.55390768453900197</v>
      </c>
    </row>
    <row r="42" spans="1:10" x14ac:dyDescent="0.3">
      <c r="A42" s="311">
        <f t="shared" si="7"/>
        <v>40</v>
      </c>
      <c r="B42" s="315">
        <f t="shared" si="8"/>
        <v>8.6123359845020406</v>
      </c>
      <c r="C42" s="323">
        <f t="shared" si="9"/>
        <v>8.6123359845020404E-6</v>
      </c>
      <c r="D42" s="312">
        <v>1000</v>
      </c>
      <c r="E42" s="312">
        <v>9.8070000000000004</v>
      </c>
      <c r="F42" s="324">
        <v>1.8600000000000001E-5</v>
      </c>
      <c r="G42" s="323">
        <f t="shared" si="10"/>
        <v>2.1726644300933905E-3</v>
      </c>
      <c r="H42" s="325">
        <f t="shared" si="5"/>
        <v>1122.3086115950207</v>
      </c>
      <c r="I42" s="326">
        <f t="shared" si="6"/>
        <v>18.705143526583679</v>
      </c>
      <c r="J42" s="333">
        <f t="shared" si="6"/>
        <v>0.31175239210972799</v>
      </c>
    </row>
    <row r="43" spans="1:10" x14ac:dyDescent="0.3">
      <c r="A43" s="311">
        <f t="shared" si="7"/>
        <v>50</v>
      </c>
      <c r="B43" s="315">
        <f t="shared" si="8"/>
        <v>10.763018014583267</v>
      </c>
      <c r="C43" s="323">
        <f t="shared" si="9"/>
        <v>1.0763018014583266E-5</v>
      </c>
      <c r="D43" s="312">
        <v>1000</v>
      </c>
      <c r="E43" s="312">
        <v>9.8070000000000004</v>
      </c>
      <c r="F43" s="324">
        <v>1.8600000000000001E-5</v>
      </c>
      <c r="G43" s="323">
        <f t="shared" si="10"/>
        <v>3.3932734598669831E-3</v>
      </c>
      <c r="H43" s="325">
        <f t="shared" si="5"/>
        <v>718.59814095135903</v>
      </c>
      <c r="I43" s="326">
        <f t="shared" si="6"/>
        <v>11.97663568252265</v>
      </c>
      <c r="J43" s="333">
        <f t="shared" si="6"/>
        <v>0.19961059470871084</v>
      </c>
    </row>
    <row r="44" spans="1:10" s="307" customFormat="1" x14ac:dyDescent="0.3">
      <c r="A44" s="327">
        <f t="shared" si="7"/>
        <v>60</v>
      </c>
      <c r="B44" s="328">
        <f t="shared" si="8"/>
        <v>12.913267035911669</v>
      </c>
      <c r="C44" s="329">
        <f t="shared" si="9"/>
        <v>1.291326703591167E-5</v>
      </c>
      <c r="D44" s="316">
        <v>1000</v>
      </c>
      <c r="E44" s="316">
        <v>9.8070000000000004</v>
      </c>
      <c r="F44" s="330">
        <v>1.8600000000000001E-5</v>
      </c>
      <c r="G44" s="329">
        <f t="shared" si="10"/>
        <v>4.8845323463508434E-3</v>
      </c>
      <c r="H44" s="331">
        <f t="shared" si="5"/>
        <v>499.20848652413775</v>
      </c>
      <c r="I44" s="332">
        <f t="shared" si="6"/>
        <v>8.3201414420689623</v>
      </c>
      <c r="J44" s="334">
        <f t="shared" si="6"/>
        <v>0.1386690240344827</v>
      </c>
    </row>
    <row r="45" spans="1:10" x14ac:dyDescent="0.3">
      <c r="A45" s="311">
        <f t="shared" si="7"/>
        <v>70</v>
      </c>
      <c r="B45" s="315">
        <f t="shared" si="8"/>
        <v>15.063156033842848</v>
      </c>
      <c r="C45" s="323">
        <f t="shared" si="9"/>
        <v>1.5063156033842847E-5</v>
      </c>
      <c r="D45" s="312">
        <v>1000</v>
      </c>
      <c r="E45" s="312">
        <v>9.8070000000000004</v>
      </c>
      <c r="F45" s="324">
        <v>1.8600000000000001E-5</v>
      </c>
      <c r="G45" s="323">
        <f t="shared" si="10"/>
        <v>6.6463418570695395E-3</v>
      </c>
      <c r="H45" s="325">
        <f t="shared" si="5"/>
        <v>366.87851038031363</v>
      </c>
      <c r="I45" s="326">
        <f t="shared" si="6"/>
        <v>6.1146418396718936</v>
      </c>
      <c r="J45" s="335">
        <f t="shared" si="6"/>
        <v>0.1019106973278649</v>
      </c>
    </row>
    <row r="46" spans="1:10" x14ac:dyDescent="0.3">
      <c r="A46" s="311">
        <f t="shared" si="7"/>
        <v>80</v>
      </c>
      <c r="B46" s="315">
        <f t="shared" si="8"/>
        <v>17.212736873059608</v>
      </c>
      <c r="C46" s="323">
        <f t="shared" si="9"/>
        <v>1.7212736873059607E-5</v>
      </c>
      <c r="D46" s="312">
        <v>1000</v>
      </c>
      <c r="E46" s="312">
        <v>9.8070000000000004</v>
      </c>
      <c r="F46" s="324">
        <v>1.8600000000000001E-5</v>
      </c>
      <c r="G46" s="323">
        <f t="shared" si="10"/>
        <v>8.6786182576291809E-3</v>
      </c>
      <c r="H46" s="325">
        <f t="shared" si="5"/>
        <v>280.96638515658373</v>
      </c>
      <c r="I46" s="326">
        <f t="shared" si="6"/>
        <v>4.6827730859430625</v>
      </c>
      <c r="J46" s="335">
        <f t="shared" si="6"/>
        <v>7.8046218099051046E-2</v>
      </c>
    </row>
    <row r="47" spans="1:10" x14ac:dyDescent="0.3">
      <c r="A47" s="311">
        <f t="shared" si="7"/>
        <v>90</v>
      </c>
      <c r="B47" s="315">
        <f t="shared" si="8"/>
        <v>19.362048327054957</v>
      </c>
      <c r="C47" s="323">
        <f t="shared" si="9"/>
        <v>1.9362048327054955E-5</v>
      </c>
      <c r="D47" s="312">
        <v>1000</v>
      </c>
      <c r="E47" s="312">
        <v>9.8070000000000004</v>
      </c>
      <c r="F47" s="324">
        <v>1.8600000000000001E-5</v>
      </c>
      <c r="G47" s="323">
        <f t="shared" si="10"/>
        <v>1.098128910847135E-2</v>
      </c>
      <c r="H47" s="325">
        <f t="shared" si="5"/>
        <v>222.05043286939173</v>
      </c>
      <c r="I47" s="326">
        <f t="shared" si="6"/>
        <v>3.7008405478231956</v>
      </c>
      <c r="J47" s="335">
        <f t="shared" si="6"/>
        <v>6.1680675797053261E-2</v>
      </c>
    </row>
    <row r="48" spans="1:10" x14ac:dyDescent="0.3">
      <c r="A48" s="311">
        <f t="shared" si="7"/>
        <v>100</v>
      </c>
      <c r="B48" s="315">
        <f t="shared" si="8"/>
        <v>21.511120487914152</v>
      </c>
      <c r="C48" s="323">
        <f t="shared" si="9"/>
        <v>2.1511120487914152E-5</v>
      </c>
      <c r="D48" s="312">
        <v>1000</v>
      </c>
      <c r="E48" s="312">
        <v>9.8070000000000004</v>
      </c>
      <c r="F48" s="324">
        <v>1.8600000000000001E-5</v>
      </c>
      <c r="G48" s="323">
        <f t="shared" si="10"/>
        <v>1.3554290572458204E-2</v>
      </c>
      <c r="H48" s="325">
        <f t="shared" si="5"/>
        <v>179.89875508163703</v>
      </c>
      <c r="I48" s="326">
        <f t="shared" si="6"/>
        <v>2.9983125846939505</v>
      </c>
      <c r="J48" s="335">
        <f t="shared" si="6"/>
        <v>4.9971876411565842E-2</v>
      </c>
    </row>
    <row r="49" spans="1:11" x14ac:dyDescent="0.3">
      <c r="A49" s="311">
        <f t="shared" si="7"/>
        <v>150</v>
      </c>
      <c r="B49" s="315">
        <f t="shared" si="8"/>
        <v>32.253600370674235</v>
      </c>
      <c r="C49" s="323">
        <f t="shared" si="9"/>
        <v>3.2253600370674234E-5</v>
      </c>
      <c r="D49" s="312">
        <v>1000</v>
      </c>
      <c r="E49" s="312">
        <v>9.8070000000000004</v>
      </c>
      <c r="F49" s="324">
        <v>1.8600000000000001E-5</v>
      </c>
      <c r="G49" s="323">
        <f t="shared" si="10"/>
        <v>3.0472432749388999E-2</v>
      </c>
      <c r="H49" s="325">
        <f t="shared" si="5"/>
        <v>80.019866482399323</v>
      </c>
      <c r="I49" s="326">
        <f t="shared" si="6"/>
        <v>1.3336644413733221</v>
      </c>
      <c r="J49" s="335">
        <f t="shared" si="6"/>
        <v>2.2227740689555367E-2</v>
      </c>
    </row>
    <row r="50" spans="1:11" x14ac:dyDescent="0.3">
      <c r="A50" s="311">
        <f t="shared" si="7"/>
        <v>200</v>
      </c>
      <c r="B50" s="315">
        <f t="shared" si="8"/>
        <v>42.992430563489727</v>
      </c>
      <c r="C50" s="323">
        <f t="shared" si="9"/>
        <v>4.2992430563489726E-5</v>
      </c>
      <c r="D50" s="312">
        <v>1000</v>
      </c>
      <c r="E50" s="312">
        <v>9.8070000000000004</v>
      </c>
      <c r="F50" s="324">
        <v>1.8600000000000001E-5</v>
      </c>
      <c r="G50" s="323">
        <f t="shared" si="10"/>
        <v>5.4142053417006737E-2</v>
      </c>
      <c r="H50" s="325">
        <f t="shared" si="5"/>
        <v>45.037080164271465</v>
      </c>
      <c r="I50" s="326">
        <f t="shared" si="6"/>
        <v>0.75061800273785773</v>
      </c>
      <c r="J50" s="336">
        <f t="shared" si="6"/>
        <v>1.2510300045630963E-2</v>
      </c>
    </row>
    <row r="51" spans="1:11" x14ac:dyDescent="0.3">
      <c r="A51" s="311">
        <f t="shared" si="7"/>
        <v>300</v>
      </c>
      <c r="B51" s="315">
        <f t="shared" si="8"/>
        <v>64.462503249788483</v>
      </c>
      <c r="C51" s="323">
        <f t="shared" si="9"/>
        <v>6.4462503249788474E-5</v>
      </c>
      <c r="D51" s="312">
        <v>1000</v>
      </c>
      <c r="E51" s="312">
        <v>9.8070000000000004</v>
      </c>
      <c r="F51" s="324">
        <v>1.8600000000000001E-5</v>
      </c>
      <c r="G51" s="323">
        <f t="shared" si="10"/>
        <v>0.12172087302126852</v>
      </c>
      <c r="H51" s="325">
        <f t="shared" si="5"/>
        <v>20.03271862479933</v>
      </c>
      <c r="I51" s="333">
        <f t="shared" si="6"/>
        <v>0.33387864374665549</v>
      </c>
      <c r="J51" s="336">
        <f t="shared" si="6"/>
        <v>5.5646440624442578E-3</v>
      </c>
    </row>
    <row r="52" spans="1:11" x14ac:dyDescent="0.3">
      <c r="A52" s="311">
        <f t="shared" si="7"/>
        <v>400</v>
      </c>
      <c r="B52" s="315">
        <f t="shared" si="8"/>
        <v>85.925281613989625</v>
      </c>
      <c r="C52" s="323">
        <f t="shared" si="9"/>
        <v>8.5925281613989616E-5</v>
      </c>
      <c r="D52" s="312">
        <v>1000</v>
      </c>
      <c r="E52" s="312">
        <v>9.8070000000000004</v>
      </c>
      <c r="F52" s="324">
        <v>1.8600000000000001E-5</v>
      </c>
      <c r="G52" s="323">
        <f t="shared" si="10"/>
        <v>0.2162681943801931</v>
      </c>
      <c r="H52" s="325">
        <f t="shared" si="5"/>
        <v>11.274889527737791</v>
      </c>
      <c r="I52" s="333">
        <f t="shared" si="6"/>
        <v>0.18791482546229651</v>
      </c>
      <c r="J52" s="336">
        <f t="shared" si="6"/>
        <v>3.1319137577049418E-3</v>
      </c>
    </row>
    <row r="53" spans="1:11" x14ac:dyDescent="0.3">
      <c r="A53" s="311">
        <f t="shared" si="7"/>
        <v>500</v>
      </c>
      <c r="B53" s="315">
        <f t="shared" si="8"/>
        <v>107.38263760073019</v>
      </c>
      <c r="C53" s="323">
        <f t="shared" si="9"/>
        <v>1.0738263760073018E-4</v>
      </c>
      <c r="D53" s="312">
        <v>1000</v>
      </c>
      <c r="E53" s="312">
        <v>9.8070000000000004</v>
      </c>
      <c r="F53" s="324">
        <v>1.8600000000000001E-5</v>
      </c>
      <c r="G53" s="323">
        <f t="shared" si="10"/>
        <v>0.33776827845067559</v>
      </c>
      <c r="H53" s="325">
        <f t="shared" si="5"/>
        <v>7.2191503926443481</v>
      </c>
      <c r="I53" s="333">
        <f t="shared" si="6"/>
        <v>0.12031917321073914</v>
      </c>
      <c r="J53" s="336">
        <f t="shared" si="6"/>
        <v>2.0053195535123191E-3</v>
      </c>
    </row>
    <row r="54" spans="1:11" x14ac:dyDescent="0.3">
      <c r="A54" s="308" t="s">
        <v>144</v>
      </c>
    </row>
    <row r="55" spans="1:11" x14ac:dyDescent="0.3">
      <c r="A55" s="308" t="s">
        <v>145</v>
      </c>
      <c r="K55" s="337" t="s">
        <v>128</v>
      </c>
    </row>
    <row r="56" spans="1:11" ht="22.5" x14ac:dyDescent="0.3">
      <c r="A56" s="308" t="s">
        <v>244</v>
      </c>
      <c r="K56" s="308" t="s">
        <v>129</v>
      </c>
    </row>
    <row r="57" spans="1:11" x14ac:dyDescent="0.3">
      <c r="A57" s="319" t="s">
        <v>146</v>
      </c>
      <c r="K57" s="308" t="s">
        <v>130</v>
      </c>
    </row>
    <row r="58" spans="1:11" x14ac:dyDescent="0.3">
      <c r="A58" s="319" t="s">
        <v>147</v>
      </c>
      <c r="K58" s="308" t="s">
        <v>131</v>
      </c>
    </row>
    <row r="59" spans="1:11" ht="22.5" x14ac:dyDescent="0.3">
      <c r="A59" s="319" t="s">
        <v>148</v>
      </c>
      <c r="K59" s="338" t="s">
        <v>245</v>
      </c>
    </row>
    <row r="61" spans="1:11" x14ac:dyDescent="0.3">
      <c r="K61" s="308" t="s">
        <v>132</v>
      </c>
    </row>
    <row r="62" spans="1:11" x14ac:dyDescent="0.3">
      <c r="B62" s="337"/>
      <c r="C62" s="337"/>
      <c r="K62" s="308" t="s">
        <v>133</v>
      </c>
    </row>
  </sheetData>
  <mergeCells count="9">
    <mergeCell ref="H34:J34"/>
    <mergeCell ref="A6:G6"/>
    <mergeCell ref="A34:A35"/>
    <mergeCell ref="B34:B35"/>
    <mergeCell ref="C34:C35"/>
    <mergeCell ref="D34:D35"/>
    <mergeCell ref="E34:E35"/>
    <mergeCell ref="F34:F35"/>
    <mergeCell ref="G34:G35"/>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41"/>
  <sheetViews>
    <sheetView topLeftCell="A4" zoomScale="80" zoomScaleNormal="80" workbookViewId="0">
      <selection activeCell="B8" sqref="B8"/>
    </sheetView>
  </sheetViews>
  <sheetFormatPr defaultRowHeight="15.75" x14ac:dyDescent="0.2"/>
  <cols>
    <col min="1" max="1" width="31.85546875" style="12" customWidth="1"/>
    <col min="2" max="2" width="23.85546875" style="12" customWidth="1"/>
    <col min="3" max="3" width="20" style="12" customWidth="1"/>
    <col min="4" max="4" width="18.42578125" style="12" customWidth="1"/>
    <col min="5" max="6" width="16.42578125" style="12" customWidth="1"/>
    <col min="7" max="7" width="17.85546875" style="12" bestFit="1" customWidth="1"/>
    <col min="8" max="8" width="23.5703125" style="12" customWidth="1"/>
    <col min="9" max="9" width="16" style="19" bestFit="1" customWidth="1"/>
    <col min="10" max="10" width="15" style="19" customWidth="1"/>
    <col min="11" max="11" width="15.7109375" style="19" customWidth="1"/>
    <col min="12" max="12" width="12.5703125" style="19" customWidth="1"/>
    <col min="13" max="14" width="12" style="19" customWidth="1"/>
    <col min="15" max="15" width="14.5703125" style="19" customWidth="1"/>
    <col min="16" max="16" width="13.140625" style="12" customWidth="1"/>
    <col min="17" max="17" width="14.28515625" style="12" customWidth="1"/>
    <col min="18" max="18" width="11" style="12" customWidth="1"/>
    <col min="19" max="16384" width="9.140625" style="12"/>
  </cols>
  <sheetData>
    <row r="1" spans="1:21" ht="18.75" x14ac:dyDescent="0.25">
      <c r="A1" s="346" t="s">
        <v>104</v>
      </c>
      <c r="E1" s="276" t="s">
        <v>202</v>
      </c>
      <c r="F1" s="276"/>
    </row>
    <row r="2" spans="1:21" s="254" customFormat="1" ht="21.75" customHeight="1" x14ac:dyDescent="0.25">
      <c r="A2" s="424" t="s">
        <v>125</v>
      </c>
      <c r="B2" s="425"/>
      <c r="E2" s="275" t="s">
        <v>198</v>
      </c>
      <c r="F2" s="237" t="str">
        <f>'TOX and EXPO INPUTS'!$D$22</f>
        <v>KEY_Inhalation_LOC</v>
      </c>
    </row>
    <row r="3" spans="1:21" s="253" customFormat="1" x14ac:dyDescent="0.25">
      <c r="A3" s="49"/>
      <c r="B3" s="49"/>
    </row>
    <row r="4" spans="1:21" x14ac:dyDescent="0.2">
      <c r="A4" s="339"/>
      <c r="D4" s="15"/>
    </row>
    <row r="5" spans="1:21" ht="18.75" x14ac:dyDescent="0.2">
      <c r="A5" s="347" t="s">
        <v>105</v>
      </c>
      <c r="D5" s="15"/>
    </row>
    <row r="6" spans="1:21" s="49" customFormat="1" x14ac:dyDescent="0.2">
      <c r="A6" s="348" t="s">
        <v>247</v>
      </c>
      <c r="B6" s="52" t="s">
        <v>329</v>
      </c>
      <c r="D6" s="340"/>
      <c r="E6" s="340"/>
      <c r="F6" s="340"/>
      <c r="G6" s="53"/>
      <c r="H6" s="54"/>
      <c r="I6" s="53"/>
      <c r="J6" s="54"/>
      <c r="K6" s="55"/>
      <c r="M6" s="36"/>
      <c r="N6" s="36"/>
      <c r="O6" s="36"/>
      <c r="P6" s="36"/>
      <c r="Q6" s="36"/>
      <c r="R6" s="36"/>
      <c r="S6" s="36"/>
      <c r="T6" s="36"/>
      <c r="U6" s="37"/>
    </row>
    <row r="7" spans="1:21" s="49" customFormat="1" x14ac:dyDescent="0.2">
      <c r="A7" s="348" t="s">
        <v>248</v>
      </c>
      <c r="B7" s="56" t="s">
        <v>330</v>
      </c>
      <c r="C7" s="341"/>
      <c r="D7" s="340"/>
      <c r="E7" s="340"/>
      <c r="F7" s="340"/>
      <c r="G7" s="53"/>
      <c r="H7" s="54"/>
      <c r="I7" s="53"/>
      <c r="J7" s="54"/>
      <c r="K7" s="55"/>
      <c r="M7" s="36"/>
      <c r="N7" s="36"/>
      <c r="O7" s="36"/>
      <c r="P7" s="36"/>
      <c r="Q7" s="36"/>
      <c r="R7" s="36"/>
      <c r="S7" s="36"/>
      <c r="T7" s="36"/>
      <c r="U7" s="37"/>
    </row>
    <row r="8" spans="1:21" s="49" customFormat="1" x14ac:dyDescent="0.2">
      <c r="A8" s="348" t="s">
        <v>249</v>
      </c>
      <c r="B8" s="237">
        <v>0.45</v>
      </c>
      <c r="C8" s="31"/>
      <c r="D8" s="31"/>
      <c r="E8" s="31"/>
      <c r="F8" s="31"/>
      <c r="G8" s="53"/>
      <c r="H8" s="54"/>
      <c r="I8" s="53"/>
      <c r="J8" s="54"/>
      <c r="K8" s="55"/>
      <c r="M8" s="36"/>
      <c r="N8" s="36"/>
      <c r="O8" s="36"/>
      <c r="P8" s="36"/>
      <c r="Q8" s="36"/>
      <c r="R8" s="36"/>
      <c r="S8" s="36"/>
      <c r="T8" s="36"/>
      <c r="U8" s="37"/>
    </row>
    <row r="9" spans="1:21" s="49" customFormat="1" ht="18.75" x14ac:dyDescent="0.2">
      <c r="A9" s="348" t="s">
        <v>287</v>
      </c>
      <c r="B9" s="237">
        <v>33</v>
      </c>
      <c r="C9" s="31"/>
      <c r="D9" s="31"/>
      <c r="E9" s="31"/>
      <c r="F9" s="31"/>
      <c r="G9" s="53"/>
      <c r="H9" s="54"/>
      <c r="I9" s="53"/>
      <c r="J9" s="54"/>
      <c r="K9" s="55"/>
      <c r="M9" s="36"/>
      <c r="N9" s="36"/>
      <c r="O9" s="36"/>
      <c r="P9" s="36"/>
      <c r="Q9" s="36"/>
      <c r="R9" s="36"/>
      <c r="S9" s="36"/>
      <c r="T9" s="36"/>
      <c r="U9" s="37"/>
    </row>
    <row r="10" spans="1:21" s="49" customFormat="1" x14ac:dyDescent="0.2">
      <c r="A10" s="280"/>
      <c r="B10" s="57"/>
      <c r="C10" s="31"/>
      <c r="D10" s="31"/>
      <c r="E10" s="31"/>
      <c r="F10" s="31"/>
      <c r="G10" s="53"/>
      <c r="H10" s="54"/>
      <c r="I10" s="53"/>
      <c r="J10" s="54"/>
      <c r="K10" s="55"/>
      <c r="M10" s="36"/>
      <c r="N10" s="36"/>
      <c r="O10" s="36"/>
      <c r="P10" s="36"/>
      <c r="Q10" s="36"/>
      <c r="R10" s="36"/>
      <c r="S10" s="36"/>
      <c r="T10" s="36"/>
      <c r="U10" s="37"/>
    </row>
    <row r="11" spans="1:21" ht="18.75" x14ac:dyDescent="0.2">
      <c r="A11" s="50" t="s">
        <v>126</v>
      </c>
      <c r="B11" s="19"/>
      <c r="C11" s="58"/>
      <c r="D11" s="19"/>
      <c r="I11" s="12"/>
      <c r="J11" s="12"/>
      <c r="K11" s="12"/>
      <c r="L11" s="12"/>
      <c r="M11" s="12"/>
      <c r="N11" s="12"/>
      <c r="P11" s="19"/>
      <c r="Q11" s="19"/>
      <c r="R11" s="19"/>
      <c r="S11" s="19"/>
      <c r="T11" s="19"/>
      <c r="U11" s="20"/>
    </row>
    <row r="12" spans="1:21" x14ac:dyDescent="0.2">
      <c r="A12" s="339" t="s">
        <v>116</v>
      </c>
      <c r="B12" s="19"/>
      <c r="C12" s="58"/>
      <c r="D12" s="19"/>
      <c r="I12" s="12"/>
      <c r="J12" s="12"/>
      <c r="K12" s="12"/>
      <c r="L12" s="12"/>
      <c r="M12" s="12"/>
      <c r="N12" s="12"/>
      <c r="P12" s="19"/>
      <c r="Q12" s="19"/>
      <c r="R12" s="19"/>
      <c r="S12" s="19"/>
      <c r="T12" s="19"/>
      <c r="U12" s="20"/>
    </row>
    <row r="13" spans="1:21" ht="47.25" x14ac:dyDescent="0.2">
      <c r="A13" s="287" t="s">
        <v>250</v>
      </c>
      <c r="B13" s="287" t="s">
        <v>251</v>
      </c>
      <c r="C13" s="287" t="s">
        <v>171</v>
      </c>
      <c r="D13" s="287" t="s">
        <v>225</v>
      </c>
      <c r="E13" s="287" t="s">
        <v>172</v>
      </c>
      <c r="I13" s="12"/>
      <c r="J13" s="12"/>
      <c r="K13" s="12"/>
      <c r="L13" s="12"/>
      <c r="M13" s="12"/>
      <c r="N13" s="12"/>
      <c r="P13" s="19"/>
      <c r="Q13" s="19"/>
      <c r="R13" s="19"/>
      <c r="S13" s="19"/>
      <c r="T13" s="19"/>
      <c r="U13" s="20"/>
    </row>
    <row r="14" spans="1:21" x14ac:dyDescent="0.2">
      <c r="A14" s="59"/>
      <c r="B14" s="59"/>
      <c r="C14" s="237">
        <f>A14*B14</f>
        <v>0</v>
      </c>
      <c r="D14" s="60">
        <v>454000</v>
      </c>
      <c r="E14" s="61">
        <f>C14*D14</f>
        <v>0</v>
      </c>
      <c r="J14" s="12"/>
      <c r="K14" s="12"/>
      <c r="L14" s="12"/>
      <c r="P14" s="19"/>
      <c r="Q14" s="19"/>
      <c r="R14" s="19"/>
      <c r="S14" s="19"/>
      <c r="T14" s="19"/>
      <c r="U14" s="20"/>
    </row>
    <row r="15" spans="1:21" x14ac:dyDescent="0.2">
      <c r="A15" s="62"/>
      <c r="B15" s="62"/>
      <c r="C15" s="63"/>
      <c r="H15" s="19"/>
      <c r="I15" s="64"/>
      <c r="J15" s="65"/>
      <c r="K15" s="65"/>
      <c r="L15" s="65"/>
      <c r="M15" s="12"/>
      <c r="N15" s="12"/>
      <c r="P15" s="19"/>
      <c r="Q15" s="19"/>
      <c r="R15" s="19"/>
      <c r="S15" s="19"/>
      <c r="T15" s="19"/>
      <c r="U15" s="20"/>
    </row>
    <row r="16" spans="1:21" x14ac:dyDescent="0.2">
      <c r="A16" s="339" t="s">
        <v>107</v>
      </c>
      <c r="B16" s="62"/>
      <c r="C16" s="66"/>
      <c r="D16" s="66"/>
      <c r="E16" s="66"/>
      <c r="F16" s="66"/>
      <c r="G16" s="66"/>
      <c r="H16" s="66"/>
      <c r="I16" s="12"/>
      <c r="J16" s="12"/>
      <c r="K16" s="12"/>
      <c r="L16" s="12"/>
      <c r="M16" s="12"/>
      <c r="N16" s="12"/>
      <c r="P16" s="19"/>
      <c r="Q16" s="19"/>
      <c r="R16" s="19"/>
      <c r="S16" s="19"/>
      <c r="T16" s="19"/>
      <c r="U16" s="20"/>
    </row>
    <row r="17" spans="1:21" ht="50.25" x14ac:dyDescent="0.2">
      <c r="A17" s="287" t="s">
        <v>252</v>
      </c>
      <c r="B17" s="287" t="s">
        <v>221</v>
      </c>
      <c r="C17" s="287" t="s">
        <v>289</v>
      </c>
      <c r="D17" s="287" t="s">
        <v>11</v>
      </c>
      <c r="E17" s="287" t="s">
        <v>12</v>
      </c>
      <c r="F17" s="287" t="s">
        <v>288</v>
      </c>
      <c r="G17" s="287" t="s">
        <v>14</v>
      </c>
      <c r="H17" s="287" t="s">
        <v>253</v>
      </c>
      <c r="I17" s="287" t="s">
        <v>15</v>
      </c>
      <c r="J17" s="12"/>
      <c r="K17" s="67"/>
      <c r="L17" s="12"/>
      <c r="P17" s="19"/>
      <c r="Q17" s="19"/>
      <c r="R17" s="19"/>
      <c r="S17" s="19"/>
      <c r="T17" s="19"/>
      <c r="U17" s="20"/>
    </row>
    <row r="18" spans="1:21" x14ac:dyDescent="0.2">
      <c r="A18" s="257">
        <f>1/760</f>
        <v>1.3157894736842105E-3</v>
      </c>
      <c r="B18" s="24">
        <v>1000</v>
      </c>
      <c r="C18" s="257">
        <v>1000</v>
      </c>
      <c r="D18" s="24">
        <v>8.2100000000000006E-2</v>
      </c>
      <c r="E18" s="257">
        <v>298</v>
      </c>
      <c r="F18" s="68" t="e">
        <f>(B7*A18*B6*B18*C18)/(D18*E18)</f>
        <v>#VALUE!</v>
      </c>
      <c r="G18" s="51" t="e">
        <f>10^((7.3698-(0.9546*(LOG(F18,10)))))</f>
        <v>#VALUE!</v>
      </c>
      <c r="H18" s="257">
        <v>3600</v>
      </c>
      <c r="I18" s="69" t="e">
        <f>(LN(10)*H18)/G18</f>
        <v>#VALUE!</v>
      </c>
      <c r="J18" s="12"/>
      <c r="K18" s="67"/>
      <c r="L18" s="12"/>
      <c r="P18" s="19"/>
      <c r="Q18" s="19"/>
      <c r="R18" s="19"/>
      <c r="S18" s="19"/>
      <c r="T18" s="19"/>
      <c r="U18" s="20"/>
    </row>
    <row r="19" spans="1:21" x14ac:dyDescent="0.2">
      <c r="A19" s="65"/>
      <c r="B19" s="65"/>
      <c r="C19" s="65"/>
      <c r="D19" s="65"/>
      <c r="E19" s="65"/>
      <c r="F19" s="70"/>
      <c r="I19" s="12"/>
      <c r="K19" s="67"/>
      <c r="L19" s="12"/>
      <c r="P19" s="19"/>
      <c r="Q19" s="19"/>
      <c r="R19" s="19"/>
      <c r="S19" s="19"/>
      <c r="T19" s="19"/>
      <c r="U19" s="20"/>
    </row>
    <row r="20" spans="1:21" ht="21" customHeight="1" x14ac:dyDescent="0.2">
      <c r="A20" s="50" t="s">
        <v>106</v>
      </c>
      <c r="B20" s="62"/>
      <c r="C20" s="63"/>
      <c r="G20" s="339"/>
      <c r="H20" s="342"/>
      <c r="I20" s="342"/>
      <c r="J20" s="342"/>
      <c r="K20" s="65"/>
      <c r="L20" s="65"/>
      <c r="M20" s="12"/>
      <c r="N20" s="12"/>
      <c r="P20" s="19"/>
      <c r="Q20" s="19"/>
      <c r="R20" s="19"/>
      <c r="S20" s="19"/>
      <c r="T20" s="19"/>
      <c r="U20" s="20"/>
    </row>
    <row r="21" spans="1:21" ht="50.25" x14ac:dyDescent="0.2">
      <c r="A21" s="287" t="s">
        <v>173</v>
      </c>
      <c r="B21" s="287" t="s">
        <v>72</v>
      </c>
      <c r="C21" s="63"/>
      <c r="H21" s="342"/>
      <c r="I21" s="342"/>
      <c r="J21" s="342"/>
      <c r="K21" s="71"/>
      <c r="L21" s="71"/>
      <c r="M21" s="71"/>
      <c r="N21" s="71"/>
      <c r="P21" s="19"/>
      <c r="Q21" s="19"/>
      <c r="R21" s="19"/>
      <c r="S21" s="19"/>
      <c r="T21" s="19"/>
      <c r="U21" s="20"/>
    </row>
    <row r="22" spans="1:21" x14ac:dyDescent="0.2">
      <c r="A22" s="61" t="e">
        <f>(F18*(B8-I18)*B9)/I18</f>
        <v>#VALUE!</v>
      </c>
      <c r="B22" s="24" t="e">
        <f>IF($E$14&gt;$A$22,"use MCsat","use Mlabel")</f>
        <v>#VALUE!</v>
      </c>
      <c r="C22" s="343"/>
      <c r="D22" s="344"/>
      <c r="E22" s="344"/>
      <c r="F22" s="344"/>
      <c r="G22" s="344"/>
      <c r="H22" s="344"/>
      <c r="I22" s="344"/>
      <c r="J22" s="344"/>
      <c r="K22" s="344"/>
      <c r="L22" s="12"/>
      <c r="M22" s="12"/>
      <c r="N22" s="12"/>
      <c r="P22" s="19"/>
      <c r="Q22" s="19"/>
      <c r="R22" s="19"/>
      <c r="S22" s="19"/>
      <c r="T22" s="19"/>
      <c r="U22" s="20"/>
    </row>
    <row r="23" spans="1:21" x14ac:dyDescent="0.2">
      <c r="A23" s="63"/>
      <c r="B23" s="72"/>
      <c r="C23" s="66"/>
      <c r="D23" s="66"/>
      <c r="E23" s="66"/>
      <c r="F23" s="66"/>
      <c r="G23" s="66"/>
      <c r="H23" s="66"/>
      <c r="I23" s="12"/>
      <c r="J23" s="12"/>
      <c r="K23" s="12"/>
      <c r="L23" s="12"/>
      <c r="M23" s="12"/>
      <c r="N23" s="12"/>
      <c r="P23" s="19"/>
      <c r="Q23" s="19"/>
      <c r="R23" s="19"/>
      <c r="S23" s="19"/>
      <c r="T23" s="19"/>
      <c r="U23" s="20"/>
    </row>
    <row r="24" spans="1:21" ht="18.75" x14ac:dyDescent="0.2">
      <c r="A24" s="350" t="s">
        <v>124</v>
      </c>
      <c r="B24" s="65"/>
      <c r="C24" s="65"/>
      <c r="D24" s="65"/>
      <c r="E24" s="65"/>
      <c r="F24" s="65"/>
      <c r="G24" s="65"/>
      <c r="H24" s="65"/>
      <c r="I24" s="12"/>
      <c r="K24" s="67"/>
      <c r="L24" s="12"/>
      <c r="P24" s="19"/>
      <c r="Q24" s="19"/>
      <c r="R24" s="19"/>
      <c r="S24" s="19"/>
      <c r="T24" s="19"/>
      <c r="U24" s="20"/>
    </row>
    <row r="25" spans="1:21" ht="47.25" x14ac:dyDescent="0.2">
      <c r="A25" s="288" t="s">
        <v>122</v>
      </c>
      <c r="B25" s="287" t="s">
        <v>174</v>
      </c>
      <c r="C25" s="287" t="s">
        <v>227</v>
      </c>
      <c r="D25" s="287" t="s">
        <v>307</v>
      </c>
      <c r="E25" s="287" t="s">
        <v>277</v>
      </c>
      <c r="F25" s="349" t="s">
        <v>13</v>
      </c>
      <c r="G25" s="349" t="s">
        <v>115</v>
      </c>
      <c r="I25" s="12"/>
      <c r="J25" s="12"/>
      <c r="K25" s="12"/>
      <c r="L25" s="12"/>
      <c r="M25" s="12"/>
      <c r="N25" s="12"/>
      <c r="O25" s="12"/>
      <c r="T25" s="64"/>
      <c r="U25" s="64"/>
    </row>
    <row r="26" spans="1:21" x14ac:dyDescent="0.2">
      <c r="A26" s="257" t="s">
        <v>114</v>
      </c>
      <c r="B26" s="61" t="e">
        <f>IF(E14&gt;A22,A22,E14)</f>
        <v>#VALUE!</v>
      </c>
      <c r="C26" s="24">
        <v>16</v>
      </c>
      <c r="D26" s="257" t="e">
        <f>(((('TOX and EXPO INPUTS'!$D$30*B26)/($B$8*$B$9))*(1-((($B$8*EXP(-($I$18*C26)))-($I$18*EXP(-($B$8*C26))))/($B$8-$I$18))))*'TOX and EXPO INPUTS'!$D$21)/'TOX and EXPO INPUTS'!$D$26</f>
        <v>#VALUE!</v>
      </c>
      <c r="E26" s="60" t="e">
        <f>VALUE(TEXT(D26,"0.0E+00"))</f>
        <v>#VALUE!</v>
      </c>
      <c r="F26" s="73" t="e">
        <f>'TOX and EXPO INPUTS'!$D$19/D26</f>
        <v>#VALUE!</v>
      </c>
      <c r="G26" s="73" t="e">
        <f>VALUE(TEXT(F26,"0.0E+00"))</f>
        <v>#VALUE!</v>
      </c>
      <c r="I26" s="12"/>
      <c r="J26" s="12"/>
      <c r="K26" s="12"/>
      <c r="L26" s="12"/>
      <c r="M26" s="12"/>
      <c r="N26" s="12"/>
      <c r="O26" s="12"/>
      <c r="T26" s="64"/>
      <c r="U26" s="64"/>
    </row>
    <row r="27" spans="1:21" x14ac:dyDescent="0.25">
      <c r="A27" s="7" t="s">
        <v>23</v>
      </c>
      <c r="B27" s="61" t="e">
        <f>IF(E14&gt;A22,A22,E14)</f>
        <v>#VALUE!</v>
      </c>
      <c r="C27" s="24">
        <v>18</v>
      </c>
      <c r="D27" s="257" t="e">
        <f>(((('TOX and EXPO INPUTS'!$D$31*B27)/($B$8*$B$9))*(1-((($B$8*EXP(-($I$18*C27)))-($I$18*EXP(-($B$8*C27))))/($B$8-$I$18))))*'TOX and EXPO INPUTS'!$D$21)/'TOX and EXPO INPUTS'!$D$27</f>
        <v>#VALUE!</v>
      </c>
      <c r="E27" s="60" t="e">
        <f>VALUE(TEXT(D27,"0.0E+00"))</f>
        <v>#VALUE!</v>
      </c>
      <c r="F27" s="73" t="e">
        <f>'TOX and EXPO INPUTS'!$D$19/D27</f>
        <v>#VALUE!</v>
      </c>
      <c r="G27" s="73" t="e">
        <f>VALUE(TEXT(F27,"0.0E+00"))</f>
        <v>#VALUE!</v>
      </c>
      <c r="I27" s="12"/>
      <c r="J27" s="12"/>
      <c r="K27" s="12"/>
      <c r="L27" s="12"/>
      <c r="M27" s="12"/>
    </row>
    <row r="28" spans="1:21" x14ac:dyDescent="0.2">
      <c r="A28" s="64"/>
      <c r="C28" s="17"/>
      <c r="Q28" s="19"/>
      <c r="R28" s="74"/>
    </row>
    <row r="32" spans="1:21" ht="20.25" x14ac:dyDescent="0.2">
      <c r="A32" s="518" t="s">
        <v>108</v>
      </c>
      <c r="B32" s="518"/>
      <c r="C32" s="518"/>
      <c r="D32" s="518"/>
      <c r="E32" s="518"/>
      <c r="F32" s="518"/>
      <c r="G32" s="518"/>
      <c r="H32" s="518"/>
    </row>
    <row r="33" spans="1:21" x14ac:dyDescent="0.2">
      <c r="A33" s="75"/>
      <c r="B33" s="65"/>
      <c r="C33" s="65"/>
      <c r="D33" s="65"/>
      <c r="E33" s="65"/>
      <c r="F33" s="65"/>
      <c r="G33" s="65"/>
      <c r="H33" s="65"/>
      <c r="I33" s="12"/>
      <c r="K33" s="67"/>
      <c r="L33" s="12"/>
      <c r="P33" s="19"/>
      <c r="Q33" s="19"/>
      <c r="R33" s="19"/>
      <c r="S33" s="19"/>
      <c r="T33" s="19"/>
      <c r="U33" s="20"/>
    </row>
    <row r="34" spans="1:21" x14ac:dyDescent="0.2">
      <c r="A34" s="339" t="s">
        <v>48</v>
      </c>
      <c r="B34" s="19"/>
      <c r="C34" s="64"/>
      <c r="D34" s="19"/>
      <c r="H34" s="19"/>
      <c r="K34" s="67"/>
      <c r="L34" s="12"/>
      <c r="P34" s="19"/>
      <c r="Q34" s="19"/>
      <c r="R34" s="19"/>
      <c r="S34" s="19"/>
      <c r="T34" s="19"/>
      <c r="U34" s="20"/>
    </row>
    <row r="35" spans="1:21" ht="34.5" x14ac:dyDescent="0.2">
      <c r="A35" s="348" t="s">
        <v>248</v>
      </c>
      <c r="B35" s="287" t="s">
        <v>252</v>
      </c>
      <c r="C35" s="348" t="s">
        <v>247</v>
      </c>
      <c r="D35" s="287" t="s">
        <v>221</v>
      </c>
      <c r="E35" s="287" t="s">
        <v>289</v>
      </c>
      <c r="F35" s="287" t="s">
        <v>11</v>
      </c>
      <c r="G35" s="287" t="s">
        <v>12</v>
      </c>
      <c r="H35" s="287" t="s">
        <v>288</v>
      </c>
      <c r="I35" s="12"/>
      <c r="K35" s="67"/>
      <c r="L35" s="12"/>
      <c r="P35" s="19"/>
      <c r="Q35" s="19"/>
      <c r="R35" s="19"/>
      <c r="S35" s="19"/>
      <c r="T35" s="19"/>
      <c r="U35" s="20"/>
    </row>
    <row r="36" spans="1:21" ht="31.5" x14ac:dyDescent="0.2">
      <c r="A36" s="51" t="str">
        <f>$B$7</f>
        <v>KEY_vapor_pressure</v>
      </c>
      <c r="B36" s="24">
        <f>1/760</f>
        <v>1.3157894736842105E-3</v>
      </c>
      <c r="C36" s="257" t="str">
        <f>B6</f>
        <v>KEY_molecular_weight</v>
      </c>
      <c r="D36" s="24">
        <v>1000</v>
      </c>
      <c r="E36" s="24">
        <v>1000</v>
      </c>
      <c r="F36" s="24">
        <v>8.2100000000000006E-2</v>
      </c>
      <c r="G36" s="257">
        <v>298</v>
      </c>
      <c r="H36" s="76" t="e">
        <f>(A36*B36*C36*D36*E36)/(F36*G36)</f>
        <v>#VALUE!</v>
      </c>
      <c r="I36" s="12"/>
      <c r="K36" s="67"/>
      <c r="L36" s="12"/>
      <c r="P36" s="19"/>
      <c r="Q36" s="19"/>
      <c r="R36" s="19"/>
      <c r="S36" s="19"/>
      <c r="T36" s="19"/>
      <c r="U36" s="20"/>
    </row>
    <row r="37" spans="1:21" x14ac:dyDescent="0.2">
      <c r="A37" s="75"/>
      <c r="B37" s="65"/>
      <c r="C37" s="65"/>
      <c r="D37" s="65"/>
      <c r="E37" s="65"/>
      <c r="F37" s="65"/>
      <c r="G37" s="65"/>
      <c r="H37" s="65"/>
      <c r="I37" s="12"/>
      <c r="K37" s="67"/>
      <c r="L37" s="12"/>
      <c r="P37" s="19"/>
      <c r="Q37" s="19"/>
      <c r="R37" s="19"/>
      <c r="S37" s="19"/>
      <c r="T37" s="19"/>
      <c r="U37" s="20"/>
    </row>
    <row r="38" spans="1:21" x14ac:dyDescent="0.2">
      <c r="A38" s="345" t="s">
        <v>123</v>
      </c>
      <c r="D38" s="15"/>
    </row>
    <row r="39" spans="1:21" ht="47.25" x14ac:dyDescent="0.2">
      <c r="A39" s="288" t="s">
        <v>122</v>
      </c>
      <c r="B39" s="287" t="s">
        <v>288</v>
      </c>
      <c r="C39" s="287" t="s">
        <v>227</v>
      </c>
      <c r="D39" s="287" t="s">
        <v>307</v>
      </c>
      <c r="E39" s="287" t="s">
        <v>277</v>
      </c>
      <c r="F39" s="349" t="s">
        <v>13</v>
      </c>
      <c r="G39" s="349" t="s">
        <v>115</v>
      </c>
    </row>
    <row r="40" spans="1:21" x14ac:dyDescent="0.2">
      <c r="A40" s="27" t="s">
        <v>114</v>
      </c>
      <c r="B40" s="76" t="e">
        <f>$H$36</f>
        <v>#VALUE!</v>
      </c>
      <c r="C40" s="24">
        <v>16</v>
      </c>
      <c r="D40" s="24" t="e">
        <f>(B40*'TOX and EXPO INPUTS'!$D$30*C40*'TOX and EXPO INPUTS'!$D$21)/'TOX and EXPO INPUTS'!$D$26</f>
        <v>#VALUE!</v>
      </c>
      <c r="E40" s="24" t="e">
        <f>VALUE(TEXT(D40,"0.0E+00"))</f>
        <v>#VALUE!</v>
      </c>
      <c r="F40" s="24" t="e">
        <f>'TOX and EXPO INPUTS'!$D$19/D40</f>
        <v>#VALUE!</v>
      </c>
      <c r="G40" s="30" t="e">
        <f>VALUE(TEXT(F40,"0.0E+00"))</f>
        <v>#VALUE!</v>
      </c>
    </row>
    <row r="41" spans="1:21" x14ac:dyDescent="0.25">
      <c r="A41" s="7" t="s">
        <v>23</v>
      </c>
      <c r="B41" s="76" t="e">
        <f>$H$36</f>
        <v>#VALUE!</v>
      </c>
      <c r="C41" s="24">
        <v>18</v>
      </c>
      <c r="D41" s="24" t="e">
        <f>(B41*'TOX and EXPO INPUTS'!$D$31*C41*'TOX and EXPO INPUTS'!$D$21)/'TOX and EXPO INPUTS'!$D$27</f>
        <v>#VALUE!</v>
      </c>
      <c r="E41" s="24" t="e">
        <f>VALUE(TEXT(D41,"0.0E+00"))</f>
        <v>#VALUE!</v>
      </c>
      <c r="F41" s="24" t="e">
        <f>'TOX and EXPO INPUTS'!$D$19/D41</f>
        <v>#VALUE!</v>
      </c>
      <c r="G41" s="30" t="e">
        <f>VALUE(TEXT(F41,"0.0E+00"))</f>
        <v>#VALUE!</v>
      </c>
    </row>
  </sheetData>
  <mergeCells count="1">
    <mergeCell ref="A32:H32"/>
  </mergeCells>
  <phoneticPr fontId="3" type="noConversion"/>
  <conditionalFormatting sqref="G40:G41 G26:G27">
    <cfRule type="cellIs" dxfId="5" priority="7" stopIfTrue="1" operator="lessThan">
      <formula>$F$2</formula>
    </cfRule>
  </conditionalFormatting>
  <pageMargins left="0.17" right="0.17" top="0.17" bottom="1.66" header="0.17" footer="1.67"/>
  <pageSetup scale="71" orientation="landscape" r:id="rId1"/>
  <headerFooter alignWithMargins="0"/>
  <rowBreaks count="1" manualBreakCount="1">
    <brk id="16" max="16383" man="1"/>
  </rowBreaks>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2"/>
  <sheetViews>
    <sheetView zoomScale="60" zoomScaleNormal="60" workbookViewId="0">
      <selection activeCell="G29" sqref="G29"/>
    </sheetView>
  </sheetViews>
  <sheetFormatPr defaultRowHeight="20.25" x14ac:dyDescent="0.2"/>
  <cols>
    <col min="1" max="1" width="51.42578125" style="371" customWidth="1"/>
    <col min="2" max="2" width="50.28515625" style="371" customWidth="1"/>
    <col min="3" max="3" width="24" style="371" customWidth="1"/>
    <col min="4" max="4" width="26.28515625" style="371" customWidth="1"/>
    <col min="5" max="5" width="23.7109375" style="371" customWidth="1"/>
    <col min="6" max="6" width="24.7109375" style="371" customWidth="1"/>
    <col min="7" max="7" width="21.7109375" style="371" customWidth="1"/>
    <col min="8" max="8" width="17.7109375" style="371" customWidth="1"/>
    <col min="9" max="9" width="19.85546875" style="371" customWidth="1"/>
    <col min="10" max="10" width="17.42578125" style="371" customWidth="1"/>
    <col min="11" max="11" width="22.140625" style="371" customWidth="1"/>
    <col min="12" max="12" width="16.28515625" style="371" customWidth="1"/>
    <col min="13" max="13" width="15.7109375" style="371" customWidth="1"/>
    <col min="14" max="14" width="25.28515625" style="371" customWidth="1"/>
    <col min="15" max="16384" width="9.140625" style="371"/>
  </cols>
  <sheetData>
    <row r="1" spans="1:9" s="361" customFormat="1" ht="27" x14ac:dyDescent="0.2">
      <c r="A1" s="445" t="s">
        <v>109</v>
      </c>
      <c r="B1" s="77" t="s">
        <v>111</v>
      </c>
      <c r="D1" s="426" t="s">
        <v>125</v>
      </c>
      <c r="E1" s="427"/>
      <c r="F1" s="428"/>
      <c r="G1" s="3"/>
    </row>
    <row r="2" spans="1:9" s="361" customFormat="1" ht="26.25" x14ac:dyDescent="0.25">
      <c r="B2" s="77" t="s">
        <v>112</v>
      </c>
      <c r="C2" s="362"/>
      <c r="D2" s="429" t="s">
        <v>127</v>
      </c>
      <c r="E2" s="430"/>
      <c r="F2" s="431"/>
      <c r="G2" s="3"/>
    </row>
    <row r="3" spans="1:9" s="361" customFormat="1" ht="26.25" x14ac:dyDescent="0.2">
      <c r="A3" s="363"/>
      <c r="B3" s="77" t="s">
        <v>153</v>
      </c>
      <c r="C3" s="3"/>
      <c r="D3" s="3"/>
      <c r="E3" s="3"/>
      <c r="F3" s="3"/>
      <c r="G3" s="3"/>
    </row>
    <row r="4" spans="1:9" s="361" customFormat="1" x14ac:dyDescent="0.2">
      <c r="A4" s="363"/>
      <c r="B4" s="78"/>
      <c r="C4" s="3"/>
      <c r="D4" s="3"/>
      <c r="E4" s="3"/>
      <c r="F4" s="3"/>
      <c r="G4" s="3"/>
    </row>
    <row r="5" spans="1:9" s="361" customFormat="1" ht="42.75" customHeight="1" x14ac:dyDescent="0.2">
      <c r="A5" s="447" t="s">
        <v>113</v>
      </c>
      <c r="B5" s="364"/>
      <c r="C5" s="364"/>
      <c r="D5" s="364"/>
      <c r="E5" s="364"/>
      <c r="F5" s="85"/>
      <c r="I5" s="286"/>
    </row>
    <row r="6" spans="1:9" s="361" customFormat="1" ht="21" customHeight="1" x14ac:dyDescent="0.2">
      <c r="A6" s="90"/>
      <c r="B6" s="364"/>
      <c r="C6" s="364"/>
      <c r="D6" s="85"/>
      <c r="E6" s="85"/>
      <c r="F6" s="85"/>
      <c r="H6" s="524" t="s">
        <v>175</v>
      </c>
      <c r="I6" s="524"/>
    </row>
    <row r="7" spans="1:9" s="361" customFormat="1" ht="21" customHeight="1" x14ac:dyDescent="0.2">
      <c r="A7" s="522" t="s">
        <v>254</v>
      </c>
      <c r="B7" s="522"/>
      <c r="C7" s="522"/>
      <c r="D7" s="522"/>
      <c r="E7" s="85"/>
      <c r="H7" s="524"/>
      <c r="I7" s="524"/>
    </row>
    <row r="8" spans="1:9" s="361" customFormat="1" ht="20.25" customHeight="1" x14ac:dyDescent="0.3">
      <c r="A8" s="525" t="s">
        <v>309</v>
      </c>
      <c r="B8" s="525"/>
      <c r="C8" s="525"/>
      <c r="D8" s="523">
        <v>1</v>
      </c>
      <c r="E8" s="3"/>
      <c r="H8" s="432">
        <v>1</v>
      </c>
      <c r="I8" s="433"/>
    </row>
    <row r="9" spans="1:9" s="361" customFormat="1" x14ac:dyDescent="0.3">
      <c r="A9" s="525" t="s">
        <v>310</v>
      </c>
      <c r="B9" s="525"/>
      <c r="C9" s="525"/>
      <c r="D9" s="523"/>
      <c r="E9" s="3"/>
      <c r="H9" s="432">
        <v>2</v>
      </c>
      <c r="I9" s="433"/>
    </row>
    <row r="10" spans="1:9" s="361" customFormat="1" x14ac:dyDescent="0.3">
      <c r="A10" s="525" t="s">
        <v>311</v>
      </c>
      <c r="B10" s="525"/>
      <c r="C10" s="525"/>
      <c r="D10" s="523"/>
      <c r="E10" s="3"/>
      <c r="H10" s="432">
        <v>3</v>
      </c>
      <c r="I10" s="433"/>
    </row>
    <row r="11" spans="1:9" s="361" customFormat="1" ht="21" customHeight="1" x14ac:dyDescent="0.2">
      <c r="A11" s="90"/>
      <c r="B11" s="364"/>
      <c r="C11" s="364"/>
      <c r="D11" s="85"/>
      <c r="E11" s="85"/>
      <c r="F11" s="85"/>
      <c r="G11" s="364"/>
    </row>
    <row r="12" spans="1:9" s="361" customFormat="1" x14ac:dyDescent="0.2">
      <c r="A12" s="351" t="str">
        <f>IF($D$8=1, "Use This One", "Don't Use This One")</f>
        <v>Use This One</v>
      </c>
      <c r="B12" s="453"/>
      <c r="C12" s="90"/>
      <c r="D12" s="90"/>
      <c r="E12" s="90"/>
      <c r="F12" s="90"/>
      <c r="G12" s="3"/>
      <c r="H12" s="3"/>
      <c r="I12" s="3"/>
    </row>
    <row r="13" spans="1:9" s="361" customFormat="1" ht="81" x14ac:dyDescent="0.2">
      <c r="A13" s="451" t="s">
        <v>85</v>
      </c>
      <c r="B13" s="526" t="s">
        <v>86</v>
      </c>
      <c r="C13" s="526"/>
      <c r="D13" s="352" t="s">
        <v>92</v>
      </c>
      <c r="E13" s="352" t="s">
        <v>91</v>
      </c>
      <c r="F13" s="352" t="s">
        <v>93</v>
      </c>
      <c r="G13" s="352" t="s">
        <v>290</v>
      </c>
      <c r="I13" s="3"/>
    </row>
    <row r="14" spans="1:9" s="361" customFormat="1" ht="40.5" customHeight="1" x14ac:dyDescent="0.2">
      <c r="A14" s="443" t="s">
        <v>82</v>
      </c>
      <c r="B14" s="525" t="s">
        <v>87</v>
      </c>
      <c r="C14" s="525"/>
      <c r="D14" s="216"/>
      <c r="E14" s="80" t="s">
        <v>90</v>
      </c>
      <c r="F14" s="80" t="s">
        <v>90</v>
      </c>
      <c r="G14" s="80">
        <f>D14</f>
        <v>0</v>
      </c>
    </row>
    <row r="15" spans="1:9" s="361" customFormat="1" ht="40.5" customHeight="1" x14ac:dyDescent="0.2">
      <c r="A15" s="443" t="s">
        <v>83</v>
      </c>
      <c r="B15" s="525" t="s">
        <v>88</v>
      </c>
      <c r="C15" s="525"/>
      <c r="D15" s="80" t="s">
        <v>90</v>
      </c>
      <c r="E15" s="216"/>
      <c r="F15" s="216"/>
      <c r="G15" s="80">
        <f>(0.7*E15)+(0.3*F15)</f>
        <v>0</v>
      </c>
    </row>
    <row r="16" spans="1:9" s="361" customFormat="1" ht="40.5" customHeight="1" x14ac:dyDescent="0.2">
      <c r="A16" s="443" t="s">
        <v>84</v>
      </c>
      <c r="B16" s="525" t="s">
        <v>89</v>
      </c>
      <c r="C16" s="525"/>
      <c r="D16" s="80" t="s">
        <v>90</v>
      </c>
      <c r="E16" s="216"/>
      <c r="F16" s="216"/>
      <c r="G16" s="80">
        <f>(0.9*E16)+(0.1*F16)</f>
        <v>0</v>
      </c>
    </row>
    <row r="17" spans="1:13" s="3" customFormat="1" x14ac:dyDescent="0.2">
      <c r="B17" s="365"/>
      <c r="G17" s="87"/>
    </row>
    <row r="18" spans="1:13" s="3" customFormat="1" x14ac:dyDescent="0.2">
      <c r="A18" s="454" t="str">
        <f>IF($D$8=2, "Use This One", "Don't Use This One")</f>
        <v>Don't Use This One</v>
      </c>
      <c r="B18" s="453"/>
      <c r="C18" s="90"/>
      <c r="D18" s="90"/>
      <c r="E18" s="90"/>
      <c r="F18" s="90"/>
      <c r="G18" s="90"/>
      <c r="H18" s="85"/>
    </row>
    <row r="19" spans="1:13" s="361" customFormat="1" ht="60.75" customHeight="1" x14ac:dyDescent="0.2">
      <c r="A19" s="526" t="s">
        <v>85</v>
      </c>
      <c r="B19" s="526"/>
      <c r="C19" s="456" t="s">
        <v>313</v>
      </c>
      <c r="D19" s="353" t="s">
        <v>255</v>
      </c>
      <c r="E19" s="354" t="s">
        <v>292</v>
      </c>
      <c r="F19" s="352" t="s">
        <v>293</v>
      </c>
      <c r="G19" s="352" t="s">
        <v>290</v>
      </c>
    </row>
    <row r="20" spans="1:13" s="361" customFormat="1" ht="24" customHeight="1" x14ac:dyDescent="0.2">
      <c r="A20" s="525" t="s">
        <v>17</v>
      </c>
      <c r="B20" s="525"/>
      <c r="C20" s="366"/>
      <c r="D20" s="367">
        <v>454000000</v>
      </c>
      <c r="E20" s="368">
        <v>1.08E-3</v>
      </c>
      <c r="F20" s="369">
        <f>C20*D20*E20</f>
        <v>0</v>
      </c>
      <c r="G20" s="449">
        <f>F20</f>
        <v>0</v>
      </c>
    </row>
    <row r="21" spans="1:13" s="361" customFormat="1" x14ac:dyDescent="0.2">
      <c r="A21" s="525" t="s">
        <v>94</v>
      </c>
      <c r="B21" s="525"/>
      <c r="C21" s="370"/>
      <c r="D21" s="367">
        <v>454000000</v>
      </c>
      <c r="E21" s="368">
        <v>1.08E-3</v>
      </c>
      <c r="F21" s="369">
        <f>C21*D21*E21</f>
        <v>0</v>
      </c>
      <c r="G21" s="449">
        <f>0.5*F21</f>
        <v>0</v>
      </c>
      <c r="I21" s="371"/>
      <c r="J21" s="371"/>
      <c r="K21" s="371"/>
      <c r="L21" s="371"/>
      <c r="M21" s="371"/>
    </row>
    <row r="22" spans="1:13" s="361" customFormat="1" x14ac:dyDescent="0.2">
      <c r="A22" s="525" t="s">
        <v>20</v>
      </c>
      <c r="B22" s="525"/>
      <c r="C22" s="370"/>
      <c r="D22" s="367">
        <v>454000000</v>
      </c>
      <c r="E22" s="368">
        <v>1.08E-3</v>
      </c>
      <c r="F22" s="369">
        <f>C22*D22*E22</f>
        <v>0</v>
      </c>
      <c r="G22" s="449">
        <f>0.1*F22</f>
        <v>0</v>
      </c>
      <c r="I22" s="371"/>
      <c r="J22" s="371"/>
      <c r="K22" s="371"/>
      <c r="L22" s="371"/>
      <c r="M22" s="371"/>
    </row>
    <row r="23" spans="1:13" s="3" customFormat="1" x14ac:dyDescent="0.2">
      <c r="B23" s="365"/>
      <c r="G23" s="87"/>
    </row>
    <row r="24" spans="1:13" s="361" customFormat="1" x14ac:dyDescent="0.2">
      <c r="A24" s="454" t="str">
        <f>IF($D$8=3, "Use This One", "Don't Use This One")</f>
        <v>Don't Use This One</v>
      </c>
      <c r="B24" s="453"/>
      <c r="C24" s="90"/>
      <c r="D24" s="90"/>
      <c r="E24" s="90"/>
      <c r="F24" s="3"/>
      <c r="G24" s="3"/>
    </row>
    <row r="25" spans="1:13" s="361" customFormat="1" ht="84" customHeight="1" x14ac:dyDescent="0.2">
      <c r="A25" s="352" t="s">
        <v>85</v>
      </c>
      <c r="B25" s="352" t="s">
        <v>96</v>
      </c>
      <c r="C25" s="352" t="s">
        <v>291</v>
      </c>
      <c r="D25" s="352" t="s">
        <v>98</v>
      </c>
      <c r="E25" s="352" t="s">
        <v>290</v>
      </c>
      <c r="F25" s="365"/>
      <c r="G25" s="3"/>
    </row>
    <row r="26" spans="1:13" s="361" customFormat="1" x14ac:dyDescent="0.2">
      <c r="A26" s="443" t="s">
        <v>97</v>
      </c>
      <c r="B26" s="373">
        <v>5.0000000000000001E-3</v>
      </c>
      <c r="C26" s="80">
        <v>15</v>
      </c>
      <c r="D26" s="84"/>
      <c r="E26" s="80">
        <f>(C26/B26)*D26</f>
        <v>0</v>
      </c>
      <c r="F26" s="452"/>
      <c r="G26" s="87"/>
    </row>
    <row r="27" spans="1:13" s="361" customFormat="1" x14ac:dyDescent="0.2">
      <c r="A27" s="443" t="s">
        <v>68</v>
      </c>
      <c r="B27" s="80" t="s">
        <v>90</v>
      </c>
      <c r="C27" s="80">
        <v>4.5</v>
      </c>
      <c r="D27" s="80" t="s">
        <v>90</v>
      </c>
      <c r="E27" s="80">
        <f>C27</f>
        <v>4.5</v>
      </c>
      <c r="F27" s="452"/>
      <c r="G27" s="87"/>
    </row>
    <row r="28" spans="1:13" s="361" customFormat="1" x14ac:dyDescent="0.2">
      <c r="A28" s="443" t="s">
        <v>95</v>
      </c>
      <c r="B28" s="80" t="s">
        <v>90</v>
      </c>
      <c r="C28" s="80">
        <v>1.1000000000000001</v>
      </c>
      <c r="D28" s="80" t="s">
        <v>90</v>
      </c>
      <c r="E28" s="80">
        <f>C28</f>
        <v>1.1000000000000001</v>
      </c>
      <c r="F28" s="452"/>
      <c r="G28" s="87"/>
    </row>
    <row r="29" spans="1:13" s="361" customFormat="1" x14ac:dyDescent="0.2">
      <c r="A29" s="443" t="s">
        <v>20</v>
      </c>
      <c r="B29" s="80" t="s">
        <v>90</v>
      </c>
      <c r="C29" s="80">
        <v>0.3</v>
      </c>
      <c r="D29" s="80" t="s">
        <v>90</v>
      </c>
      <c r="E29" s="80">
        <f>C29</f>
        <v>0.3</v>
      </c>
      <c r="F29" s="452"/>
      <c r="G29" s="87"/>
    </row>
    <row r="30" spans="1:13" ht="24" customHeight="1" x14ac:dyDescent="0.2"/>
    <row r="31" spans="1:13" ht="19.5" customHeight="1" x14ac:dyDescent="0.2"/>
    <row r="32" spans="1:13" ht="51.75" customHeight="1" x14ac:dyDescent="0.2">
      <c r="A32" s="447" t="s">
        <v>110</v>
      </c>
    </row>
    <row r="33" spans="1:10" x14ac:dyDescent="0.2">
      <c r="A33" s="90"/>
      <c r="B33" s="90"/>
      <c r="C33" s="90"/>
      <c r="D33" s="90"/>
      <c r="E33" s="90"/>
      <c r="F33" s="90"/>
      <c r="G33" s="90"/>
      <c r="H33" s="90"/>
      <c r="I33" s="90"/>
      <c r="J33" s="90"/>
    </row>
    <row r="34" spans="1:10" x14ac:dyDescent="0.2">
      <c r="A34" s="372" t="s">
        <v>99</v>
      </c>
      <c r="B34" s="90"/>
      <c r="C34" s="90"/>
      <c r="D34" s="90"/>
      <c r="E34" s="90"/>
      <c r="F34" s="90"/>
      <c r="G34" s="90"/>
      <c r="H34" s="90"/>
      <c r="I34" s="90"/>
      <c r="J34" s="90"/>
    </row>
    <row r="35" spans="1:10" s="355" customFormat="1" ht="81" x14ac:dyDescent="0.2">
      <c r="A35" s="385" t="s">
        <v>259</v>
      </c>
      <c r="B35" s="352" t="s">
        <v>294</v>
      </c>
      <c r="C35" s="352" t="s">
        <v>295</v>
      </c>
      <c r="D35" s="352" t="s">
        <v>296</v>
      </c>
      <c r="E35" s="354" t="s">
        <v>292</v>
      </c>
      <c r="F35" s="352" t="s">
        <v>256</v>
      </c>
      <c r="G35" s="352" t="s">
        <v>257</v>
      </c>
      <c r="H35" s="352" t="s">
        <v>258</v>
      </c>
      <c r="I35" s="352" t="s">
        <v>255</v>
      </c>
      <c r="J35" s="352" t="s">
        <v>290</v>
      </c>
    </row>
    <row r="36" spans="1:10" s="355" customFormat="1" x14ac:dyDescent="0.2">
      <c r="A36" s="359"/>
      <c r="B36" s="86">
        <v>19000</v>
      </c>
      <c r="C36" s="86">
        <f>B36*A36</f>
        <v>0</v>
      </c>
      <c r="D36" s="384">
        <v>5.0000000000000001E-3</v>
      </c>
      <c r="E36" s="358">
        <v>1.08E-3</v>
      </c>
      <c r="F36" s="88">
        <f>C36*D36*E36</f>
        <v>0</v>
      </c>
      <c r="G36" s="89"/>
      <c r="H36" s="91">
        <f>F36*G36</f>
        <v>0</v>
      </c>
      <c r="I36" s="358">
        <v>450000000</v>
      </c>
      <c r="J36" s="450">
        <f>H36/B36*I36</f>
        <v>0</v>
      </c>
    </row>
    <row r="37" spans="1:10" s="355" customFormat="1" x14ac:dyDescent="0.2">
      <c r="A37" s="78"/>
      <c r="B37" s="78"/>
      <c r="C37" s="78"/>
      <c r="D37" s="78"/>
      <c r="E37" s="78"/>
      <c r="F37" s="85"/>
      <c r="G37" s="90"/>
      <c r="H37" s="90"/>
      <c r="I37" s="90"/>
      <c r="J37" s="90"/>
    </row>
    <row r="38" spans="1:10" s="355" customFormat="1" ht="24" x14ac:dyDescent="0.2">
      <c r="A38" s="81" t="s">
        <v>338</v>
      </c>
      <c r="B38" s="356"/>
      <c r="C38" s="90"/>
      <c r="D38" s="90"/>
      <c r="E38" s="90"/>
      <c r="F38" s="90"/>
      <c r="G38" s="90"/>
      <c r="H38" s="90"/>
      <c r="I38" s="90"/>
      <c r="J38" s="90"/>
    </row>
    <row r="39" spans="1:10" s="355" customFormat="1" ht="24" x14ac:dyDescent="0.2">
      <c r="A39" s="81" t="s">
        <v>260</v>
      </c>
      <c r="B39" s="356"/>
      <c r="C39" s="90"/>
      <c r="D39" s="90"/>
      <c r="E39" s="90"/>
      <c r="F39" s="90"/>
      <c r="G39" s="90"/>
      <c r="H39" s="90"/>
      <c r="I39" s="90"/>
      <c r="J39" s="90"/>
    </row>
    <row r="40" spans="1:10" s="355" customFormat="1" ht="25.5" customHeight="1" x14ac:dyDescent="0.2">
      <c r="A40" s="90"/>
      <c r="B40" s="90"/>
      <c r="C40" s="87"/>
      <c r="D40" s="87"/>
      <c r="E40" s="87"/>
      <c r="F40" s="85"/>
      <c r="G40" s="90"/>
      <c r="H40" s="90"/>
      <c r="I40" s="90"/>
      <c r="J40" s="90"/>
    </row>
    <row r="41" spans="1:10" s="355" customFormat="1" x14ac:dyDescent="0.2">
      <c r="A41" s="522" t="s">
        <v>100</v>
      </c>
      <c r="B41" s="522"/>
      <c r="C41" s="87"/>
      <c r="D41" s="87"/>
      <c r="E41" s="87"/>
      <c r="F41" s="85"/>
      <c r="G41" s="90"/>
      <c r="H41" s="90"/>
      <c r="I41" s="90"/>
      <c r="J41" s="90"/>
    </row>
    <row r="42" spans="1:10" s="355" customFormat="1" ht="24" x14ac:dyDescent="0.2">
      <c r="A42" s="372" t="s">
        <v>79</v>
      </c>
      <c r="B42" s="352" t="s">
        <v>290</v>
      </c>
      <c r="C42" s="90"/>
      <c r="D42" s="90"/>
      <c r="E42" s="90"/>
      <c r="F42" s="87"/>
      <c r="G42" s="87"/>
      <c r="H42" s="90"/>
      <c r="I42" s="90"/>
      <c r="J42" s="90"/>
    </row>
    <row r="43" spans="1:10" s="355" customFormat="1" x14ac:dyDescent="0.2">
      <c r="A43" s="240" t="s">
        <v>67</v>
      </c>
      <c r="B43" s="80">
        <v>4.5</v>
      </c>
      <c r="C43" s="90"/>
      <c r="D43" s="90"/>
      <c r="E43" s="90"/>
      <c r="F43" s="87"/>
      <c r="G43" s="87"/>
      <c r="H43" s="90"/>
      <c r="I43" s="90"/>
      <c r="J43" s="90"/>
    </row>
    <row r="44" spans="1:10" s="355" customFormat="1" ht="25.5" customHeight="1" x14ac:dyDescent="0.2">
      <c r="A44" s="90"/>
      <c r="B44" s="90"/>
      <c r="C44" s="87"/>
      <c r="D44" s="87"/>
      <c r="E44" s="90"/>
      <c r="F44" s="90"/>
      <c r="G44" s="90"/>
      <c r="H44" s="90"/>
      <c r="I44" s="90"/>
      <c r="J44" s="90"/>
    </row>
    <row r="45" spans="1:10" ht="25.5" customHeight="1" x14ac:dyDescent="0.2"/>
    <row r="46" spans="1:10" ht="49.5" customHeight="1" x14ac:dyDescent="0.2">
      <c r="A46" s="446" t="s">
        <v>154</v>
      </c>
    </row>
    <row r="47" spans="1:10" ht="25.5" customHeight="1" x14ac:dyDescent="0.2">
      <c r="A47" s="360"/>
    </row>
    <row r="48" spans="1:10" ht="25.5" customHeight="1" x14ac:dyDescent="0.2">
      <c r="A48" s="360" t="s">
        <v>267</v>
      </c>
    </row>
    <row r="49" spans="1:12" ht="25.5" customHeight="1" x14ac:dyDescent="0.2">
      <c r="A49" s="360"/>
    </row>
    <row r="50" spans="1:12" ht="25.5" customHeight="1" x14ac:dyDescent="0.2">
      <c r="A50" s="455" t="s">
        <v>99</v>
      </c>
      <c r="B50" s="85"/>
      <c r="C50" s="85"/>
      <c r="D50" s="85"/>
      <c r="E50" s="85"/>
      <c r="F50" s="85"/>
      <c r="G50" s="85"/>
      <c r="H50" s="85"/>
      <c r="I50" s="85"/>
      <c r="J50" s="90"/>
    </row>
    <row r="51" spans="1:12" ht="64.5" x14ac:dyDescent="0.2">
      <c r="A51" s="352" t="s">
        <v>261</v>
      </c>
      <c r="B51" s="352" t="s">
        <v>262</v>
      </c>
      <c r="C51" s="352" t="s">
        <v>272</v>
      </c>
      <c r="D51" s="352" t="s">
        <v>263</v>
      </c>
      <c r="E51" s="352" t="s">
        <v>297</v>
      </c>
      <c r="F51" s="352" t="s">
        <v>273</v>
      </c>
      <c r="G51" s="352" t="s">
        <v>298</v>
      </c>
      <c r="H51" s="352" t="s">
        <v>299</v>
      </c>
      <c r="I51" s="352" t="s">
        <v>290</v>
      </c>
      <c r="K51" s="90"/>
      <c r="L51" s="90"/>
    </row>
    <row r="52" spans="1:12" ht="25.5" customHeight="1" x14ac:dyDescent="0.2">
      <c r="A52" s="379"/>
      <c r="B52" s="380"/>
      <c r="C52" s="377">
        <v>28349526</v>
      </c>
      <c r="D52" s="377">
        <f>A52*B52*C52</f>
        <v>0</v>
      </c>
      <c r="E52" s="379"/>
      <c r="F52" s="377">
        <v>8</v>
      </c>
      <c r="G52" s="377">
        <v>929</v>
      </c>
      <c r="H52" s="377">
        <f>(E52/F52)*G52</f>
        <v>0</v>
      </c>
      <c r="I52" s="378" t="e">
        <f>D52/H52</f>
        <v>#DIV/0!</v>
      </c>
      <c r="K52" s="90"/>
      <c r="L52" s="90"/>
    </row>
    <row r="53" spans="1:12" ht="25.5" customHeight="1" x14ac:dyDescent="0.2">
      <c r="A53" s="90"/>
      <c r="B53" s="90"/>
      <c r="C53" s="90"/>
      <c r="D53" s="90"/>
      <c r="E53" s="90"/>
      <c r="F53" s="90"/>
      <c r="G53" s="90"/>
      <c r="H53" s="90"/>
      <c r="I53" s="90"/>
      <c r="J53" s="90"/>
      <c r="K53" s="90"/>
      <c r="L53" s="90"/>
    </row>
    <row r="54" spans="1:12" ht="25.5" customHeight="1" x14ac:dyDescent="0.2">
      <c r="A54" s="519" t="s">
        <v>264</v>
      </c>
      <c r="B54" s="520"/>
      <c r="C54" s="520"/>
      <c r="D54" s="521"/>
      <c r="E54" s="90"/>
      <c r="F54" s="90"/>
      <c r="G54" s="90"/>
      <c r="H54" s="90"/>
      <c r="I54" s="90"/>
      <c r="J54" s="90"/>
      <c r="K54" s="90"/>
      <c r="L54" s="90"/>
    </row>
    <row r="55" spans="1:12" ht="44.25" x14ac:dyDescent="0.2">
      <c r="A55" s="352" t="s">
        <v>96</v>
      </c>
      <c r="B55" s="352" t="s">
        <v>291</v>
      </c>
      <c r="C55" s="352" t="s">
        <v>98</v>
      </c>
      <c r="D55" s="352" t="s">
        <v>290</v>
      </c>
      <c r="E55" s="90"/>
      <c r="F55" s="90"/>
      <c r="G55" s="90"/>
      <c r="H55" s="90"/>
      <c r="I55" s="90"/>
      <c r="J55" s="90"/>
      <c r="K55" s="90"/>
      <c r="L55" s="90"/>
    </row>
    <row r="56" spans="1:12" ht="25.5" customHeight="1" x14ac:dyDescent="0.2">
      <c r="A56" s="373">
        <v>5.0000000000000001E-3</v>
      </c>
      <c r="B56" s="80">
        <v>5.4</v>
      </c>
      <c r="C56" s="84"/>
      <c r="D56" s="93">
        <f>(B56/A56)*C56</f>
        <v>0</v>
      </c>
      <c r="E56" s="90"/>
      <c r="F56" s="90"/>
      <c r="G56" s="90"/>
      <c r="H56" s="90"/>
      <c r="I56" s="90"/>
      <c r="J56" s="90"/>
      <c r="K56" s="90"/>
      <c r="L56" s="90"/>
    </row>
    <row r="57" spans="1:12" ht="25.5" customHeight="1" x14ac:dyDescent="0.2">
      <c r="A57" s="376"/>
      <c r="B57" s="3"/>
      <c r="C57" s="376"/>
      <c r="D57" s="357"/>
      <c r="E57" s="90"/>
      <c r="F57" s="90"/>
      <c r="G57" s="90"/>
      <c r="H57" s="90"/>
      <c r="I57" s="90"/>
      <c r="J57" s="90"/>
      <c r="K57" s="90"/>
      <c r="L57" s="90"/>
    </row>
    <row r="58" spans="1:12" ht="25.5" customHeight="1" x14ac:dyDescent="0.2">
      <c r="A58" s="360" t="s">
        <v>268</v>
      </c>
      <c r="B58" s="90"/>
      <c r="C58" s="90"/>
      <c r="D58" s="90"/>
      <c r="E58" s="90"/>
      <c r="F58" s="90"/>
      <c r="G58" s="90"/>
      <c r="H58" s="90"/>
      <c r="I58" s="90"/>
      <c r="J58" s="90"/>
      <c r="K58" s="90"/>
      <c r="L58" s="90"/>
    </row>
    <row r="59" spans="1:12" ht="25.5" customHeight="1" x14ac:dyDescent="0.2">
      <c r="A59" s="360"/>
      <c r="B59" s="90"/>
      <c r="C59" s="90"/>
      <c r="D59" s="90"/>
      <c r="E59" s="90"/>
      <c r="F59" s="90"/>
      <c r="G59" s="90"/>
      <c r="H59" s="90"/>
      <c r="I59" s="90"/>
      <c r="J59" s="90"/>
      <c r="K59" s="90"/>
      <c r="L59" s="90"/>
    </row>
    <row r="60" spans="1:12" ht="25.5" customHeight="1" x14ac:dyDescent="0.2">
      <c r="A60" s="372" t="s">
        <v>269</v>
      </c>
      <c r="B60" s="85"/>
      <c r="C60" s="85"/>
      <c r="D60" s="85"/>
      <c r="E60" s="85"/>
      <c r="F60" s="85"/>
      <c r="G60" s="85"/>
      <c r="H60" s="85"/>
      <c r="I60" s="85"/>
      <c r="J60" s="85"/>
      <c r="K60" s="90"/>
    </row>
    <row r="61" spans="1:12" ht="64.5" x14ac:dyDescent="0.2">
      <c r="A61" s="385" t="s">
        <v>265</v>
      </c>
      <c r="B61" s="352" t="s">
        <v>262</v>
      </c>
      <c r="C61" s="352" t="s">
        <v>266</v>
      </c>
      <c r="D61" s="352" t="s">
        <v>272</v>
      </c>
      <c r="E61" s="352" t="s">
        <v>155</v>
      </c>
      <c r="F61" s="352" t="s">
        <v>300</v>
      </c>
      <c r="G61" s="352" t="s">
        <v>273</v>
      </c>
      <c r="H61" s="352" t="s">
        <v>298</v>
      </c>
      <c r="I61" s="352" t="s">
        <v>299</v>
      </c>
      <c r="J61" s="352" t="s">
        <v>290</v>
      </c>
      <c r="L61" s="90"/>
    </row>
    <row r="62" spans="1:12" ht="25.5" customHeight="1" x14ac:dyDescent="0.2">
      <c r="A62" s="379"/>
      <c r="B62" s="380"/>
      <c r="C62" s="386">
        <v>0.25</v>
      </c>
      <c r="D62" s="377">
        <v>28349526</v>
      </c>
      <c r="E62" s="377">
        <f>A62*B62*C62*D62</f>
        <v>0</v>
      </c>
      <c r="F62" s="379"/>
      <c r="G62" s="377">
        <v>8</v>
      </c>
      <c r="H62" s="377">
        <v>929</v>
      </c>
      <c r="I62" s="377">
        <f>(F62/G62)*H62</f>
        <v>0</v>
      </c>
      <c r="J62" s="434" t="e">
        <f>E62/I62</f>
        <v>#DIV/0!</v>
      </c>
      <c r="L62" s="90"/>
    </row>
    <row r="63" spans="1:12" ht="64.5" x14ac:dyDescent="0.2">
      <c r="A63" s="352" t="s">
        <v>270</v>
      </c>
      <c r="B63" s="352" t="s">
        <v>262</v>
      </c>
      <c r="C63" s="352" t="s">
        <v>266</v>
      </c>
      <c r="D63" s="352" t="s">
        <v>274</v>
      </c>
      <c r="E63" s="352" t="s">
        <v>155</v>
      </c>
      <c r="F63" s="352" t="s">
        <v>300</v>
      </c>
      <c r="G63" s="352" t="s">
        <v>273</v>
      </c>
      <c r="H63" s="352" t="s">
        <v>298</v>
      </c>
      <c r="I63" s="352" t="s">
        <v>299</v>
      </c>
      <c r="J63" s="352" t="s">
        <v>290</v>
      </c>
      <c r="L63" s="90"/>
    </row>
    <row r="64" spans="1:12" ht="25.5" customHeight="1" x14ac:dyDescent="0.2">
      <c r="A64" s="379"/>
      <c r="B64" s="380"/>
      <c r="C64" s="386">
        <v>0.25</v>
      </c>
      <c r="D64" s="377">
        <v>1000000</v>
      </c>
      <c r="E64" s="377">
        <f>A64*B64*C64*D64</f>
        <v>0</v>
      </c>
      <c r="F64" s="379"/>
      <c r="G64" s="377">
        <v>8</v>
      </c>
      <c r="H64" s="377">
        <v>929</v>
      </c>
      <c r="I64" s="377">
        <f>(F64/G64)*H64</f>
        <v>0</v>
      </c>
      <c r="J64" s="434" t="e">
        <f>E64/I64</f>
        <v>#DIV/0!</v>
      </c>
      <c r="L64" s="90"/>
    </row>
    <row r="65" spans="1:14" ht="25.5" customHeight="1" x14ac:dyDescent="0.2"/>
    <row r="66" spans="1:14" ht="25.5" customHeight="1" x14ac:dyDescent="0.2">
      <c r="A66" s="372" t="s">
        <v>271</v>
      </c>
      <c r="B66" s="85"/>
      <c r="C66" s="85"/>
      <c r="D66" s="85"/>
      <c r="E66" s="85"/>
      <c r="F66" s="85"/>
      <c r="G66" s="85"/>
      <c r="H66" s="85"/>
      <c r="I66" s="85"/>
      <c r="J66" s="85"/>
      <c r="K66" s="85"/>
      <c r="L66" s="85"/>
      <c r="M66" s="85"/>
      <c r="N66" s="90"/>
    </row>
    <row r="67" spans="1:14" ht="81" x14ac:dyDescent="0.2">
      <c r="A67" s="385" t="s">
        <v>265</v>
      </c>
      <c r="B67" s="352" t="s">
        <v>262</v>
      </c>
      <c r="C67" s="352" t="s">
        <v>209</v>
      </c>
      <c r="D67" s="352" t="s">
        <v>210</v>
      </c>
      <c r="E67" s="352" t="s">
        <v>222</v>
      </c>
      <c r="F67" s="352" t="s">
        <v>211</v>
      </c>
      <c r="G67" s="352" t="s">
        <v>272</v>
      </c>
      <c r="H67" s="352" t="s">
        <v>155</v>
      </c>
      <c r="I67" s="352" t="s">
        <v>300</v>
      </c>
      <c r="J67" s="352" t="s">
        <v>273</v>
      </c>
      <c r="K67" s="352" t="s">
        <v>298</v>
      </c>
      <c r="L67" s="352" t="s">
        <v>299</v>
      </c>
      <c r="M67" s="352" t="s">
        <v>290</v>
      </c>
    </row>
    <row r="68" spans="1:14" ht="25.5" customHeight="1" x14ac:dyDescent="0.2">
      <c r="A68" s="379"/>
      <c r="B68" s="380"/>
      <c r="C68" s="79"/>
      <c r="D68" s="383">
        <v>1.5</v>
      </c>
      <c r="E68" s="383">
        <v>3.5000000000000003E-2</v>
      </c>
      <c r="F68" s="384" t="e">
        <f>(C68*D68*E68)/A68</f>
        <v>#DIV/0!</v>
      </c>
      <c r="G68" s="377">
        <v>28349526</v>
      </c>
      <c r="H68" s="377" t="e">
        <f>A68*B68*F68*G68</f>
        <v>#DIV/0!</v>
      </c>
      <c r="I68" s="379"/>
      <c r="J68" s="377">
        <v>8</v>
      </c>
      <c r="K68" s="377">
        <v>929</v>
      </c>
      <c r="L68" s="377">
        <f>(I68/J68)*K68</f>
        <v>0</v>
      </c>
      <c r="M68" s="434" t="e">
        <f>H68/L68</f>
        <v>#DIV/0!</v>
      </c>
    </row>
    <row r="69" spans="1:14" ht="81" x14ac:dyDescent="0.2">
      <c r="A69" s="352" t="s">
        <v>270</v>
      </c>
      <c r="B69" s="352" t="s">
        <v>262</v>
      </c>
      <c r="C69" s="352" t="s">
        <v>209</v>
      </c>
      <c r="D69" s="352" t="s">
        <v>210</v>
      </c>
      <c r="E69" s="352" t="s">
        <v>211</v>
      </c>
      <c r="F69" s="352" t="s">
        <v>274</v>
      </c>
      <c r="G69" s="352" t="s">
        <v>155</v>
      </c>
      <c r="H69" s="352" t="s">
        <v>300</v>
      </c>
      <c r="I69" s="352" t="s">
        <v>273</v>
      </c>
      <c r="J69" s="352" t="s">
        <v>298</v>
      </c>
      <c r="K69" s="352" t="s">
        <v>299</v>
      </c>
      <c r="L69" s="352" t="s">
        <v>290</v>
      </c>
    </row>
    <row r="70" spans="1:14" ht="25.5" customHeight="1" x14ac:dyDescent="0.2">
      <c r="A70" s="379"/>
      <c r="B70" s="380"/>
      <c r="C70" s="79"/>
      <c r="D70" s="383">
        <v>1.5</v>
      </c>
      <c r="E70" s="384" t="e">
        <f>(C70*D70)/A70</f>
        <v>#DIV/0!</v>
      </c>
      <c r="F70" s="377">
        <v>1000000</v>
      </c>
      <c r="G70" s="377" t="e">
        <f>A70*B70*E70*F70</f>
        <v>#DIV/0!</v>
      </c>
      <c r="H70" s="379"/>
      <c r="I70" s="377">
        <v>8</v>
      </c>
      <c r="J70" s="377">
        <v>929</v>
      </c>
      <c r="K70" s="377">
        <f>(H70/I70)*J70</f>
        <v>0</v>
      </c>
      <c r="L70" s="434" t="e">
        <f>G70/K70</f>
        <v>#DIV/0!</v>
      </c>
    </row>
    <row r="71" spans="1:14" ht="25.5" customHeight="1" x14ac:dyDescent="0.2">
      <c r="B71" s="90"/>
      <c r="C71" s="90"/>
      <c r="D71" s="381"/>
      <c r="E71" s="382"/>
      <c r="F71" s="90"/>
      <c r="G71" s="90"/>
    </row>
    <row r="72" spans="1:14" ht="25.5" customHeight="1" x14ac:dyDescent="0.2">
      <c r="B72" s="90"/>
      <c r="G72" s="90"/>
    </row>
    <row r="73" spans="1:14" ht="25.5" customHeight="1" x14ac:dyDescent="0.2">
      <c r="B73" s="90"/>
      <c r="G73" s="90"/>
    </row>
    <row r="74" spans="1:14" ht="25.5" customHeight="1" x14ac:dyDescent="0.2">
      <c r="B74" s="90"/>
      <c r="C74" s="90"/>
      <c r="D74" s="90"/>
      <c r="E74" s="90"/>
      <c r="F74" s="90"/>
      <c r="G74" s="90"/>
    </row>
    <row r="75" spans="1:14" ht="25.5" customHeight="1" x14ac:dyDescent="0.2">
      <c r="A75" s="375"/>
      <c r="B75" s="374"/>
      <c r="C75" s="90"/>
      <c r="D75" s="90"/>
      <c r="E75" s="90"/>
      <c r="F75" s="90"/>
      <c r="G75" s="90"/>
    </row>
    <row r="76" spans="1:14" ht="25.5" customHeight="1" x14ac:dyDescent="0.2">
      <c r="B76" s="90"/>
      <c r="C76" s="90"/>
      <c r="D76" s="90"/>
      <c r="E76" s="90"/>
      <c r="F76" s="90"/>
      <c r="G76" s="90"/>
    </row>
    <row r="77" spans="1:14" ht="25.5" customHeight="1" x14ac:dyDescent="0.2"/>
    <row r="78" spans="1:14" ht="25.5" customHeight="1" x14ac:dyDescent="0.2"/>
    <row r="79" spans="1:14" ht="25.5" customHeight="1" x14ac:dyDescent="0.2"/>
    <row r="80" spans="1:14" ht="25.5" customHeight="1" x14ac:dyDescent="0.2"/>
    <row r="81" ht="16.5" customHeight="1" x14ac:dyDescent="0.2"/>
    <row r="82" ht="16.5" customHeight="1" x14ac:dyDescent="0.2"/>
  </sheetData>
  <mergeCells count="16">
    <mergeCell ref="A54:D54"/>
    <mergeCell ref="A41:B41"/>
    <mergeCell ref="D8:D10"/>
    <mergeCell ref="H6:I7"/>
    <mergeCell ref="A8:C8"/>
    <mergeCell ref="A9:C9"/>
    <mergeCell ref="A10:C10"/>
    <mergeCell ref="A7:D7"/>
    <mergeCell ref="A20:B20"/>
    <mergeCell ref="A21:B21"/>
    <mergeCell ref="A22:B22"/>
    <mergeCell ref="B13:C13"/>
    <mergeCell ref="B14:C14"/>
    <mergeCell ref="B15:C15"/>
    <mergeCell ref="B16:C16"/>
    <mergeCell ref="A19:B19"/>
  </mergeCells>
  <phoneticPr fontId="3" type="noConversion"/>
  <dataValidations count="1">
    <dataValidation type="list" allowBlank="1" showInputMessage="1" showErrorMessage="1" sqref="D8">
      <formula1>options</formula1>
    </dataValidation>
  </dataValidations>
  <hyperlinks>
    <hyperlink ref="B1" location="'Deposited residue'!A5" display="#1 Floors and carpets"/>
    <hyperlink ref="B2" location="'Deposited residue'!A35" display="#2 Mattresses"/>
    <hyperlink ref="B3" location="'Deposited residue'!A55" display="#3 Foggers and Space Sprays"/>
  </hyperlinks>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V60"/>
  <sheetViews>
    <sheetView zoomScale="64" zoomScaleNormal="64" workbookViewId="0">
      <selection activeCell="B7" sqref="B7:B13"/>
    </sheetView>
  </sheetViews>
  <sheetFormatPr defaultRowHeight="18.75" x14ac:dyDescent="0.3"/>
  <cols>
    <col min="1" max="1" width="48" style="16" customWidth="1"/>
    <col min="2" max="2" width="18.85546875" style="16" customWidth="1"/>
    <col min="3" max="3" width="25.28515625" style="16" customWidth="1"/>
    <col min="4" max="4" width="21.85546875" style="16" customWidth="1"/>
    <col min="5" max="5" width="16.5703125" style="16" customWidth="1"/>
    <col min="6" max="6" width="17.85546875" style="16" customWidth="1"/>
    <col min="7" max="7" width="15.85546875" style="16" customWidth="1"/>
    <col min="8" max="8" width="15.140625" style="16" customWidth="1"/>
    <col min="9" max="9" width="16.28515625" style="16" customWidth="1"/>
    <col min="10" max="10" width="16.5703125" style="16" customWidth="1"/>
    <col min="11" max="11" width="17.28515625" style="16" customWidth="1"/>
    <col min="12" max="12" width="16.28515625" style="16" customWidth="1"/>
    <col min="13" max="13" width="12.28515625" style="16" customWidth="1"/>
    <col min="14" max="14" width="15" style="16" customWidth="1"/>
    <col min="15" max="15" width="9.140625" style="16"/>
    <col min="16" max="16" width="12.140625" style="16" customWidth="1"/>
    <col min="17" max="16384" width="9.140625" style="16"/>
  </cols>
  <sheetData>
    <row r="1" spans="1:44" s="98" customFormat="1" ht="25.5" x14ac:dyDescent="0.3">
      <c r="A1" s="388" t="s">
        <v>16</v>
      </c>
      <c r="B1" s="95"/>
      <c r="C1" s="96"/>
      <c r="D1" s="96"/>
      <c r="E1" s="389" t="s">
        <v>202</v>
      </c>
      <c r="F1" s="389"/>
      <c r="H1" s="97"/>
      <c r="I1" s="97"/>
    </row>
    <row r="2" spans="1:44" s="98" customFormat="1" ht="25.5" customHeight="1" x14ac:dyDescent="0.3">
      <c r="A2" s="416" t="s">
        <v>125</v>
      </c>
      <c r="B2" s="435"/>
      <c r="C2" s="436"/>
      <c r="D2" s="96"/>
      <c r="E2" s="390" t="s">
        <v>191</v>
      </c>
      <c r="F2" s="391" t="str">
        <f>'TOX and EXPO INPUTS'!$D$17</f>
        <v>KEY_Dermal_LOC</v>
      </c>
      <c r="G2" s="96"/>
      <c r="H2" s="97"/>
      <c r="I2" s="97"/>
    </row>
    <row r="3" spans="1:44" s="98" customFormat="1" ht="25.5" x14ac:dyDescent="0.2">
      <c r="A3" s="94"/>
      <c r="B3" s="95"/>
      <c r="C3" s="96"/>
      <c r="D3" s="96"/>
      <c r="E3" s="243"/>
      <c r="F3" s="96"/>
      <c r="G3" s="96"/>
      <c r="H3" s="97"/>
      <c r="I3" s="97"/>
    </row>
    <row r="4" spans="1:44" s="98" customFormat="1" x14ac:dyDescent="0.2">
      <c r="A4" s="99"/>
      <c r="B4" s="95"/>
      <c r="C4" s="96"/>
      <c r="D4" s="96"/>
      <c r="E4" s="96"/>
      <c r="F4" s="96"/>
      <c r="G4" s="96"/>
      <c r="H4" s="97"/>
      <c r="I4" s="97"/>
    </row>
    <row r="5" spans="1:44" s="98" customFormat="1" x14ac:dyDescent="0.2">
      <c r="A5" s="100"/>
      <c r="C5" s="101"/>
      <c r="D5" s="102"/>
      <c r="E5" s="102"/>
      <c r="H5" s="102"/>
      <c r="I5" s="102"/>
      <c r="J5" s="102"/>
      <c r="K5" s="102"/>
      <c r="L5" s="102"/>
      <c r="M5" s="102"/>
      <c r="N5" s="102"/>
      <c r="O5" s="102"/>
      <c r="P5" s="102"/>
    </row>
    <row r="6" spans="1:44" s="98" customFormat="1" x14ac:dyDescent="0.2">
      <c r="A6" s="392" t="s">
        <v>81</v>
      </c>
      <c r="B6" s="393"/>
      <c r="C6" s="394"/>
      <c r="D6" s="395"/>
      <c r="E6" s="103"/>
      <c r="F6" s="104"/>
    </row>
    <row r="7" spans="1:44" s="98" customFormat="1" ht="37.5" x14ac:dyDescent="0.2">
      <c r="A7" s="105" t="s">
        <v>21</v>
      </c>
      <c r="B7" s="106" t="s">
        <v>331</v>
      </c>
      <c r="D7" s="103"/>
      <c r="E7" s="103"/>
      <c r="F7" s="104"/>
    </row>
    <row r="8" spans="1:44" s="98" customFormat="1" ht="37.5" x14ac:dyDescent="0.2">
      <c r="A8" s="107" t="s">
        <v>70</v>
      </c>
      <c r="B8" s="106" t="s">
        <v>332</v>
      </c>
      <c r="D8" s="103"/>
      <c r="E8" s="103"/>
    </row>
    <row r="9" spans="1:44" s="98" customFormat="1" ht="37.5" x14ac:dyDescent="0.2">
      <c r="A9" s="107" t="s">
        <v>71</v>
      </c>
      <c r="B9" s="106" t="s">
        <v>333</v>
      </c>
      <c r="D9" s="103"/>
      <c r="E9" s="103"/>
    </row>
    <row r="10" spans="1:44" s="98" customFormat="1" ht="56.25" x14ac:dyDescent="0.2">
      <c r="A10" s="107" t="s">
        <v>22</v>
      </c>
      <c r="B10" s="106" t="s">
        <v>334</v>
      </c>
      <c r="D10" s="103"/>
      <c r="E10" s="103"/>
    </row>
    <row r="11" spans="1:44" s="98" customFormat="1" ht="37.5" x14ac:dyDescent="0.2">
      <c r="A11" s="107" t="s">
        <v>80</v>
      </c>
      <c r="B11" s="106" t="s">
        <v>337</v>
      </c>
      <c r="D11" s="103"/>
      <c r="E11" s="103"/>
    </row>
    <row r="12" spans="1:44" s="98" customFormat="1" ht="37.5" x14ac:dyDescent="0.2">
      <c r="A12" s="107" t="s">
        <v>156</v>
      </c>
      <c r="B12" s="106" t="s">
        <v>335</v>
      </c>
      <c r="D12" s="103"/>
      <c r="E12" s="103"/>
    </row>
    <row r="13" spans="1:44" s="98" customFormat="1" ht="37.5" x14ac:dyDescent="0.2">
      <c r="A13" s="107" t="s">
        <v>157</v>
      </c>
      <c r="B13" s="106" t="s">
        <v>336</v>
      </c>
      <c r="D13" s="103"/>
      <c r="E13" s="103"/>
    </row>
    <row r="14" spans="1:44" s="98" customFormat="1" x14ac:dyDescent="0.2">
      <c r="B14" s="100"/>
      <c r="C14" s="108"/>
      <c r="D14" s="103"/>
      <c r="E14" s="103"/>
    </row>
    <row r="15" spans="1:44" s="98" customFormat="1" ht="25.5" x14ac:dyDescent="0.2">
      <c r="A15" s="109" t="s">
        <v>77</v>
      </c>
    </row>
    <row r="16" spans="1:44" s="112" customFormat="1" ht="75" x14ac:dyDescent="0.2">
      <c r="A16" s="534" t="s">
        <v>0</v>
      </c>
      <c r="B16" s="534"/>
      <c r="C16" s="396" t="s">
        <v>122</v>
      </c>
      <c r="D16" s="397" t="s">
        <v>301</v>
      </c>
      <c r="E16" s="398" t="s">
        <v>5</v>
      </c>
      <c r="F16" s="444" t="s">
        <v>302</v>
      </c>
      <c r="G16" s="400" t="s">
        <v>176</v>
      </c>
      <c r="H16" s="399" t="s">
        <v>6</v>
      </c>
      <c r="I16" s="401" t="s">
        <v>275</v>
      </c>
      <c r="J16" s="401" t="s">
        <v>24</v>
      </c>
      <c r="K16" s="398" t="s">
        <v>276</v>
      </c>
      <c r="L16" s="398" t="s">
        <v>277</v>
      </c>
      <c r="M16" s="399" t="s">
        <v>3</v>
      </c>
      <c r="N16" s="400" t="s">
        <v>4</v>
      </c>
      <c r="X16" s="113"/>
      <c r="Z16" s="114"/>
      <c r="AA16" s="114"/>
      <c r="AH16" s="115"/>
      <c r="AI16" s="115"/>
      <c r="AQ16" s="115"/>
      <c r="AR16" s="115"/>
    </row>
    <row r="17" spans="1:48" s="112" customFormat="1" x14ac:dyDescent="0.2">
      <c r="A17" s="530" t="s">
        <v>17</v>
      </c>
      <c r="B17" s="529" t="s">
        <v>18</v>
      </c>
      <c r="C17" s="116" t="s">
        <v>114</v>
      </c>
      <c r="D17" s="117" t="str">
        <f>$B$7</f>
        <v>KEY_broadcast_residue</v>
      </c>
      <c r="E17" s="117">
        <v>0.06</v>
      </c>
      <c r="F17" s="118" t="e">
        <f>D17*E17</f>
        <v>#VALUE!</v>
      </c>
      <c r="G17" s="119">
        <v>6800</v>
      </c>
      <c r="H17" s="119">
        <v>8</v>
      </c>
      <c r="I17" s="120">
        <v>1E-3</v>
      </c>
      <c r="J17" s="121" t="e">
        <f>(F17*G17*H17*I17)</f>
        <v>#VALUE!</v>
      </c>
      <c r="K17" s="122" t="e">
        <f>(J17*'TOX and EXPO INPUTS'!$D$15)/'TOX and EXPO INPUTS'!$D$25</f>
        <v>#VALUE!</v>
      </c>
      <c r="L17" s="118" t="e">
        <f t="shared" ref="L17:L32" si="0">VALUE(TEXT(K17,"0.0E+00"))</f>
        <v>#VALUE!</v>
      </c>
      <c r="M17" s="117" t="e">
        <f>'TOX and EXPO INPUTS'!$D$13/K17</f>
        <v>#VALUE!</v>
      </c>
      <c r="N17" s="122" t="e">
        <f t="shared" ref="N17:N32" si="1">VALUE(TEXT(M17,"0.0E+00"))</f>
        <v>#VALUE!</v>
      </c>
      <c r="AA17" s="123"/>
      <c r="AC17" s="114"/>
      <c r="AD17" s="114"/>
      <c r="AE17" s="124"/>
      <c r="AG17" s="114"/>
      <c r="AJ17" s="114"/>
      <c r="AK17" s="114"/>
      <c r="AR17" s="115"/>
      <c r="AS17" s="115"/>
    </row>
    <row r="18" spans="1:48" s="112" customFormat="1" x14ac:dyDescent="0.3">
      <c r="A18" s="530"/>
      <c r="B18" s="529"/>
      <c r="C18" s="125" t="s">
        <v>23</v>
      </c>
      <c r="D18" s="117" t="str">
        <f>$B$7</f>
        <v>KEY_broadcast_residue</v>
      </c>
      <c r="E18" s="117">
        <v>0.06</v>
      </c>
      <c r="F18" s="118" t="e">
        <f t="shared" ref="F18:F32" si="2">D18*E18</f>
        <v>#VALUE!</v>
      </c>
      <c r="G18" s="119">
        <v>1800</v>
      </c>
      <c r="H18" s="119">
        <v>4</v>
      </c>
      <c r="I18" s="120">
        <v>1E-3</v>
      </c>
      <c r="J18" s="121" t="e">
        <f t="shared" ref="J18:J32" si="3">(F18*G18*H18*I18)</f>
        <v>#VALUE!</v>
      </c>
      <c r="K18" s="122" t="e">
        <f>(J18*'TOX and EXPO INPUTS'!$D$15)/'TOX and EXPO INPUTS'!$D$27</f>
        <v>#VALUE!</v>
      </c>
      <c r="L18" s="118" t="e">
        <f t="shared" si="0"/>
        <v>#VALUE!</v>
      </c>
      <c r="M18" s="117" t="e">
        <f>'TOX and EXPO INPUTS'!$D$13/K18</f>
        <v>#VALUE!</v>
      </c>
      <c r="N18" s="122" t="e">
        <f t="shared" si="1"/>
        <v>#VALUE!</v>
      </c>
      <c r="X18" s="114"/>
      <c r="AB18" s="123"/>
      <c r="AD18" s="114"/>
      <c r="AE18" s="114"/>
      <c r="AF18" s="124"/>
      <c r="AH18" s="114"/>
      <c r="AK18" s="114"/>
      <c r="AL18" s="114"/>
      <c r="AS18" s="115"/>
      <c r="AT18" s="115"/>
    </row>
    <row r="19" spans="1:48" s="112" customFormat="1" x14ac:dyDescent="0.2">
      <c r="A19" s="530"/>
      <c r="B19" s="529" t="s">
        <v>19</v>
      </c>
      <c r="C19" s="116" t="s">
        <v>114</v>
      </c>
      <c r="D19" s="117" t="str">
        <f>$B$7</f>
        <v>KEY_broadcast_residue</v>
      </c>
      <c r="E19" s="117">
        <v>0.08</v>
      </c>
      <c r="F19" s="118" t="e">
        <f t="shared" si="2"/>
        <v>#VALUE!</v>
      </c>
      <c r="G19" s="119">
        <v>6800</v>
      </c>
      <c r="H19" s="119">
        <v>2</v>
      </c>
      <c r="I19" s="120">
        <v>1E-3</v>
      </c>
      <c r="J19" s="121" t="e">
        <f t="shared" si="3"/>
        <v>#VALUE!</v>
      </c>
      <c r="K19" s="122" t="e">
        <f>(J19*'TOX and EXPO INPUTS'!$D$15)/'TOX and EXPO INPUTS'!$D$25</f>
        <v>#VALUE!</v>
      </c>
      <c r="L19" s="118" t="e">
        <f>VALUE(TEXT(K19,"0.0E+00"))</f>
        <v>#VALUE!</v>
      </c>
      <c r="M19" s="117" t="e">
        <f>'TOX and EXPO INPUTS'!$D$13/K19</f>
        <v>#VALUE!</v>
      </c>
      <c r="N19" s="122" t="e">
        <f>VALUE(TEXT(M19,"0.0E+00"))</f>
        <v>#VALUE!</v>
      </c>
      <c r="X19" s="114"/>
      <c r="AB19" s="123"/>
      <c r="AD19" s="114"/>
      <c r="AE19" s="114"/>
      <c r="AF19" s="124"/>
      <c r="AH19" s="114"/>
      <c r="AK19" s="114"/>
      <c r="AL19" s="114"/>
      <c r="AS19" s="115"/>
      <c r="AT19" s="115"/>
    </row>
    <row r="20" spans="1:48" s="126" customFormat="1" x14ac:dyDescent="0.3">
      <c r="A20" s="530"/>
      <c r="B20" s="529"/>
      <c r="C20" s="125" t="s">
        <v>23</v>
      </c>
      <c r="D20" s="117" t="str">
        <f>$B$7</f>
        <v>KEY_broadcast_residue</v>
      </c>
      <c r="E20" s="117">
        <v>0.08</v>
      </c>
      <c r="F20" s="118" t="e">
        <f t="shared" si="2"/>
        <v>#VALUE!</v>
      </c>
      <c r="G20" s="119">
        <v>1800</v>
      </c>
      <c r="H20" s="119">
        <v>2</v>
      </c>
      <c r="I20" s="120">
        <v>1E-3</v>
      </c>
      <c r="J20" s="121" t="e">
        <f t="shared" si="3"/>
        <v>#VALUE!</v>
      </c>
      <c r="K20" s="122" t="e">
        <f>(J20*'TOX and EXPO INPUTS'!$D$15)/'TOX and EXPO INPUTS'!$D$27</f>
        <v>#VALUE!</v>
      </c>
      <c r="L20" s="118" t="e">
        <f>VALUE(TEXT(K20,"0.0E+00"))</f>
        <v>#VALUE!</v>
      </c>
      <c r="M20" s="117" t="e">
        <f>'TOX and EXPO INPUTS'!$D$13/K20</f>
        <v>#VALUE!</v>
      </c>
      <c r="N20" s="122" t="e">
        <f>VALUE(TEXT(M20,"0.0E+00"))</f>
        <v>#VALUE!</v>
      </c>
      <c r="Z20" s="127"/>
      <c r="AD20" s="127"/>
      <c r="AF20" s="127"/>
      <c r="AI20" s="128"/>
      <c r="AJ20" s="127"/>
      <c r="AM20" s="127"/>
      <c r="AN20" s="127"/>
      <c r="AU20" s="129"/>
      <c r="AV20" s="129"/>
    </row>
    <row r="21" spans="1:48" s="112" customFormat="1" x14ac:dyDescent="0.2">
      <c r="A21" s="529" t="s">
        <v>68</v>
      </c>
      <c r="B21" s="529" t="s">
        <v>18</v>
      </c>
      <c r="C21" s="116" t="s">
        <v>114</v>
      </c>
      <c r="D21" s="117" t="str">
        <f>$B$8</f>
        <v>KEY_coarse_residue</v>
      </c>
      <c r="E21" s="117">
        <v>0.06</v>
      </c>
      <c r="F21" s="118" t="e">
        <f t="shared" si="2"/>
        <v>#VALUE!</v>
      </c>
      <c r="G21" s="119">
        <v>6800</v>
      </c>
      <c r="H21" s="119">
        <v>8</v>
      </c>
      <c r="I21" s="120">
        <v>1E-3</v>
      </c>
      <c r="J21" s="121" t="e">
        <f t="shared" si="3"/>
        <v>#VALUE!</v>
      </c>
      <c r="K21" s="122" t="e">
        <f>(J21*'TOX and EXPO INPUTS'!$D$15)/'TOX and EXPO INPUTS'!$D$25</f>
        <v>#VALUE!</v>
      </c>
      <c r="L21" s="118" t="e">
        <f t="shared" si="0"/>
        <v>#VALUE!</v>
      </c>
      <c r="M21" s="117" t="e">
        <f>'TOX and EXPO INPUTS'!$D$13/K21</f>
        <v>#VALUE!</v>
      </c>
      <c r="N21" s="122" t="e">
        <f t="shared" si="1"/>
        <v>#VALUE!</v>
      </c>
      <c r="AA21" s="123"/>
      <c r="AC21" s="114"/>
      <c r="AD21" s="114"/>
      <c r="AE21" s="124"/>
      <c r="AG21" s="114"/>
      <c r="AJ21" s="114"/>
      <c r="AK21" s="114"/>
      <c r="AR21" s="115"/>
      <c r="AS21" s="115"/>
    </row>
    <row r="22" spans="1:48" s="112" customFormat="1" x14ac:dyDescent="0.3">
      <c r="A22" s="529"/>
      <c r="B22" s="529"/>
      <c r="C22" s="125" t="s">
        <v>23</v>
      </c>
      <c r="D22" s="117" t="str">
        <f>$B$8</f>
        <v>KEY_coarse_residue</v>
      </c>
      <c r="E22" s="117">
        <v>0.06</v>
      </c>
      <c r="F22" s="118" t="e">
        <f t="shared" si="2"/>
        <v>#VALUE!</v>
      </c>
      <c r="G22" s="119">
        <v>1800</v>
      </c>
      <c r="H22" s="119">
        <v>4</v>
      </c>
      <c r="I22" s="120">
        <v>1E-3</v>
      </c>
      <c r="J22" s="121" t="e">
        <f t="shared" si="3"/>
        <v>#VALUE!</v>
      </c>
      <c r="K22" s="122" t="e">
        <f>(J22*'TOX and EXPO INPUTS'!$D$15)/'TOX and EXPO INPUTS'!$D$27</f>
        <v>#VALUE!</v>
      </c>
      <c r="L22" s="118" t="e">
        <f t="shared" si="0"/>
        <v>#VALUE!</v>
      </c>
      <c r="M22" s="117" t="e">
        <f>'TOX and EXPO INPUTS'!$D$13/K22</f>
        <v>#VALUE!</v>
      </c>
      <c r="N22" s="122" t="e">
        <f t="shared" si="1"/>
        <v>#VALUE!</v>
      </c>
      <c r="X22" s="114"/>
      <c r="AB22" s="123"/>
      <c r="AD22" s="114"/>
      <c r="AE22" s="114"/>
      <c r="AF22" s="124"/>
      <c r="AH22" s="114"/>
      <c r="AK22" s="114"/>
      <c r="AL22" s="114"/>
      <c r="AS22" s="115"/>
      <c r="AT22" s="115"/>
    </row>
    <row r="23" spans="1:48" s="112" customFormat="1" x14ac:dyDescent="0.2">
      <c r="A23" s="529"/>
      <c r="B23" s="529" t="s">
        <v>19</v>
      </c>
      <c r="C23" s="116" t="s">
        <v>114</v>
      </c>
      <c r="D23" s="117" t="str">
        <f>$B$8</f>
        <v>KEY_coarse_residue</v>
      </c>
      <c r="E23" s="117">
        <v>0.08</v>
      </c>
      <c r="F23" s="118" t="e">
        <f t="shared" si="2"/>
        <v>#VALUE!</v>
      </c>
      <c r="G23" s="119">
        <v>6800</v>
      </c>
      <c r="H23" s="119">
        <v>2</v>
      </c>
      <c r="I23" s="120">
        <v>1E-3</v>
      </c>
      <c r="J23" s="121" t="e">
        <f t="shared" si="3"/>
        <v>#VALUE!</v>
      </c>
      <c r="K23" s="122" t="e">
        <f>(J23*'TOX and EXPO INPUTS'!$D$15)/'TOX and EXPO INPUTS'!$D$25</f>
        <v>#VALUE!</v>
      </c>
      <c r="L23" s="118" t="e">
        <f t="shared" ref="L23:L28" si="4">VALUE(TEXT(K23,"0.0E+00"))</f>
        <v>#VALUE!</v>
      </c>
      <c r="M23" s="117" t="e">
        <f>'TOX and EXPO INPUTS'!$D$13/K23</f>
        <v>#VALUE!</v>
      </c>
      <c r="N23" s="122" t="e">
        <f t="shared" ref="N23:N28" si="5">VALUE(TEXT(M23,"0.0E+00"))</f>
        <v>#VALUE!</v>
      </c>
      <c r="X23" s="114"/>
      <c r="AB23" s="123"/>
      <c r="AD23" s="114"/>
      <c r="AE23" s="114"/>
      <c r="AF23" s="124"/>
      <c r="AH23" s="114"/>
      <c r="AK23" s="114"/>
      <c r="AL23" s="114"/>
      <c r="AS23" s="115"/>
      <c r="AT23" s="115"/>
    </row>
    <row r="24" spans="1:48" s="126" customFormat="1" x14ac:dyDescent="0.3">
      <c r="A24" s="529"/>
      <c r="B24" s="529"/>
      <c r="C24" s="125" t="s">
        <v>23</v>
      </c>
      <c r="D24" s="117" t="str">
        <f>$B$8</f>
        <v>KEY_coarse_residue</v>
      </c>
      <c r="E24" s="117">
        <v>0.08</v>
      </c>
      <c r="F24" s="118" t="e">
        <f t="shared" si="2"/>
        <v>#VALUE!</v>
      </c>
      <c r="G24" s="119">
        <v>1800</v>
      </c>
      <c r="H24" s="119">
        <v>2</v>
      </c>
      <c r="I24" s="120">
        <v>1E-3</v>
      </c>
      <c r="J24" s="121" t="e">
        <f t="shared" si="3"/>
        <v>#VALUE!</v>
      </c>
      <c r="K24" s="122" t="e">
        <f>(J24*'TOX and EXPO INPUTS'!$D$15)/'TOX and EXPO INPUTS'!$D$27</f>
        <v>#VALUE!</v>
      </c>
      <c r="L24" s="118" t="e">
        <f t="shared" si="4"/>
        <v>#VALUE!</v>
      </c>
      <c r="M24" s="117" t="e">
        <f>'TOX and EXPO INPUTS'!$D$13/K24</f>
        <v>#VALUE!</v>
      </c>
      <c r="N24" s="122" t="e">
        <f t="shared" si="5"/>
        <v>#VALUE!</v>
      </c>
      <c r="Z24" s="127"/>
      <c r="AD24" s="127"/>
      <c r="AF24" s="127"/>
      <c r="AI24" s="128"/>
      <c r="AJ24" s="127"/>
      <c r="AM24" s="127"/>
      <c r="AN24" s="127"/>
      <c r="AU24" s="129"/>
      <c r="AV24" s="129"/>
    </row>
    <row r="25" spans="1:48" s="112" customFormat="1" x14ac:dyDescent="0.2">
      <c r="A25" s="529" t="s">
        <v>69</v>
      </c>
      <c r="B25" s="529" t="s">
        <v>18</v>
      </c>
      <c r="C25" s="116" t="s">
        <v>114</v>
      </c>
      <c r="D25" s="117" t="str">
        <f>$B$9</f>
        <v>KEY_pin_stream_residue</v>
      </c>
      <c r="E25" s="117">
        <v>0.06</v>
      </c>
      <c r="F25" s="118" t="e">
        <f t="shared" si="2"/>
        <v>#VALUE!</v>
      </c>
      <c r="G25" s="119">
        <v>6800</v>
      </c>
      <c r="H25" s="119">
        <v>8</v>
      </c>
      <c r="I25" s="120">
        <v>1E-3</v>
      </c>
      <c r="J25" s="121" t="e">
        <f t="shared" si="3"/>
        <v>#VALUE!</v>
      </c>
      <c r="K25" s="122" t="e">
        <f>(J25*'TOX and EXPO INPUTS'!$D$15)/'TOX and EXPO INPUTS'!$D$25</f>
        <v>#VALUE!</v>
      </c>
      <c r="L25" s="118" t="e">
        <f t="shared" si="4"/>
        <v>#VALUE!</v>
      </c>
      <c r="M25" s="117" t="e">
        <f>'TOX and EXPO INPUTS'!$D$13/K25</f>
        <v>#VALUE!</v>
      </c>
      <c r="N25" s="122" t="e">
        <f t="shared" si="5"/>
        <v>#VALUE!</v>
      </c>
      <c r="AA25" s="123"/>
      <c r="AC25" s="114"/>
      <c r="AD25" s="114"/>
      <c r="AE25" s="124"/>
      <c r="AG25" s="114"/>
      <c r="AJ25" s="114"/>
      <c r="AK25" s="114"/>
      <c r="AR25" s="115"/>
      <c r="AS25" s="115"/>
    </row>
    <row r="26" spans="1:48" s="112" customFormat="1" x14ac:dyDescent="0.3">
      <c r="A26" s="529"/>
      <c r="B26" s="529"/>
      <c r="C26" s="125" t="s">
        <v>23</v>
      </c>
      <c r="D26" s="117" t="str">
        <f>$B$9</f>
        <v>KEY_pin_stream_residue</v>
      </c>
      <c r="E26" s="117">
        <v>0.06</v>
      </c>
      <c r="F26" s="118" t="e">
        <f t="shared" si="2"/>
        <v>#VALUE!</v>
      </c>
      <c r="G26" s="119">
        <v>1800</v>
      </c>
      <c r="H26" s="119">
        <v>4</v>
      </c>
      <c r="I26" s="120">
        <v>1E-3</v>
      </c>
      <c r="J26" s="121" t="e">
        <f t="shared" si="3"/>
        <v>#VALUE!</v>
      </c>
      <c r="K26" s="122" t="e">
        <f>(J26*'TOX and EXPO INPUTS'!$D$15)/'TOX and EXPO INPUTS'!$D$27</f>
        <v>#VALUE!</v>
      </c>
      <c r="L26" s="118" t="e">
        <f t="shared" si="4"/>
        <v>#VALUE!</v>
      </c>
      <c r="M26" s="117" t="e">
        <f>'TOX and EXPO INPUTS'!$D$13/K26</f>
        <v>#VALUE!</v>
      </c>
      <c r="N26" s="122" t="e">
        <f t="shared" si="5"/>
        <v>#VALUE!</v>
      </c>
      <c r="X26" s="114"/>
      <c r="AB26" s="123"/>
      <c r="AD26" s="114"/>
      <c r="AE26" s="114"/>
      <c r="AF26" s="124"/>
      <c r="AH26" s="114"/>
      <c r="AK26" s="114"/>
      <c r="AL26" s="114"/>
      <c r="AS26" s="115"/>
      <c r="AT26" s="115"/>
    </row>
    <row r="27" spans="1:48" s="112" customFormat="1" x14ac:dyDescent="0.2">
      <c r="A27" s="529"/>
      <c r="B27" s="529" t="s">
        <v>19</v>
      </c>
      <c r="C27" s="116" t="s">
        <v>114</v>
      </c>
      <c r="D27" s="117" t="str">
        <f>$B$9</f>
        <v>KEY_pin_stream_residue</v>
      </c>
      <c r="E27" s="117">
        <v>0.08</v>
      </c>
      <c r="F27" s="118" t="e">
        <f t="shared" si="2"/>
        <v>#VALUE!</v>
      </c>
      <c r="G27" s="119">
        <v>6800</v>
      </c>
      <c r="H27" s="119">
        <v>2</v>
      </c>
      <c r="I27" s="120">
        <v>1E-3</v>
      </c>
      <c r="J27" s="121" t="e">
        <f t="shared" si="3"/>
        <v>#VALUE!</v>
      </c>
      <c r="K27" s="122" t="e">
        <f>(J27*'TOX and EXPO INPUTS'!$D$15)/'TOX and EXPO INPUTS'!$D$25</f>
        <v>#VALUE!</v>
      </c>
      <c r="L27" s="118" t="e">
        <f t="shared" si="4"/>
        <v>#VALUE!</v>
      </c>
      <c r="M27" s="117" t="e">
        <f>'TOX and EXPO INPUTS'!$D$13/K27</f>
        <v>#VALUE!</v>
      </c>
      <c r="N27" s="122" t="e">
        <f t="shared" si="5"/>
        <v>#VALUE!</v>
      </c>
      <c r="X27" s="114"/>
      <c r="AB27" s="123"/>
      <c r="AD27" s="114"/>
      <c r="AE27" s="114"/>
      <c r="AF27" s="124"/>
      <c r="AH27" s="114"/>
      <c r="AK27" s="114"/>
      <c r="AL27" s="114"/>
      <c r="AS27" s="115"/>
      <c r="AT27" s="115"/>
    </row>
    <row r="28" spans="1:48" s="126" customFormat="1" x14ac:dyDescent="0.3">
      <c r="A28" s="529"/>
      <c r="B28" s="529"/>
      <c r="C28" s="125" t="s">
        <v>23</v>
      </c>
      <c r="D28" s="117" t="str">
        <f>$B$9</f>
        <v>KEY_pin_stream_residue</v>
      </c>
      <c r="E28" s="117">
        <v>0.08</v>
      </c>
      <c r="F28" s="118" t="e">
        <f t="shared" si="2"/>
        <v>#VALUE!</v>
      </c>
      <c r="G28" s="119">
        <v>1800</v>
      </c>
      <c r="H28" s="119">
        <v>2</v>
      </c>
      <c r="I28" s="120">
        <v>1E-3</v>
      </c>
      <c r="J28" s="121" t="e">
        <f t="shared" si="3"/>
        <v>#VALUE!</v>
      </c>
      <c r="K28" s="122" t="e">
        <f>(J28*'TOX and EXPO INPUTS'!$D$15)/'TOX and EXPO INPUTS'!$D$27</f>
        <v>#VALUE!</v>
      </c>
      <c r="L28" s="118" t="e">
        <f t="shared" si="4"/>
        <v>#VALUE!</v>
      </c>
      <c r="M28" s="117" t="e">
        <f>'TOX and EXPO INPUTS'!$D$13/K28</f>
        <v>#VALUE!</v>
      </c>
      <c r="N28" s="122" t="e">
        <f t="shared" si="5"/>
        <v>#VALUE!</v>
      </c>
      <c r="Z28" s="127"/>
      <c r="AD28" s="127"/>
      <c r="AF28" s="127"/>
      <c r="AI28" s="128"/>
      <c r="AJ28" s="127"/>
      <c r="AM28" s="127"/>
      <c r="AN28" s="127"/>
      <c r="AU28" s="129"/>
      <c r="AV28" s="129"/>
    </row>
    <row r="29" spans="1:48" s="112" customFormat="1" x14ac:dyDescent="0.2">
      <c r="A29" s="530" t="s">
        <v>20</v>
      </c>
      <c r="B29" s="529" t="s">
        <v>18</v>
      </c>
      <c r="C29" s="116" t="s">
        <v>114</v>
      </c>
      <c r="D29" s="117" t="str">
        <f>$B$10</f>
        <v>KEY_crack_and_crevice_residue</v>
      </c>
      <c r="E29" s="117">
        <v>0.06</v>
      </c>
      <c r="F29" s="118" t="e">
        <f t="shared" si="2"/>
        <v>#VALUE!</v>
      </c>
      <c r="G29" s="119">
        <v>6800</v>
      </c>
      <c r="H29" s="119">
        <v>8</v>
      </c>
      <c r="I29" s="120">
        <v>1E-3</v>
      </c>
      <c r="J29" s="121" t="e">
        <f t="shared" si="3"/>
        <v>#VALUE!</v>
      </c>
      <c r="K29" s="122" t="e">
        <f>(J29*'TOX and EXPO INPUTS'!$D$15)/'TOX and EXPO INPUTS'!$D$25</f>
        <v>#VALUE!</v>
      </c>
      <c r="L29" s="118" t="e">
        <f t="shared" si="0"/>
        <v>#VALUE!</v>
      </c>
      <c r="M29" s="117" t="e">
        <f>'TOX and EXPO INPUTS'!$D$13/K29</f>
        <v>#VALUE!</v>
      </c>
      <c r="N29" s="122" t="e">
        <f t="shared" si="1"/>
        <v>#VALUE!</v>
      </c>
      <c r="AA29" s="123"/>
      <c r="AC29" s="114"/>
      <c r="AD29" s="114"/>
      <c r="AE29" s="124"/>
      <c r="AG29" s="114"/>
      <c r="AJ29" s="114"/>
      <c r="AK29" s="114"/>
      <c r="AR29" s="115"/>
      <c r="AS29" s="115"/>
    </row>
    <row r="30" spans="1:48" s="112" customFormat="1" x14ac:dyDescent="0.3">
      <c r="A30" s="530"/>
      <c r="B30" s="529"/>
      <c r="C30" s="125" t="s">
        <v>23</v>
      </c>
      <c r="D30" s="117" t="str">
        <f>$B$10</f>
        <v>KEY_crack_and_crevice_residue</v>
      </c>
      <c r="E30" s="117">
        <v>0.06</v>
      </c>
      <c r="F30" s="118" t="e">
        <f t="shared" si="2"/>
        <v>#VALUE!</v>
      </c>
      <c r="G30" s="119">
        <v>1800</v>
      </c>
      <c r="H30" s="119">
        <v>4</v>
      </c>
      <c r="I30" s="120">
        <v>1E-3</v>
      </c>
      <c r="J30" s="121" t="e">
        <f t="shared" si="3"/>
        <v>#VALUE!</v>
      </c>
      <c r="K30" s="122" t="e">
        <f>(J30*'TOX and EXPO INPUTS'!$D$15)/'TOX and EXPO INPUTS'!$D$27</f>
        <v>#VALUE!</v>
      </c>
      <c r="L30" s="118" t="e">
        <f t="shared" si="0"/>
        <v>#VALUE!</v>
      </c>
      <c r="M30" s="117" t="e">
        <f>'TOX and EXPO INPUTS'!$D$13/K30</f>
        <v>#VALUE!</v>
      </c>
      <c r="N30" s="122" t="e">
        <f t="shared" si="1"/>
        <v>#VALUE!</v>
      </c>
      <c r="X30" s="114"/>
      <c r="AB30" s="123"/>
      <c r="AD30" s="114"/>
      <c r="AE30" s="114"/>
      <c r="AF30" s="124"/>
      <c r="AH30" s="114"/>
      <c r="AK30" s="114"/>
      <c r="AL30" s="114"/>
      <c r="AS30" s="115"/>
      <c r="AT30" s="115"/>
    </row>
    <row r="31" spans="1:48" s="112" customFormat="1" ht="15.75" customHeight="1" x14ac:dyDescent="0.2">
      <c r="A31" s="530"/>
      <c r="B31" s="529" t="s">
        <v>19</v>
      </c>
      <c r="C31" s="116" t="s">
        <v>114</v>
      </c>
      <c r="D31" s="117" t="str">
        <f>$B$10</f>
        <v>KEY_crack_and_crevice_residue</v>
      </c>
      <c r="E31" s="117">
        <v>0.08</v>
      </c>
      <c r="F31" s="118" t="e">
        <f t="shared" si="2"/>
        <v>#VALUE!</v>
      </c>
      <c r="G31" s="119">
        <v>6800</v>
      </c>
      <c r="H31" s="119">
        <v>2</v>
      </c>
      <c r="I31" s="120">
        <v>1E-3</v>
      </c>
      <c r="J31" s="121" t="e">
        <f t="shared" si="3"/>
        <v>#VALUE!</v>
      </c>
      <c r="K31" s="122" t="e">
        <f>(J31*'TOX and EXPO INPUTS'!$D$15)/'TOX and EXPO INPUTS'!$D$25</f>
        <v>#VALUE!</v>
      </c>
      <c r="L31" s="118" t="e">
        <f t="shared" si="0"/>
        <v>#VALUE!</v>
      </c>
      <c r="M31" s="117" t="e">
        <f>'TOX and EXPO INPUTS'!$D$13/K31</f>
        <v>#VALUE!</v>
      </c>
      <c r="N31" s="122" t="e">
        <f t="shared" si="1"/>
        <v>#VALUE!</v>
      </c>
      <c r="X31" s="114"/>
      <c r="AB31" s="123"/>
      <c r="AD31" s="114"/>
      <c r="AE31" s="114"/>
      <c r="AF31" s="124"/>
      <c r="AH31" s="114"/>
      <c r="AK31" s="114"/>
      <c r="AL31" s="114"/>
      <c r="AS31" s="115"/>
      <c r="AT31" s="115"/>
    </row>
    <row r="32" spans="1:48" s="126" customFormat="1" x14ac:dyDescent="0.3">
      <c r="A32" s="530"/>
      <c r="B32" s="529"/>
      <c r="C32" s="125" t="s">
        <v>23</v>
      </c>
      <c r="D32" s="117" t="str">
        <f>$B$10</f>
        <v>KEY_crack_and_crevice_residue</v>
      </c>
      <c r="E32" s="117">
        <v>0.08</v>
      </c>
      <c r="F32" s="118" t="e">
        <f t="shared" si="2"/>
        <v>#VALUE!</v>
      </c>
      <c r="G32" s="119">
        <v>1800</v>
      </c>
      <c r="H32" s="119">
        <v>2</v>
      </c>
      <c r="I32" s="120">
        <v>1E-3</v>
      </c>
      <c r="J32" s="121" t="e">
        <f t="shared" si="3"/>
        <v>#VALUE!</v>
      </c>
      <c r="K32" s="122" t="e">
        <f>(J32*'TOX and EXPO INPUTS'!$D$15)/'TOX and EXPO INPUTS'!$D$27</f>
        <v>#VALUE!</v>
      </c>
      <c r="L32" s="118" t="e">
        <f t="shared" si="0"/>
        <v>#VALUE!</v>
      </c>
      <c r="M32" s="117" t="e">
        <f>'TOX and EXPO INPUTS'!$D$13/K32</f>
        <v>#VALUE!</v>
      </c>
      <c r="N32" s="122" t="e">
        <f t="shared" si="1"/>
        <v>#VALUE!</v>
      </c>
      <c r="Z32" s="127"/>
      <c r="AD32" s="127"/>
      <c r="AF32" s="127"/>
      <c r="AI32" s="128"/>
      <c r="AJ32" s="127"/>
      <c r="AM32" s="127"/>
      <c r="AN32" s="127"/>
      <c r="AU32" s="129"/>
      <c r="AV32" s="129"/>
    </row>
    <row r="33" spans="1:48" s="112" customFormat="1" x14ac:dyDescent="0.2">
      <c r="A33" s="530" t="s">
        <v>158</v>
      </c>
      <c r="B33" s="529" t="s">
        <v>18</v>
      </c>
      <c r="C33" s="116" t="s">
        <v>114</v>
      </c>
      <c r="D33" s="117" t="str">
        <f>$B$12</f>
        <v>KEY_foggers_residue</v>
      </c>
      <c r="E33" s="117">
        <v>0.06</v>
      </c>
      <c r="F33" s="118" t="e">
        <f t="shared" ref="F33:F40" si="6">D33*E33</f>
        <v>#VALUE!</v>
      </c>
      <c r="G33" s="119">
        <v>6800</v>
      </c>
      <c r="H33" s="119">
        <v>8</v>
      </c>
      <c r="I33" s="120">
        <v>1E-3</v>
      </c>
      <c r="J33" s="121" t="e">
        <f t="shared" ref="J33:J40" si="7">(F33*G33*H33*I33)</f>
        <v>#VALUE!</v>
      </c>
      <c r="K33" s="122" t="e">
        <f>(J33*'TOX and EXPO INPUTS'!$D$15)/'TOX and EXPO INPUTS'!$D$25</f>
        <v>#VALUE!</v>
      </c>
      <c r="L33" s="118" t="e">
        <f t="shared" ref="L33:L40" si="8">VALUE(TEXT(K33,"0.0E+00"))</f>
        <v>#VALUE!</v>
      </c>
      <c r="M33" s="117" t="e">
        <f>'TOX and EXPO INPUTS'!$D$13/K33</f>
        <v>#VALUE!</v>
      </c>
      <c r="N33" s="122" t="e">
        <f t="shared" ref="N33:N40" si="9">VALUE(TEXT(M33,"0.0E+00"))</f>
        <v>#VALUE!</v>
      </c>
      <c r="AA33" s="123"/>
      <c r="AC33" s="114"/>
      <c r="AD33" s="114"/>
      <c r="AE33" s="124"/>
      <c r="AG33" s="114"/>
      <c r="AJ33" s="114"/>
      <c r="AK33" s="114"/>
      <c r="AR33" s="115"/>
      <c r="AS33" s="115"/>
    </row>
    <row r="34" spans="1:48" s="112" customFormat="1" x14ac:dyDescent="0.3">
      <c r="A34" s="530"/>
      <c r="B34" s="529"/>
      <c r="C34" s="125" t="s">
        <v>23</v>
      </c>
      <c r="D34" s="117" t="str">
        <f>$B$12</f>
        <v>KEY_foggers_residue</v>
      </c>
      <c r="E34" s="117">
        <v>0.06</v>
      </c>
      <c r="F34" s="118" t="e">
        <f t="shared" si="6"/>
        <v>#VALUE!</v>
      </c>
      <c r="G34" s="119">
        <v>1800</v>
      </c>
      <c r="H34" s="119">
        <v>4</v>
      </c>
      <c r="I34" s="120">
        <v>1E-3</v>
      </c>
      <c r="J34" s="121" t="e">
        <f t="shared" si="7"/>
        <v>#VALUE!</v>
      </c>
      <c r="K34" s="122" t="e">
        <f>(J34*'TOX and EXPO INPUTS'!$D$15)/'TOX and EXPO INPUTS'!$D$27</f>
        <v>#VALUE!</v>
      </c>
      <c r="L34" s="118" t="e">
        <f t="shared" si="8"/>
        <v>#VALUE!</v>
      </c>
      <c r="M34" s="117" t="e">
        <f>'TOX and EXPO INPUTS'!$D$13/K34</f>
        <v>#VALUE!</v>
      </c>
      <c r="N34" s="122" t="e">
        <f t="shared" si="9"/>
        <v>#VALUE!</v>
      </c>
      <c r="X34" s="114"/>
      <c r="AB34" s="123"/>
      <c r="AD34" s="114"/>
      <c r="AE34" s="114"/>
      <c r="AF34" s="124"/>
      <c r="AH34" s="114"/>
      <c r="AK34" s="114"/>
      <c r="AL34" s="114"/>
      <c r="AS34" s="115"/>
      <c r="AT34" s="115"/>
    </row>
    <row r="35" spans="1:48" s="112" customFormat="1" ht="15.75" customHeight="1" x14ac:dyDescent="0.2">
      <c r="A35" s="530"/>
      <c r="B35" s="529" t="s">
        <v>19</v>
      </c>
      <c r="C35" s="116" t="s">
        <v>114</v>
      </c>
      <c r="D35" s="117" t="str">
        <f>$B$12</f>
        <v>KEY_foggers_residue</v>
      </c>
      <c r="E35" s="117">
        <v>0.08</v>
      </c>
      <c r="F35" s="118" t="e">
        <f t="shared" si="6"/>
        <v>#VALUE!</v>
      </c>
      <c r="G35" s="119">
        <v>6800</v>
      </c>
      <c r="H35" s="119">
        <v>2</v>
      </c>
      <c r="I35" s="120">
        <v>1E-3</v>
      </c>
      <c r="J35" s="121" t="e">
        <f t="shared" si="7"/>
        <v>#VALUE!</v>
      </c>
      <c r="K35" s="122" t="e">
        <f>(J35*'TOX and EXPO INPUTS'!$D$15)/'TOX and EXPO INPUTS'!$D$25</f>
        <v>#VALUE!</v>
      </c>
      <c r="L35" s="118" t="e">
        <f t="shared" si="8"/>
        <v>#VALUE!</v>
      </c>
      <c r="M35" s="117" t="e">
        <f>'TOX and EXPO INPUTS'!$D$13/K35</f>
        <v>#VALUE!</v>
      </c>
      <c r="N35" s="122" t="e">
        <f t="shared" si="9"/>
        <v>#VALUE!</v>
      </c>
      <c r="X35" s="114"/>
      <c r="AB35" s="123"/>
      <c r="AD35" s="114"/>
      <c r="AE35" s="114"/>
      <c r="AF35" s="124"/>
      <c r="AH35" s="114"/>
      <c r="AK35" s="114"/>
      <c r="AL35" s="114"/>
      <c r="AS35" s="115"/>
      <c r="AT35" s="115"/>
    </row>
    <row r="36" spans="1:48" s="126" customFormat="1" x14ac:dyDescent="0.3">
      <c r="A36" s="530"/>
      <c r="B36" s="529"/>
      <c r="C36" s="125" t="s">
        <v>23</v>
      </c>
      <c r="D36" s="117" t="str">
        <f>$B$12</f>
        <v>KEY_foggers_residue</v>
      </c>
      <c r="E36" s="117">
        <v>0.08</v>
      </c>
      <c r="F36" s="118" t="e">
        <f t="shared" si="6"/>
        <v>#VALUE!</v>
      </c>
      <c r="G36" s="119">
        <v>1800</v>
      </c>
      <c r="H36" s="119">
        <v>2</v>
      </c>
      <c r="I36" s="120">
        <v>1E-3</v>
      </c>
      <c r="J36" s="121" t="e">
        <f t="shared" si="7"/>
        <v>#VALUE!</v>
      </c>
      <c r="K36" s="122" t="e">
        <f>(J36*'TOX and EXPO INPUTS'!$D$15)/'TOX and EXPO INPUTS'!$D$27</f>
        <v>#VALUE!</v>
      </c>
      <c r="L36" s="118" t="e">
        <f t="shared" si="8"/>
        <v>#VALUE!</v>
      </c>
      <c r="M36" s="117" t="e">
        <f>'TOX and EXPO INPUTS'!$D$13/K36</f>
        <v>#VALUE!</v>
      </c>
      <c r="N36" s="122" t="e">
        <f t="shared" si="9"/>
        <v>#VALUE!</v>
      </c>
      <c r="Z36" s="127"/>
      <c r="AD36" s="127"/>
      <c r="AF36" s="127"/>
      <c r="AI36" s="128"/>
      <c r="AJ36" s="127"/>
      <c r="AM36" s="127"/>
      <c r="AN36" s="127"/>
      <c r="AU36" s="129"/>
      <c r="AV36" s="129"/>
    </row>
    <row r="37" spans="1:48" s="112" customFormat="1" x14ac:dyDescent="0.2">
      <c r="A37" s="530" t="s">
        <v>159</v>
      </c>
      <c r="B37" s="529" t="s">
        <v>18</v>
      </c>
      <c r="C37" s="116" t="s">
        <v>114</v>
      </c>
      <c r="D37" s="117" t="str">
        <f>$B$13</f>
        <v>KEY_space_sprays_residue</v>
      </c>
      <c r="E37" s="117">
        <v>0.06</v>
      </c>
      <c r="F37" s="118" t="e">
        <f t="shared" si="6"/>
        <v>#VALUE!</v>
      </c>
      <c r="G37" s="119">
        <v>6800</v>
      </c>
      <c r="H37" s="119">
        <v>8</v>
      </c>
      <c r="I37" s="120">
        <v>1E-3</v>
      </c>
      <c r="J37" s="121" t="e">
        <f t="shared" si="7"/>
        <v>#VALUE!</v>
      </c>
      <c r="K37" s="122" t="e">
        <f>(J37*'TOX and EXPO INPUTS'!$D$15)/'TOX and EXPO INPUTS'!$D$25</f>
        <v>#VALUE!</v>
      </c>
      <c r="L37" s="118" t="e">
        <f t="shared" si="8"/>
        <v>#VALUE!</v>
      </c>
      <c r="M37" s="117" t="e">
        <f>'TOX and EXPO INPUTS'!$D$13/K37</f>
        <v>#VALUE!</v>
      </c>
      <c r="N37" s="122" t="e">
        <f t="shared" si="9"/>
        <v>#VALUE!</v>
      </c>
      <c r="AA37" s="123"/>
      <c r="AC37" s="114"/>
      <c r="AD37" s="114"/>
      <c r="AE37" s="124"/>
      <c r="AG37" s="114"/>
      <c r="AJ37" s="114"/>
      <c r="AK37" s="114"/>
      <c r="AR37" s="115"/>
      <c r="AS37" s="115"/>
    </row>
    <row r="38" spans="1:48" s="112" customFormat="1" x14ac:dyDescent="0.3">
      <c r="A38" s="530"/>
      <c r="B38" s="529"/>
      <c r="C38" s="125" t="s">
        <v>23</v>
      </c>
      <c r="D38" s="117" t="str">
        <f>$B$13</f>
        <v>KEY_space_sprays_residue</v>
      </c>
      <c r="E38" s="117">
        <v>0.06</v>
      </c>
      <c r="F38" s="118" t="e">
        <f t="shared" si="6"/>
        <v>#VALUE!</v>
      </c>
      <c r="G38" s="119">
        <v>1800</v>
      </c>
      <c r="H38" s="119">
        <v>4</v>
      </c>
      <c r="I38" s="120">
        <v>1E-3</v>
      </c>
      <c r="J38" s="121" t="e">
        <f t="shared" si="7"/>
        <v>#VALUE!</v>
      </c>
      <c r="K38" s="122" t="e">
        <f>(J38*'TOX and EXPO INPUTS'!$D$15)/'TOX and EXPO INPUTS'!$D$27</f>
        <v>#VALUE!</v>
      </c>
      <c r="L38" s="118" t="e">
        <f t="shared" si="8"/>
        <v>#VALUE!</v>
      </c>
      <c r="M38" s="117" t="e">
        <f>'TOX and EXPO INPUTS'!$D$13/K38</f>
        <v>#VALUE!</v>
      </c>
      <c r="N38" s="122" t="e">
        <f t="shared" si="9"/>
        <v>#VALUE!</v>
      </c>
      <c r="X38" s="114"/>
      <c r="AB38" s="123"/>
      <c r="AD38" s="114"/>
      <c r="AE38" s="114"/>
      <c r="AF38" s="124"/>
      <c r="AH38" s="114"/>
      <c r="AK38" s="114"/>
      <c r="AL38" s="114"/>
      <c r="AS38" s="115"/>
      <c r="AT38" s="115"/>
    </row>
    <row r="39" spans="1:48" s="112" customFormat="1" ht="15.75" customHeight="1" x14ac:dyDescent="0.2">
      <c r="A39" s="530"/>
      <c r="B39" s="529" t="s">
        <v>19</v>
      </c>
      <c r="C39" s="116" t="s">
        <v>114</v>
      </c>
      <c r="D39" s="117" t="str">
        <f>$B$13</f>
        <v>KEY_space_sprays_residue</v>
      </c>
      <c r="E39" s="117">
        <v>0.08</v>
      </c>
      <c r="F39" s="118" t="e">
        <f t="shared" si="6"/>
        <v>#VALUE!</v>
      </c>
      <c r="G39" s="119">
        <v>6800</v>
      </c>
      <c r="H39" s="119">
        <v>2</v>
      </c>
      <c r="I39" s="120">
        <v>1E-3</v>
      </c>
      <c r="J39" s="121" t="e">
        <f t="shared" si="7"/>
        <v>#VALUE!</v>
      </c>
      <c r="K39" s="122" t="e">
        <f>(J39*'TOX and EXPO INPUTS'!$D$15)/'TOX and EXPO INPUTS'!$D$25</f>
        <v>#VALUE!</v>
      </c>
      <c r="L39" s="118" t="e">
        <f t="shared" si="8"/>
        <v>#VALUE!</v>
      </c>
      <c r="M39" s="117" t="e">
        <f>'TOX and EXPO INPUTS'!$D$13/K39</f>
        <v>#VALUE!</v>
      </c>
      <c r="N39" s="122" t="e">
        <f t="shared" si="9"/>
        <v>#VALUE!</v>
      </c>
      <c r="X39" s="114"/>
      <c r="AB39" s="123"/>
      <c r="AD39" s="114"/>
      <c r="AE39" s="114"/>
      <c r="AF39" s="124"/>
      <c r="AH39" s="114"/>
      <c r="AK39" s="114"/>
      <c r="AL39" s="114"/>
      <c r="AS39" s="115"/>
      <c r="AT39" s="115"/>
    </row>
    <row r="40" spans="1:48" s="126" customFormat="1" x14ac:dyDescent="0.3">
      <c r="A40" s="530"/>
      <c r="B40" s="529"/>
      <c r="C40" s="125" t="s">
        <v>23</v>
      </c>
      <c r="D40" s="117" t="str">
        <f>$B$13</f>
        <v>KEY_space_sprays_residue</v>
      </c>
      <c r="E40" s="117">
        <v>0.08</v>
      </c>
      <c r="F40" s="118" t="e">
        <f t="shared" si="6"/>
        <v>#VALUE!</v>
      </c>
      <c r="G40" s="119">
        <v>1800</v>
      </c>
      <c r="H40" s="119">
        <v>2</v>
      </c>
      <c r="I40" s="120">
        <v>1E-3</v>
      </c>
      <c r="J40" s="121" t="e">
        <f t="shared" si="7"/>
        <v>#VALUE!</v>
      </c>
      <c r="K40" s="122" t="e">
        <f>(J40*'TOX and EXPO INPUTS'!$D$15)/'TOX and EXPO INPUTS'!$D$27</f>
        <v>#VALUE!</v>
      </c>
      <c r="L40" s="118" t="e">
        <f t="shared" si="8"/>
        <v>#VALUE!</v>
      </c>
      <c r="M40" s="117" t="e">
        <f>'TOX and EXPO INPUTS'!$D$13/K40</f>
        <v>#VALUE!</v>
      </c>
      <c r="N40" s="122" t="e">
        <f t="shared" si="9"/>
        <v>#VALUE!</v>
      </c>
      <c r="Z40" s="127"/>
      <c r="AD40" s="127"/>
      <c r="AF40" s="127"/>
      <c r="AI40" s="128"/>
      <c r="AJ40" s="127"/>
      <c r="AM40" s="127"/>
      <c r="AN40" s="127"/>
      <c r="AU40" s="129"/>
      <c r="AV40" s="129"/>
    </row>
    <row r="43" spans="1:48" ht="25.5" x14ac:dyDescent="0.35">
      <c r="A43" s="130" t="s">
        <v>73</v>
      </c>
      <c r="B43" s="131"/>
      <c r="C43" s="131"/>
      <c r="D43" s="131"/>
      <c r="E43" s="131"/>
      <c r="F43" s="131"/>
      <c r="G43" s="131"/>
      <c r="H43" s="131"/>
      <c r="I43" s="131"/>
      <c r="J43" s="131"/>
      <c r="K43" s="131"/>
      <c r="L43" s="131"/>
    </row>
    <row r="44" spans="1:48" ht="78.75" x14ac:dyDescent="0.3">
      <c r="A44" s="132" t="s">
        <v>0</v>
      </c>
      <c r="B44" s="110" t="s">
        <v>122</v>
      </c>
      <c r="C44" s="132" t="s">
        <v>101</v>
      </c>
      <c r="D44" s="132" t="s">
        <v>74</v>
      </c>
      <c r="E44" s="132" t="s">
        <v>177</v>
      </c>
      <c r="F44" s="132" t="s">
        <v>75</v>
      </c>
      <c r="G44" s="111" t="s">
        <v>5</v>
      </c>
      <c r="H44" s="132" t="s">
        <v>76</v>
      </c>
      <c r="I44" s="133" t="s">
        <v>7</v>
      </c>
      <c r="J44" s="133" t="s">
        <v>8</v>
      </c>
      <c r="K44" s="134" t="s">
        <v>3</v>
      </c>
      <c r="L44" s="135" t="s">
        <v>4</v>
      </c>
    </row>
    <row r="45" spans="1:48" s="98" customFormat="1" ht="36.75" customHeight="1" x14ac:dyDescent="0.2">
      <c r="A45" s="532" t="s">
        <v>78</v>
      </c>
      <c r="B45" s="116" t="s">
        <v>114</v>
      </c>
      <c r="C45" s="136" t="str">
        <f>$B$11</f>
        <v>KEY_matress_residue</v>
      </c>
      <c r="D45" s="137">
        <v>1E-3</v>
      </c>
      <c r="E45" s="136">
        <v>280</v>
      </c>
      <c r="F45" s="136">
        <v>0.5</v>
      </c>
      <c r="G45" s="136">
        <v>0.06</v>
      </c>
      <c r="H45" s="136">
        <v>0.5</v>
      </c>
      <c r="I45" s="136" t="e">
        <f>(C45*D45*E45*F45*G45*H45*'TOX and EXPO INPUTS'!$D$15)</f>
        <v>#VALUE!</v>
      </c>
      <c r="J45" s="118" t="e">
        <f>VALUE(TEXT(I45,"0.0E+00"))</f>
        <v>#VALUE!</v>
      </c>
      <c r="K45" s="136" t="e">
        <f>'TOX and EXPO INPUTS'!$D$13/I45</f>
        <v>#VALUE!</v>
      </c>
      <c r="L45" s="138" t="e">
        <f>VALUE(TEXT(K45,"0.0E+00"))</f>
        <v>#VALUE!</v>
      </c>
    </row>
    <row r="46" spans="1:48" s="98" customFormat="1" ht="36.75" customHeight="1" x14ac:dyDescent="0.2">
      <c r="A46" s="533"/>
      <c r="B46" s="136" t="s">
        <v>23</v>
      </c>
      <c r="C46" s="136" t="str">
        <f>$B$11</f>
        <v>KEY_matress_residue</v>
      </c>
      <c r="D46" s="137">
        <v>1E-3</v>
      </c>
      <c r="E46" s="136">
        <v>640</v>
      </c>
      <c r="F46" s="136">
        <v>0.5</v>
      </c>
      <c r="G46" s="136">
        <v>0.06</v>
      </c>
      <c r="H46" s="136">
        <v>0.5</v>
      </c>
      <c r="I46" s="136" t="e">
        <f>(C46*D46*E46*F46*G46*H46*'TOX and EXPO INPUTS'!$D$15)</f>
        <v>#VALUE!</v>
      </c>
      <c r="J46" s="118" t="e">
        <f>VALUE(TEXT(I46,"0.0E+00"))</f>
        <v>#VALUE!</v>
      </c>
      <c r="K46" s="136" t="e">
        <f>'TOX and EXPO INPUTS'!$D$13/I46</f>
        <v>#VALUE!</v>
      </c>
      <c r="L46" s="138" t="e">
        <f>VALUE(TEXT(K46,"0.0E+00"))</f>
        <v>#VALUE!</v>
      </c>
    </row>
    <row r="49" spans="1:46" s="112" customFormat="1" hidden="1" x14ac:dyDescent="0.2">
      <c r="A49" s="527" t="s">
        <v>49</v>
      </c>
      <c r="B49" s="528"/>
      <c r="C49" s="528"/>
      <c r="D49" s="139"/>
      <c r="E49" s="140"/>
      <c r="F49" s="141"/>
      <c r="I49" s="114"/>
      <c r="J49" s="142"/>
      <c r="M49" s="143"/>
      <c r="N49" s="114"/>
      <c r="R49" s="143"/>
      <c r="S49" s="143"/>
      <c r="T49" s="114"/>
      <c r="V49" s="114"/>
      <c r="Y49" s="123"/>
      <c r="Z49" s="114"/>
      <c r="AB49" s="97"/>
      <c r="AE49" s="115"/>
      <c r="AF49" s="115"/>
      <c r="AG49" s="115"/>
      <c r="AH49" s="115"/>
      <c r="AI49" s="115"/>
      <c r="AJ49" s="115"/>
      <c r="AP49" s="115"/>
      <c r="AQ49" s="115"/>
      <c r="AR49" s="115"/>
      <c r="AS49" s="115"/>
    </row>
    <row r="50" spans="1:46" s="112" customFormat="1" hidden="1" x14ac:dyDescent="0.2">
      <c r="A50" s="531" t="s">
        <v>50</v>
      </c>
      <c r="B50" s="531"/>
      <c r="C50" s="531"/>
      <c r="D50" s="144"/>
      <c r="E50" s="144"/>
      <c r="G50" s="114"/>
      <c r="H50" s="142"/>
      <c r="I50" s="142"/>
      <c r="J50" s="142"/>
      <c r="O50" s="114"/>
      <c r="R50" s="145"/>
      <c r="S50" s="114"/>
      <c r="T50" s="113"/>
      <c r="U50" s="113"/>
      <c r="V50" s="113"/>
      <c r="X50" s="114"/>
      <c r="Y50" s="114"/>
      <c r="AF50" s="115"/>
      <c r="AG50" s="115"/>
      <c r="AO50" s="115"/>
      <c r="AP50" s="115"/>
    </row>
    <row r="51" spans="1:46" s="112" customFormat="1" ht="75" hidden="1" x14ac:dyDescent="0.2">
      <c r="A51" s="146" t="s">
        <v>0</v>
      </c>
      <c r="B51" s="147" t="s">
        <v>1</v>
      </c>
      <c r="C51" s="146" t="s">
        <v>51</v>
      </c>
      <c r="D51" s="148" t="s">
        <v>52</v>
      </c>
      <c r="E51" s="149" t="s">
        <v>53</v>
      </c>
      <c r="F51" s="148" t="s">
        <v>54</v>
      </c>
      <c r="G51" s="150" t="s">
        <v>2</v>
      </c>
      <c r="H51" s="151" t="s">
        <v>55</v>
      </c>
      <c r="I51" s="149" t="s">
        <v>178</v>
      </c>
      <c r="J51" s="146" t="s">
        <v>56</v>
      </c>
      <c r="K51" s="151" t="s">
        <v>57</v>
      </c>
      <c r="L51" s="151" t="s">
        <v>58</v>
      </c>
      <c r="M51" s="146" t="s">
        <v>3</v>
      </c>
      <c r="N51" s="149" t="s">
        <v>4</v>
      </c>
      <c r="V51" s="113"/>
      <c r="X51" s="114"/>
      <c r="Y51" s="114"/>
      <c r="AF51" s="115"/>
      <c r="AG51" s="115"/>
      <c r="AO51" s="115"/>
      <c r="AP51" s="115"/>
    </row>
    <row r="52" spans="1:46" s="112" customFormat="1" hidden="1" x14ac:dyDescent="0.2">
      <c r="A52" s="152" t="s">
        <v>59</v>
      </c>
      <c r="B52" s="118" t="s">
        <v>60</v>
      </c>
      <c r="C52" s="122">
        <v>1E-4</v>
      </c>
      <c r="D52" s="120">
        <v>454000000</v>
      </c>
      <c r="E52" s="153">
        <v>1.08E-3</v>
      </c>
      <c r="F52" s="120">
        <v>1E-3</v>
      </c>
      <c r="G52" s="154">
        <f t="shared" ref="G52:G59" si="10">C52*D52*E52</f>
        <v>49.032000000000004</v>
      </c>
      <c r="H52" s="155">
        <v>0.05</v>
      </c>
      <c r="I52" s="119">
        <v>16700</v>
      </c>
      <c r="J52" s="118">
        <v>8</v>
      </c>
      <c r="K52" s="122" t="e">
        <f>(G52*H52*I52*J52*#REF!*F52)/70</f>
        <v>#REF!</v>
      </c>
      <c r="L52" s="118" t="e">
        <f t="shared" ref="L52:L59" si="11">VALUE(TEXT(K52,"0.0E+00"))</f>
        <v>#REF!</v>
      </c>
      <c r="M52" s="118" t="e">
        <f>#REF!/K52</f>
        <v>#REF!</v>
      </c>
      <c r="N52" s="119" t="e">
        <f>VALUE(TEXT(M52,"0.0E+00"))</f>
        <v>#REF!</v>
      </c>
      <c r="Y52" s="123"/>
      <c r="AA52" s="114"/>
      <c r="AB52" s="114"/>
      <c r="AC52" s="124"/>
      <c r="AE52" s="114"/>
      <c r="AH52" s="114"/>
      <c r="AI52" s="114"/>
      <c r="AP52" s="115"/>
      <c r="AQ52" s="115"/>
    </row>
    <row r="53" spans="1:46" s="112" customFormat="1" hidden="1" x14ac:dyDescent="0.2">
      <c r="A53" s="152"/>
      <c r="B53" s="118" t="s">
        <v>61</v>
      </c>
      <c r="C53" s="122">
        <v>1E-4</v>
      </c>
      <c r="D53" s="120">
        <v>454000000</v>
      </c>
      <c r="E53" s="153">
        <v>1.08E-3</v>
      </c>
      <c r="F53" s="120">
        <v>1E-3</v>
      </c>
      <c r="G53" s="154">
        <f t="shared" si="10"/>
        <v>49.032000000000004</v>
      </c>
      <c r="H53" s="155">
        <v>0.05</v>
      </c>
      <c r="I53" s="119">
        <v>6000</v>
      </c>
      <c r="J53" s="118">
        <v>8</v>
      </c>
      <c r="K53" s="122" t="e">
        <f>(G53*H53*I53*J53*#REF!*F53)/15</f>
        <v>#REF!</v>
      </c>
      <c r="L53" s="118" t="e">
        <f t="shared" si="11"/>
        <v>#REF!</v>
      </c>
      <c r="M53" s="118" t="e">
        <f>#REF!/K53</f>
        <v>#REF!</v>
      </c>
      <c r="N53" s="119" t="e">
        <f t="shared" ref="N53:N59" si="12">VALUE(TEXT(M53,"0.0E+00"))</f>
        <v>#REF!</v>
      </c>
      <c r="V53" s="114"/>
      <c r="Z53" s="123"/>
      <c r="AB53" s="114"/>
      <c r="AC53" s="114"/>
      <c r="AD53" s="124"/>
      <c r="AF53" s="114"/>
      <c r="AI53" s="114"/>
      <c r="AJ53" s="114"/>
      <c r="AQ53" s="115"/>
      <c r="AR53" s="115"/>
    </row>
    <row r="54" spans="1:46" s="112" customFormat="1" hidden="1" x14ac:dyDescent="0.2">
      <c r="A54" s="152" t="s">
        <v>62</v>
      </c>
      <c r="B54" s="118" t="s">
        <v>60</v>
      </c>
      <c r="C54" s="122">
        <v>1E-4</v>
      </c>
      <c r="D54" s="120">
        <v>454000000</v>
      </c>
      <c r="E54" s="153">
        <v>1.08E-3</v>
      </c>
      <c r="F54" s="120">
        <v>1E-3</v>
      </c>
      <c r="G54" s="154">
        <f t="shared" si="10"/>
        <v>49.032000000000004</v>
      </c>
      <c r="H54" s="155">
        <v>0.05</v>
      </c>
      <c r="I54" s="119">
        <v>16700</v>
      </c>
      <c r="J54" s="118">
        <v>8</v>
      </c>
      <c r="K54" s="122" t="e">
        <f>(G54*H54*I54*J54*#REF!*F54)/70</f>
        <v>#REF!</v>
      </c>
      <c r="L54" s="118" t="e">
        <f t="shared" si="11"/>
        <v>#REF!</v>
      </c>
      <c r="M54" s="118" t="e">
        <f>#REF!/K54</f>
        <v>#REF!</v>
      </c>
      <c r="N54" s="119" t="e">
        <f t="shared" si="12"/>
        <v>#REF!</v>
      </c>
      <c r="Y54" s="123"/>
      <c r="AA54" s="114"/>
      <c r="AB54" s="114"/>
      <c r="AC54" s="124"/>
      <c r="AE54" s="114"/>
      <c r="AH54" s="114"/>
      <c r="AI54" s="114"/>
      <c r="AP54" s="115"/>
      <c r="AQ54" s="115"/>
    </row>
    <row r="55" spans="1:46" s="112" customFormat="1" hidden="1" x14ac:dyDescent="0.2">
      <c r="A55" s="152"/>
      <c r="B55" s="118" t="s">
        <v>61</v>
      </c>
      <c r="C55" s="122">
        <v>1E-4</v>
      </c>
      <c r="D55" s="120">
        <v>454000000</v>
      </c>
      <c r="E55" s="153">
        <v>1.08E-3</v>
      </c>
      <c r="F55" s="120">
        <v>1E-3</v>
      </c>
      <c r="G55" s="154">
        <f t="shared" si="10"/>
        <v>49.032000000000004</v>
      </c>
      <c r="H55" s="155">
        <v>0.05</v>
      </c>
      <c r="I55" s="119">
        <v>6000</v>
      </c>
      <c r="J55" s="118">
        <v>8</v>
      </c>
      <c r="K55" s="122" t="e">
        <f>(G55*H55*I55*J55*#REF!*F55)/15</f>
        <v>#REF!</v>
      </c>
      <c r="L55" s="118" t="e">
        <f t="shared" si="11"/>
        <v>#REF!</v>
      </c>
      <c r="M55" s="118" t="e">
        <f>#REF!/K55</f>
        <v>#REF!</v>
      </c>
      <c r="N55" s="119" t="e">
        <f t="shared" si="12"/>
        <v>#REF!</v>
      </c>
      <c r="V55" s="114"/>
      <c r="Z55" s="123"/>
      <c r="AB55" s="114"/>
      <c r="AC55" s="114"/>
      <c r="AD55" s="124"/>
      <c r="AF55" s="114"/>
      <c r="AI55" s="114"/>
      <c r="AJ55" s="114"/>
      <c r="AQ55" s="115"/>
      <c r="AR55" s="115"/>
    </row>
    <row r="56" spans="1:46" s="112" customFormat="1" hidden="1" x14ac:dyDescent="0.2">
      <c r="A56" s="152" t="s">
        <v>63</v>
      </c>
      <c r="B56" s="118" t="s">
        <v>60</v>
      </c>
      <c r="C56" s="122">
        <v>1E-4</v>
      </c>
      <c r="D56" s="120">
        <v>454000000</v>
      </c>
      <c r="E56" s="153">
        <v>1.08E-3</v>
      </c>
      <c r="F56" s="120">
        <v>1E-3</v>
      </c>
      <c r="G56" s="154">
        <f t="shared" si="10"/>
        <v>49.032000000000004</v>
      </c>
      <c r="H56" s="155">
        <v>0.1</v>
      </c>
      <c r="I56" s="119">
        <v>16700</v>
      </c>
      <c r="J56" s="118">
        <v>4</v>
      </c>
      <c r="K56" s="122" t="e">
        <f>(G56*H56*I56*J56*#REF!*F56)/70</f>
        <v>#REF!</v>
      </c>
      <c r="L56" s="118" t="e">
        <f t="shared" si="11"/>
        <v>#REF!</v>
      </c>
      <c r="M56" s="118" t="e">
        <f>#REF!/K56</f>
        <v>#REF!</v>
      </c>
      <c r="N56" s="119" t="e">
        <f t="shared" si="12"/>
        <v>#REF!</v>
      </c>
      <c r="V56" s="114"/>
      <c r="Z56" s="123"/>
      <c r="AB56" s="114"/>
      <c r="AC56" s="114"/>
      <c r="AD56" s="124"/>
      <c r="AF56" s="114"/>
      <c r="AI56" s="114"/>
      <c r="AJ56" s="114"/>
      <c r="AQ56" s="115"/>
      <c r="AR56" s="115"/>
    </row>
    <row r="57" spans="1:46" s="126" customFormat="1" hidden="1" x14ac:dyDescent="0.2">
      <c r="A57" s="152"/>
      <c r="B57" s="118" t="s">
        <v>61</v>
      </c>
      <c r="C57" s="122">
        <v>1E-4</v>
      </c>
      <c r="D57" s="120">
        <v>454000000</v>
      </c>
      <c r="E57" s="153">
        <v>1.08E-3</v>
      </c>
      <c r="F57" s="120">
        <v>1E-3</v>
      </c>
      <c r="G57" s="154">
        <f t="shared" si="10"/>
        <v>49.032000000000004</v>
      </c>
      <c r="H57" s="155">
        <v>0.1</v>
      </c>
      <c r="I57" s="119">
        <v>6000</v>
      </c>
      <c r="J57" s="118">
        <v>4</v>
      </c>
      <c r="K57" s="122" t="e">
        <f>(G57*H57*I57*J57*#REF!*F57)/15</f>
        <v>#REF!</v>
      </c>
      <c r="L57" s="118" t="e">
        <f t="shared" si="11"/>
        <v>#REF!</v>
      </c>
      <c r="M57" s="118" t="e">
        <f>#REF!/K57</f>
        <v>#REF!</v>
      </c>
      <c r="N57" s="119" t="e">
        <f t="shared" si="12"/>
        <v>#REF!</v>
      </c>
      <c r="X57" s="127"/>
      <c r="AB57" s="127"/>
      <c r="AD57" s="127"/>
      <c r="AG57" s="128"/>
      <c r="AH57" s="127"/>
      <c r="AK57" s="127"/>
      <c r="AL57" s="127"/>
      <c r="AS57" s="129"/>
      <c r="AT57" s="129"/>
    </row>
    <row r="58" spans="1:46" s="112" customFormat="1" hidden="1" x14ac:dyDescent="0.2">
      <c r="A58" s="152" t="s">
        <v>64</v>
      </c>
      <c r="B58" s="118" t="s">
        <v>60</v>
      </c>
      <c r="C58" s="122">
        <v>1E-4</v>
      </c>
      <c r="D58" s="120">
        <v>454000000</v>
      </c>
      <c r="E58" s="153">
        <v>1.08E-3</v>
      </c>
      <c r="F58" s="120">
        <v>1E-3</v>
      </c>
      <c r="G58" s="154">
        <f t="shared" si="10"/>
        <v>49.032000000000004</v>
      </c>
      <c r="H58" s="155">
        <v>0.1</v>
      </c>
      <c r="I58" s="119">
        <v>16700</v>
      </c>
      <c r="J58" s="118">
        <v>4</v>
      </c>
      <c r="K58" s="122" t="e">
        <f>(G58*H58*I58*J58*#REF!*F58)/70</f>
        <v>#REF!</v>
      </c>
      <c r="L58" s="118" t="e">
        <f t="shared" si="11"/>
        <v>#REF!</v>
      </c>
      <c r="M58" s="118" t="e">
        <f>#REF!/K58</f>
        <v>#REF!</v>
      </c>
      <c r="N58" s="119" t="e">
        <f t="shared" si="12"/>
        <v>#REF!</v>
      </c>
      <c r="V58" s="114"/>
      <c r="Z58" s="123"/>
      <c r="AB58" s="114"/>
      <c r="AC58" s="114"/>
      <c r="AD58" s="124"/>
      <c r="AF58" s="114"/>
      <c r="AI58" s="114"/>
      <c r="AJ58" s="114"/>
      <c r="AQ58" s="115"/>
      <c r="AR58" s="115"/>
    </row>
    <row r="59" spans="1:46" s="126" customFormat="1" hidden="1" x14ac:dyDescent="0.2">
      <c r="A59" s="152"/>
      <c r="B59" s="118" t="s">
        <v>61</v>
      </c>
      <c r="C59" s="156">
        <v>1E-4</v>
      </c>
      <c r="D59" s="120">
        <v>454000000</v>
      </c>
      <c r="E59" s="153">
        <v>1.08E-3</v>
      </c>
      <c r="F59" s="120">
        <v>1E-3</v>
      </c>
      <c r="G59" s="154">
        <f t="shared" si="10"/>
        <v>49.032000000000004</v>
      </c>
      <c r="H59" s="155">
        <v>0.1</v>
      </c>
      <c r="I59" s="119">
        <v>6000</v>
      </c>
      <c r="J59" s="118">
        <v>4</v>
      </c>
      <c r="K59" s="122" t="e">
        <f>(G59*H59*I59*J59*#REF!*F59)/15</f>
        <v>#REF!</v>
      </c>
      <c r="L59" s="118" t="e">
        <f t="shared" si="11"/>
        <v>#REF!</v>
      </c>
      <c r="M59" s="118" t="e">
        <f>#REF!/K59</f>
        <v>#REF!</v>
      </c>
      <c r="N59" s="119" t="e">
        <f t="shared" si="12"/>
        <v>#REF!</v>
      </c>
      <c r="X59" s="127"/>
      <c r="AB59" s="127"/>
      <c r="AD59" s="127"/>
      <c r="AG59" s="128"/>
      <c r="AH59" s="127"/>
      <c r="AK59" s="127"/>
      <c r="AL59" s="127"/>
      <c r="AS59" s="129"/>
      <c r="AT59" s="129"/>
    </row>
    <row r="60" spans="1:46" x14ac:dyDescent="0.3">
      <c r="C60" s="124"/>
    </row>
  </sheetData>
  <mergeCells count="22">
    <mergeCell ref="A16:B16"/>
    <mergeCell ref="B17:B18"/>
    <mergeCell ref="A17:A20"/>
    <mergeCell ref="A29:A32"/>
    <mergeCell ref="A21:A24"/>
    <mergeCell ref="B19:B20"/>
    <mergeCell ref="B21:B22"/>
    <mergeCell ref="B23:B24"/>
    <mergeCell ref="A25:A28"/>
    <mergeCell ref="B25:B26"/>
    <mergeCell ref="B27:B28"/>
    <mergeCell ref="B29:B30"/>
    <mergeCell ref="A49:C49"/>
    <mergeCell ref="B31:B32"/>
    <mergeCell ref="B35:B36"/>
    <mergeCell ref="A37:A40"/>
    <mergeCell ref="A50:C50"/>
    <mergeCell ref="B37:B38"/>
    <mergeCell ref="B39:B40"/>
    <mergeCell ref="A45:A46"/>
    <mergeCell ref="A33:A36"/>
    <mergeCell ref="B33:B34"/>
  </mergeCells>
  <phoneticPr fontId="3" type="noConversion"/>
  <conditionalFormatting sqref="N17:N40">
    <cfRule type="cellIs" dxfId="4" priority="5" stopIfTrue="1" operator="lessThan">
      <formula>$F$2</formula>
    </cfRule>
  </conditionalFormatting>
  <conditionalFormatting sqref="L45:L46">
    <cfRule type="cellIs" dxfId="3" priority="2" stopIfTrue="1" operator="lessThan">
      <formula>#REF!</formula>
    </cfRule>
    <cfRule type="cellIs" dxfId="2" priority="4" stopIfTrue="1" operator="lessThan">
      <formula>#REF!</formula>
    </cfRule>
  </conditionalFormatting>
  <pageMargins left="0.75" right="0.75" top="1" bottom="1" header="0.5" footer="0.5"/>
  <pageSetup scale="51" orientation="landscape" r:id="rId1"/>
  <headerFooter alignWithMargins="0"/>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AV25"/>
  <sheetViews>
    <sheetView zoomScale="70" zoomScaleNormal="70" zoomScaleSheetLayoutView="80" workbookViewId="0">
      <selection activeCell="F7" sqref="F7"/>
    </sheetView>
  </sheetViews>
  <sheetFormatPr defaultRowHeight="18.75" customHeight="1" x14ac:dyDescent="0.2"/>
  <cols>
    <col min="1" max="1" width="37.85546875" style="163" customWidth="1"/>
    <col min="2" max="2" width="18.85546875" style="163" customWidth="1"/>
    <col min="3" max="3" width="20.7109375" style="192" customWidth="1"/>
    <col min="4" max="4" width="12.42578125" style="162" customWidth="1"/>
    <col min="5" max="5" width="14.140625" style="159" customWidth="1"/>
    <col min="6" max="6" width="15.140625" style="159" customWidth="1"/>
    <col min="7" max="7" width="18.42578125" style="159" customWidth="1"/>
    <col min="8" max="8" width="15.85546875" style="159" customWidth="1"/>
    <col min="9" max="9" width="14.7109375" style="159" customWidth="1"/>
    <col min="10" max="10" width="20.140625" style="159" customWidth="1"/>
    <col min="11" max="11" width="15.5703125" style="159" customWidth="1"/>
    <col min="12" max="12" width="18.7109375" style="159" customWidth="1"/>
    <col min="13" max="13" width="16.5703125" style="159" customWidth="1"/>
    <col min="14" max="14" width="12.140625" style="160" customWidth="1"/>
    <col min="15" max="15" width="14.7109375" style="160" customWidth="1"/>
    <col min="16" max="16" width="16.140625" style="160" customWidth="1"/>
    <col min="17" max="18" width="16.5703125" style="160" customWidth="1"/>
    <col min="19" max="19" width="18.140625" style="160" customWidth="1"/>
    <col min="20" max="20" width="17.28515625" style="160" bestFit="1" customWidth="1"/>
    <col min="21" max="21" width="14.7109375" style="160" customWidth="1"/>
    <col min="22" max="22" width="19.7109375" style="160" customWidth="1"/>
    <col min="23" max="23" width="11.42578125" style="161" customWidth="1"/>
    <col min="24" max="24" width="12.5703125" style="162" customWidth="1"/>
    <col min="25" max="25" width="17" style="162" customWidth="1"/>
    <col min="26" max="26" width="11.85546875" style="161" customWidth="1"/>
    <col min="27" max="27" width="14.28515625" style="162" customWidth="1"/>
    <col min="28" max="28" width="15.140625" style="162" customWidth="1"/>
    <col min="29" max="29" width="13.7109375" style="162" customWidth="1"/>
    <col min="30" max="30" width="10.28515625" style="161" customWidth="1"/>
    <col min="31" max="31" width="16.5703125" style="162" customWidth="1"/>
    <col min="32" max="32" width="16" style="161" customWidth="1"/>
    <col min="33" max="33" width="8.28515625" style="163" customWidth="1"/>
    <col min="34" max="34" width="8" style="163" customWidth="1"/>
    <col min="35" max="35" width="15.5703125" style="164" customWidth="1"/>
    <col min="36" max="36" width="18.7109375" style="161" customWidth="1"/>
    <col min="37" max="37" width="9.140625" style="163"/>
    <col min="38" max="38" width="11" style="163" customWidth="1"/>
    <col min="39" max="40" width="9.140625" style="165"/>
    <col min="41" max="44" width="9.140625" style="163"/>
    <col min="45" max="45" width="11.5703125" style="163" bestFit="1" customWidth="1"/>
    <col min="46" max="46" width="11.5703125" style="163" customWidth="1"/>
    <col min="47" max="48" width="9.140625" style="166"/>
    <col min="49" max="50" width="9.140625" style="163"/>
    <col min="51" max="52" width="11.5703125" style="163" bestFit="1" customWidth="1"/>
    <col min="53" max="16384" width="9.140625" style="163"/>
  </cols>
  <sheetData>
    <row r="1" spans="1:48" ht="21" customHeight="1" x14ac:dyDescent="0.3">
      <c r="A1" s="404" t="s">
        <v>46</v>
      </c>
      <c r="B1" s="157"/>
      <c r="C1" s="158"/>
      <c r="D1" s="157"/>
      <c r="G1" s="389" t="s">
        <v>202</v>
      </c>
      <c r="H1" s="389"/>
    </row>
    <row r="2" spans="1:48" ht="21" customHeight="1" x14ac:dyDescent="0.3">
      <c r="A2" s="416" t="s">
        <v>125</v>
      </c>
      <c r="B2" s="437"/>
      <c r="C2" s="438"/>
      <c r="D2" s="168"/>
      <c r="E2" s="164"/>
      <c r="F2" s="164"/>
      <c r="G2" s="390" t="s">
        <v>278</v>
      </c>
      <c r="H2" s="391" t="str">
        <f>'TOX and EXPO INPUTS'!$D$11</f>
        <v>KEY_Oral_LOC</v>
      </c>
      <c r="I2" s="164"/>
      <c r="J2" s="164"/>
      <c r="K2" s="162"/>
      <c r="L2" s="162"/>
      <c r="M2" s="162"/>
      <c r="V2" s="161"/>
      <c r="W2" s="162"/>
      <c r="X2" s="161"/>
      <c r="Y2" s="161"/>
      <c r="Z2" s="162"/>
      <c r="AC2" s="161"/>
      <c r="AD2" s="162"/>
      <c r="AE2" s="161"/>
      <c r="AF2" s="163"/>
      <c r="AH2" s="164"/>
      <c r="AI2" s="161"/>
      <c r="AJ2" s="163"/>
      <c r="AL2" s="165"/>
      <c r="AN2" s="163"/>
      <c r="AT2" s="166"/>
      <c r="AV2" s="163"/>
    </row>
    <row r="3" spans="1:48" ht="21" customHeight="1" x14ac:dyDescent="0.2">
      <c r="C3" s="167"/>
      <c r="D3" s="168"/>
      <c r="E3" s="164"/>
      <c r="F3" s="164"/>
      <c r="G3" s="164"/>
      <c r="H3" s="164"/>
      <c r="I3" s="164"/>
      <c r="J3" s="164"/>
      <c r="K3" s="162"/>
      <c r="L3" s="162"/>
      <c r="M3" s="162"/>
      <c r="V3" s="161"/>
      <c r="W3" s="162"/>
      <c r="X3" s="161"/>
      <c r="Y3" s="161"/>
      <c r="Z3" s="162"/>
      <c r="AC3" s="161"/>
      <c r="AD3" s="162"/>
      <c r="AE3" s="161"/>
      <c r="AF3" s="163"/>
      <c r="AH3" s="164"/>
      <c r="AI3" s="161"/>
      <c r="AJ3" s="163"/>
      <c r="AL3" s="165"/>
      <c r="AN3" s="163"/>
      <c r="AT3" s="166"/>
      <c r="AV3" s="163"/>
    </row>
    <row r="4" spans="1:48" ht="21" customHeight="1" x14ac:dyDescent="0.2">
      <c r="C4" s="167"/>
      <c r="D4" s="168"/>
      <c r="E4" s="164"/>
      <c r="F4" s="164"/>
      <c r="G4" s="164"/>
      <c r="H4" s="164"/>
      <c r="I4" s="164"/>
      <c r="J4" s="164"/>
      <c r="K4" s="162"/>
      <c r="L4" s="162"/>
      <c r="M4" s="162"/>
      <c r="V4" s="161"/>
      <c r="W4" s="162"/>
      <c r="X4" s="161"/>
      <c r="Y4" s="161"/>
      <c r="Z4" s="162"/>
      <c r="AC4" s="161"/>
      <c r="AD4" s="162"/>
      <c r="AE4" s="161"/>
      <c r="AF4" s="163"/>
      <c r="AH4" s="164"/>
      <c r="AI4" s="161"/>
      <c r="AJ4" s="163"/>
      <c r="AL4" s="165"/>
      <c r="AN4" s="163"/>
      <c r="AT4" s="166"/>
      <c r="AV4" s="163"/>
    </row>
    <row r="5" spans="1:48" s="112" customFormat="1" ht="21" customHeight="1" x14ac:dyDescent="0.2">
      <c r="C5" s="169"/>
      <c r="D5" s="170"/>
      <c r="E5" s="171"/>
      <c r="F5" s="171"/>
      <c r="G5" s="171"/>
      <c r="H5" s="171"/>
      <c r="I5" s="171"/>
      <c r="J5" s="171"/>
      <c r="K5" s="172"/>
      <c r="L5" s="172"/>
      <c r="M5" s="172"/>
      <c r="N5" s="173"/>
      <c r="O5" s="173"/>
      <c r="P5" s="173"/>
      <c r="Q5" s="173"/>
      <c r="R5" s="173"/>
      <c r="S5" s="173"/>
      <c r="T5" s="173"/>
      <c r="U5" s="173"/>
      <c r="V5" s="174"/>
      <c r="W5" s="172"/>
      <c r="X5" s="174"/>
      <c r="Y5" s="174"/>
      <c r="Z5" s="172"/>
      <c r="AA5" s="172"/>
      <c r="AB5" s="172"/>
      <c r="AC5" s="174"/>
      <c r="AD5" s="172"/>
      <c r="AE5" s="174"/>
      <c r="AH5" s="171"/>
      <c r="AI5" s="174"/>
      <c r="AL5" s="114"/>
      <c r="AM5" s="114"/>
      <c r="AT5" s="115"/>
      <c r="AU5" s="115"/>
    </row>
    <row r="6" spans="1:48" s="112" customFormat="1" ht="21" customHeight="1" x14ac:dyDescent="0.2">
      <c r="A6" s="539" t="s">
        <v>0</v>
      </c>
      <c r="B6" s="539" t="s">
        <v>122</v>
      </c>
      <c r="C6" s="396" t="s">
        <v>179</v>
      </c>
      <c r="D6" s="402" t="s">
        <v>25</v>
      </c>
      <c r="E6" s="402" t="s">
        <v>180</v>
      </c>
      <c r="F6" s="396" t="s">
        <v>26</v>
      </c>
      <c r="G6" s="402" t="s">
        <v>181</v>
      </c>
      <c r="H6" s="402" t="s">
        <v>27</v>
      </c>
      <c r="I6" s="535" t="s">
        <v>33</v>
      </c>
      <c r="J6" s="396" t="s">
        <v>28</v>
      </c>
      <c r="K6" s="396" t="s">
        <v>29</v>
      </c>
      <c r="L6" s="396" t="s">
        <v>169</v>
      </c>
      <c r="M6" s="535" t="s">
        <v>303</v>
      </c>
      <c r="N6" s="535" t="s">
        <v>279</v>
      </c>
      <c r="O6" s="537" t="s">
        <v>280</v>
      </c>
      <c r="P6" s="173"/>
      <c r="Q6" s="173"/>
      <c r="R6" s="173"/>
      <c r="S6" s="143"/>
      <c r="T6" s="143"/>
      <c r="U6" s="143"/>
      <c r="V6" s="143"/>
      <c r="W6" s="124"/>
      <c r="X6" s="124"/>
      <c r="Y6" s="114"/>
      <c r="Z6" s="114"/>
      <c r="AC6" s="114"/>
      <c r="AL6" s="115"/>
    </row>
    <row r="7" spans="1:48" s="175" customFormat="1" ht="123" customHeight="1" x14ac:dyDescent="0.2">
      <c r="A7" s="540"/>
      <c r="B7" s="540"/>
      <c r="C7" s="398" t="s">
        <v>66</v>
      </c>
      <c r="D7" s="398" t="s">
        <v>30</v>
      </c>
      <c r="E7" s="398" t="s">
        <v>304</v>
      </c>
      <c r="F7" s="398" t="s">
        <v>182</v>
      </c>
      <c r="G7" s="399" t="s">
        <v>31</v>
      </c>
      <c r="H7" s="397" t="s">
        <v>32</v>
      </c>
      <c r="I7" s="536"/>
      <c r="J7" s="397" t="s">
        <v>34</v>
      </c>
      <c r="K7" s="398" t="s">
        <v>35</v>
      </c>
      <c r="L7" s="398" t="s">
        <v>36</v>
      </c>
      <c r="M7" s="536"/>
      <c r="N7" s="536"/>
      <c r="O7" s="538"/>
      <c r="V7" s="143"/>
      <c r="AC7" s="176"/>
    </row>
    <row r="8" spans="1:48" s="175" customFormat="1" x14ac:dyDescent="0.2">
      <c r="A8" s="177" t="s">
        <v>17</v>
      </c>
      <c r="B8" s="178"/>
      <c r="C8" s="179"/>
      <c r="D8" s="179"/>
      <c r="E8" s="179"/>
      <c r="F8" s="179"/>
      <c r="G8" s="178"/>
      <c r="H8" s="180"/>
      <c r="I8" s="180"/>
      <c r="J8" s="180"/>
      <c r="K8" s="179"/>
      <c r="L8" s="179"/>
      <c r="M8" s="180"/>
      <c r="N8" s="180"/>
      <c r="O8" s="181"/>
      <c r="V8" s="143"/>
      <c r="AC8" s="176"/>
    </row>
    <row r="9" spans="1:48" s="112" customFormat="1" ht="18.75" customHeight="1" x14ac:dyDescent="0.2">
      <c r="A9" s="182" t="s">
        <v>18</v>
      </c>
      <c r="B9" s="183" t="s">
        <v>23</v>
      </c>
      <c r="C9" s="117">
        <v>0.15</v>
      </c>
      <c r="D9" s="184" t="e">
        <f>'Indoor - dermal'!$J$18</f>
        <v>#VALUE!</v>
      </c>
      <c r="E9" s="185">
        <v>150</v>
      </c>
      <c r="F9" s="186" t="e">
        <f>(C9*D9)/(2*E9)</f>
        <v>#VALUE!</v>
      </c>
      <c r="G9" s="187">
        <v>0.13</v>
      </c>
      <c r="H9" s="188">
        <v>4</v>
      </c>
      <c r="I9" s="188">
        <v>15</v>
      </c>
      <c r="J9" s="188">
        <f>60/I9</f>
        <v>4</v>
      </c>
      <c r="K9" s="117">
        <v>0.48</v>
      </c>
      <c r="L9" s="188">
        <v>20</v>
      </c>
      <c r="M9" s="122" t="e">
        <f>(((F9*(G9*E9))*(H9*J9)*(1-((1-K9)^(L9/J9))))/'TOX and EXPO INPUTS'!$D$27)</f>
        <v>#VALUE!</v>
      </c>
      <c r="N9" s="118" t="e">
        <f>'TOX and EXPO INPUTS'!$D$10/M9</f>
        <v>#VALUE!</v>
      </c>
      <c r="O9" s="122" t="e">
        <f>VALUE(TEXT(N9,"0.0E+00"))</f>
        <v>#VALUE!</v>
      </c>
      <c r="Q9" s="189"/>
      <c r="R9" s="189"/>
      <c r="S9" s="124"/>
      <c r="U9" s="190"/>
      <c r="V9" s="143"/>
      <c r="AC9" s="115"/>
    </row>
    <row r="10" spans="1:48" s="112" customFormat="1" ht="18.75" customHeight="1" x14ac:dyDescent="0.2">
      <c r="A10" s="182" t="s">
        <v>37</v>
      </c>
      <c r="B10" s="183" t="s">
        <v>23</v>
      </c>
      <c r="C10" s="117">
        <v>0.15</v>
      </c>
      <c r="D10" s="184" t="e">
        <f>'Indoor - dermal'!$J$20</f>
        <v>#VALUE!</v>
      </c>
      <c r="E10" s="185">
        <v>150</v>
      </c>
      <c r="F10" s="186" t="e">
        <f>(C10*D10)/(2*E10)</f>
        <v>#VALUE!</v>
      </c>
      <c r="G10" s="187">
        <v>0.13</v>
      </c>
      <c r="H10" s="188">
        <v>2</v>
      </c>
      <c r="I10" s="188">
        <v>15</v>
      </c>
      <c r="J10" s="188">
        <f>60/I10</f>
        <v>4</v>
      </c>
      <c r="K10" s="117">
        <v>0.48</v>
      </c>
      <c r="L10" s="188">
        <v>20</v>
      </c>
      <c r="M10" s="122" t="e">
        <f>(((F10*(G10*E10))*(H10*J10)*(1-((1-K10)^(L10/J10))))/'TOX and EXPO INPUTS'!$D$27)</f>
        <v>#VALUE!</v>
      </c>
      <c r="N10" s="118" t="e">
        <f>'TOX and EXPO INPUTS'!$D$10/M10</f>
        <v>#VALUE!</v>
      </c>
      <c r="O10" s="122" t="e">
        <f>VALUE(TEXT(N10,"0.0E+00"))</f>
        <v>#VALUE!</v>
      </c>
      <c r="Q10" s="189"/>
      <c r="R10" s="189"/>
      <c r="S10" s="124"/>
      <c r="U10" s="190"/>
      <c r="V10" s="143"/>
      <c r="AC10" s="115"/>
    </row>
    <row r="11" spans="1:48" s="175" customFormat="1" x14ac:dyDescent="0.2">
      <c r="A11" s="191" t="s">
        <v>68</v>
      </c>
      <c r="B11" s="178"/>
      <c r="C11" s="179"/>
      <c r="D11" s="179"/>
      <c r="E11" s="179"/>
      <c r="F11" s="179"/>
      <c r="G11" s="178"/>
      <c r="H11" s="180"/>
      <c r="I11" s="180"/>
      <c r="J11" s="180"/>
      <c r="K11" s="179"/>
      <c r="L11" s="179"/>
      <c r="M11" s="180"/>
      <c r="N11" s="180"/>
      <c r="O11" s="180"/>
      <c r="V11" s="143"/>
      <c r="AC11" s="176"/>
    </row>
    <row r="12" spans="1:48" s="112" customFormat="1" ht="18.75" customHeight="1" x14ac:dyDescent="0.2">
      <c r="A12" s="182" t="s">
        <v>18</v>
      </c>
      <c r="B12" s="183" t="s">
        <v>23</v>
      </c>
      <c r="C12" s="117">
        <v>0.15</v>
      </c>
      <c r="D12" s="184" t="e">
        <f>'Indoor - dermal'!$J$22</f>
        <v>#VALUE!</v>
      </c>
      <c r="E12" s="185">
        <v>150</v>
      </c>
      <c r="F12" s="186" t="e">
        <f>(C12*D12)/(2*E12)</f>
        <v>#VALUE!</v>
      </c>
      <c r="G12" s="187">
        <v>0.13</v>
      </c>
      <c r="H12" s="188">
        <v>4</v>
      </c>
      <c r="I12" s="188">
        <v>15</v>
      </c>
      <c r="J12" s="188">
        <f>60/I12</f>
        <v>4</v>
      </c>
      <c r="K12" s="117">
        <v>0.48</v>
      </c>
      <c r="L12" s="188">
        <v>20</v>
      </c>
      <c r="M12" s="122" t="e">
        <f>(((F12*(G12*E12))*(H12*J12)*(1-((1-K12)^(L12/J12))))/'TOX and EXPO INPUTS'!$D$27)</f>
        <v>#VALUE!</v>
      </c>
      <c r="N12" s="118" t="e">
        <f>'TOX and EXPO INPUTS'!$D$10/M12</f>
        <v>#VALUE!</v>
      </c>
      <c r="O12" s="122" t="e">
        <f>VALUE(TEXT(N12,"0.0E+00"))</f>
        <v>#VALUE!</v>
      </c>
      <c r="Q12" s="189"/>
      <c r="R12" s="189"/>
      <c r="S12" s="124"/>
      <c r="U12" s="190"/>
      <c r="V12" s="143"/>
      <c r="AC12" s="115"/>
    </row>
    <row r="13" spans="1:48" s="112" customFormat="1" ht="18.75" customHeight="1" x14ac:dyDescent="0.2">
      <c r="A13" s="182" t="s">
        <v>37</v>
      </c>
      <c r="B13" s="183" t="s">
        <v>23</v>
      </c>
      <c r="C13" s="117">
        <v>0.15</v>
      </c>
      <c r="D13" s="184" t="e">
        <f>'Indoor - dermal'!$J$24</f>
        <v>#VALUE!</v>
      </c>
      <c r="E13" s="185">
        <v>150</v>
      </c>
      <c r="F13" s="186" t="e">
        <f>(C13*D13)/(2*E13)</f>
        <v>#VALUE!</v>
      </c>
      <c r="G13" s="187">
        <v>0.13</v>
      </c>
      <c r="H13" s="188">
        <v>2</v>
      </c>
      <c r="I13" s="188">
        <v>15</v>
      </c>
      <c r="J13" s="188">
        <f>60/I13</f>
        <v>4</v>
      </c>
      <c r="K13" s="117">
        <v>0.48</v>
      </c>
      <c r="L13" s="188">
        <v>20</v>
      </c>
      <c r="M13" s="122" t="e">
        <f>(((F13*(G13*E13))*(H13*J13)*(1-((1-K13)^(L13/J13))))/'TOX and EXPO INPUTS'!$D$27)</f>
        <v>#VALUE!</v>
      </c>
      <c r="N13" s="118" t="e">
        <f>'TOX and EXPO INPUTS'!$D$10/M13</f>
        <v>#VALUE!</v>
      </c>
      <c r="O13" s="122" t="e">
        <f>VALUE(TEXT(N13,"0.0E+00"))</f>
        <v>#VALUE!</v>
      </c>
      <c r="Q13" s="189"/>
      <c r="R13" s="189"/>
      <c r="S13" s="124"/>
      <c r="U13" s="190"/>
      <c r="V13" s="143"/>
      <c r="AC13" s="115"/>
    </row>
    <row r="14" spans="1:48" s="175" customFormat="1" x14ac:dyDescent="0.2">
      <c r="A14" s="191" t="s">
        <v>69</v>
      </c>
      <c r="B14" s="178"/>
      <c r="C14" s="179"/>
      <c r="D14" s="179"/>
      <c r="E14" s="179"/>
      <c r="F14" s="179"/>
      <c r="G14" s="178"/>
      <c r="H14" s="180"/>
      <c r="I14" s="180"/>
      <c r="J14" s="180"/>
      <c r="K14" s="179"/>
      <c r="L14" s="179"/>
      <c r="M14" s="180"/>
      <c r="N14" s="180"/>
      <c r="O14" s="180"/>
      <c r="V14" s="143"/>
      <c r="AC14" s="176"/>
    </row>
    <row r="15" spans="1:48" s="112" customFormat="1" ht="18.75" customHeight="1" x14ac:dyDescent="0.2">
      <c r="A15" s="182" t="s">
        <v>18</v>
      </c>
      <c r="B15" s="183" t="s">
        <v>23</v>
      </c>
      <c r="C15" s="117">
        <v>0.15</v>
      </c>
      <c r="D15" s="184" t="e">
        <f>'Indoor - dermal'!$J$26</f>
        <v>#VALUE!</v>
      </c>
      <c r="E15" s="185">
        <v>150</v>
      </c>
      <c r="F15" s="186" t="e">
        <f>(C15*D15)/(2*E15)</f>
        <v>#VALUE!</v>
      </c>
      <c r="G15" s="187">
        <v>0.13</v>
      </c>
      <c r="H15" s="188">
        <v>4</v>
      </c>
      <c r="I15" s="188">
        <v>15</v>
      </c>
      <c r="J15" s="188">
        <f>60/I15</f>
        <v>4</v>
      </c>
      <c r="K15" s="117">
        <v>0.48</v>
      </c>
      <c r="L15" s="188">
        <v>20</v>
      </c>
      <c r="M15" s="122" t="e">
        <f>(((F15*(G15*E15))*(H15*J15)*(1-((1-K15)^(L15/J15))))/'TOX and EXPO INPUTS'!$D$27)</f>
        <v>#VALUE!</v>
      </c>
      <c r="N15" s="118" t="e">
        <f>'TOX and EXPO INPUTS'!$D$10/M15</f>
        <v>#VALUE!</v>
      </c>
      <c r="O15" s="122" t="e">
        <f>VALUE(TEXT(N15,"0.0E+00"))</f>
        <v>#VALUE!</v>
      </c>
      <c r="Q15" s="189"/>
      <c r="R15" s="189"/>
      <c r="S15" s="124"/>
      <c r="U15" s="190"/>
      <c r="V15" s="143"/>
      <c r="AC15" s="115"/>
    </row>
    <row r="16" spans="1:48" s="112" customFormat="1" ht="18.75" customHeight="1" x14ac:dyDescent="0.2">
      <c r="A16" s="182" t="s">
        <v>37</v>
      </c>
      <c r="B16" s="183" t="s">
        <v>23</v>
      </c>
      <c r="C16" s="117">
        <v>0.15</v>
      </c>
      <c r="D16" s="184" t="e">
        <f>'Indoor - dermal'!$J$28</f>
        <v>#VALUE!</v>
      </c>
      <c r="E16" s="185">
        <v>150</v>
      </c>
      <c r="F16" s="186" t="e">
        <f>(C16*D16)/(2*E16)</f>
        <v>#VALUE!</v>
      </c>
      <c r="G16" s="187">
        <v>0.13</v>
      </c>
      <c r="H16" s="188">
        <v>2</v>
      </c>
      <c r="I16" s="188">
        <v>15</v>
      </c>
      <c r="J16" s="188">
        <f>60/I16</f>
        <v>4</v>
      </c>
      <c r="K16" s="117">
        <v>0.48</v>
      </c>
      <c r="L16" s="188">
        <v>20</v>
      </c>
      <c r="M16" s="122" t="e">
        <f>(((F16*(G16*E16))*(H16*J16)*(1-((1-K16)^(L16/J16))))/'TOX and EXPO INPUTS'!$D$27)</f>
        <v>#VALUE!</v>
      </c>
      <c r="N16" s="118" t="e">
        <f>'TOX and EXPO INPUTS'!$D$10/M16</f>
        <v>#VALUE!</v>
      </c>
      <c r="O16" s="122" t="e">
        <f>VALUE(TEXT(N16,"0.0E+00"))</f>
        <v>#VALUE!</v>
      </c>
      <c r="Q16" s="189"/>
      <c r="R16" s="189"/>
      <c r="S16" s="124"/>
      <c r="U16" s="190"/>
      <c r="V16" s="143"/>
      <c r="AC16" s="115"/>
    </row>
    <row r="17" spans="1:29" s="175" customFormat="1" x14ac:dyDescent="0.2">
      <c r="A17" s="191" t="s">
        <v>20</v>
      </c>
      <c r="B17" s="178"/>
      <c r="C17" s="179"/>
      <c r="D17" s="179"/>
      <c r="E17" s="179"/>
      <c r="F17" s="179"/>
      <c r="G17" s="178"/>
      <c r="H17" s="180"/>
      <c r="I17" s="180"/>
      <c r="J17" s="180"/>
      <c r="K17" s="179"/>
      <c r="L17" s="179"/>
      <c r="M17" s="180"/>
      <c r="N17" s="180"/>
      <c r="O17" s="180"/>
      <c r="V17" s="143"/>
      <c r="AC17" s="176"/>
    </row>
    <row r="18" spans="1:29" s="112" customFormat="1" ht="18.75" customHeight="1" x14ac:dyDescent="0.2">
      <c r="A18" s="182" t="s">
        <v>18</v>
      </c>
      <c r="B18" s="183" t="s">
        <v>23</v>
      </c>
      <c r="C18" s="117">
        <v>0.15</v>
      </c>
      <c r="D18" s="184" t="e">
        <f>'Indoor - dermal'!$J$30</f>
        <v>#VALUE!</v>
      </c>
      <c r="E18" s="185">
        <v>150</v>
      </c>
      <c r="F18" s="186" t="e">
        <f>(C18*D18)/(2*E18)</f>
        <v>#VALUE!</v>
      </c>
      <c r="G18" s="187">
        <v>0.13</v>
      </c>
      <c r="H18" s="188">
        <v>4</v>
      </c>
      <c r="I18" s="188">
        <v>15</v>
      </c>
      <c r="J18" s="188">
        <f>60/I18</f>
        <v>4</v>
      </c>
      <c r="K18" s="117">
        <v>0.48</v>
      </c>
      <c r="L18" s="188">
        <v>20</v>
      </c>
      <c r="M18" s="122" t="e">
        <f>(((F18*(G18*E18))*(H18*J18)*(1-((1-K18)^(L18/J18))))/'TOX and EXPO INPUTS'!$D$27)</f>
        <v>#VALUE!</v>
      </c>
      <c r="N18" s="118" t="e">
        <f>'TOX and EXPO INPUTS'!$D$10/M18</f>
        <v>#VALUE!</v>
      </c>
      <c r="O18" s="122" t="e">
        <f>VALUE(TEXT(N18,"0.0E+00"))</f>
        <v>#VALUE!</v>
      </c>
      <c r="Q18" s="189"/>
      <c r="R18" s="189"/>
      <c r="S18" s="124"/>
      <c r="U18" s="190"/>
      <c r="V18" s="143"/>
      <c r="AC18" s="115"/>
    </row>
    <row r="19" spans="1:29" s="112" customFormat="1" ht="18.75" customHeight="1" x14ac:dyDescent="0.2">
      <c r="A19" s="182" t="s">
        <v>37</v>
      </c>
      <c r="B19" s="183" t="s">
        <v>23</v>
      </c>
      <c r="C19" s="117">
        <v>0.15</v>
      </c>
      <c r="D19" s="184" t="e">
        <f>'Indoor - dermal'!$J$32</f>
        <v>#VALUE!</v>
      </c>
      <c r="E19" s="185">
        <v>150</v>
      </c>
      <c r="F19" s="186" t="e">
        <f>(C19*D19)/(2*E19)</f>
        <v>#VALUE!</v>
      </c>
      <c r="G19" s="187">
        <v>0.13</v>
      </c>
      <c r="H19" s="188">
        <v>2</v>
      </c>
      <c r="I19" s="188">
        <v>15</v>
      </c>
      <c r="J19" s="188">
        <f>60/I19</f>
        <v>4</v>
      </c>
      <c r="K19" s="117">
        <v>0.48</v>
      </c>
      <c r="L19" s="188">
        <v>20</v>
      </c>
      <c r="M19" s="122" t="e">
        <f>(((F19*(G19*E19))*(H19*J19)*(1-((1-K19)^(L19/J19))))/'TOX and EXPO INPUTS'!$D$27)</f>
        <v>#VALUE!</v>
      </c>
      <c r="N19" s="118" t="e">
        <f>'TOX and EXPO INPUTS'!$D$10/M19</f>
        <v>#VALUE!</v>
      </c>
      <c r="O19" s="122" t="e">
        <f>VALUE(TEXT(N19,"0.0E+00"))</f>
        <v>#VALUE!</v>
      </c>
      <c r="Q19" s="189"/>
      <c r="R19" s="189"/>
      <c r="S19" s="124"/>
      <c r="U19" s="190"/>
      <c r="V19" s="143"/>
      <c r="AC19" s="115"/>
    </row>
    <row r="20" spans="1:29" s="175" customFormat="1" x14ac:dyDescent="0.2">
      <c r="A20" s="191" t="s">
        <v>158</v>
      </c>
      <c r="B20" s="178"/>
      <c r="C20" s="179"/>
      <c r="D20" s="179"/>
      <c r="E20" s="179"/>
      <c r="F20" s="179"/>
      <c r="G20" s="178"/>
      <c r="H20" s="180"/>
      <c r="I20" s="180"/>
      <c r="J20" s="180"/>
      <c r="K20" s="179"/>
      <c r="L20" s="179"/>
      <c r="M20" s="180"/>
      <c r="N20" s="180"/>
      <c r="O20" s="180"/>
      <c r="V20" s="143"/>
      <c r="AC20" s="176"/>
    </row>
    <row r="21" spans="1:29" s="112" customFormat="1" ht="18.75" customHeight="1" x14ac:dyDescent="0.2">
      <c r="A21" s="182" t="s">
        <v>18</v>
      </c>
      <c r="B21" s="183" t="s">
        <v>23</v>
      </c>
      <c r="C21" s="117">
        <v>0.15</v>
      </c>
      <c r="D21" s="184" t="e">
        <f>'Indoor - dermal'!$J$34</f>
        <v>#VALUE!</v>
      </c>
      <c r="E21" s="185">
        <v>150</v>
      </c>
      <c r="F21" s="186" t="e">
        <f>(C21*D21)/(2*E21)</f>
        <v>#VALUE!</v>
      </c>
      <c r="G21" s="187">
        <v>0.13</v>
      </c>
      <c r="H21" s="188">
        <v>4</v>
      </c>
      <c r="I21" s="188">
        <v>15</v>
      </c>
      <c r="J21" s="188">
        <f>60/I21</f>
        <v>4</v>
      </c>
      <c r="K21" s="117">
        <v>0.48</v>
      </c>
      <c r="L21" s="188">
        <v>20</v>
      </c>
      <c r="M21" s="122" t="e">
        <f>(((F21*(G21*E21))*(H21*J21)*(1-((1-K21)^(L21/J21))))/'TOX and EXPO INPUTS'!$D$27)</f>
        <v>#VALUE!</v>
      </c>
      <c r="N21" s="118" t="e">
        <f>'TOX and EXPO INPUTS'!$D$10/M21</f>
        <v>#VALUE!</v>
      </c>
      <c r="O21" s="122" t="e">
        <f>VALUE(TEXT(N21,"0.0E+00"))</f>
        <v>#VALUE!</v>
      </c>
      <c r="Q21" s="189"/>
      <c r="R21" s="189"/>
      <c r="S21" s="124"/>
      <c r="U21" s="190"/>
      <c r="V21" s="143"/>
      <c r="AC21" s="115"/>
    </row>
    <row r="22" spans="1:29" s="112" customFormat="1" ht="18.75" customHeight="1" x14ac:dyDescent="0.2">
      <c r="A22" s="182" t="s">
        <v>37</v>
      </c>
      <c r="B22" s="183" t="s">
        <v>23</v>
      </c>
      <c r="C22" s="117">
        <v>0.15</v>
      </c>
      <c r="D22" s="184" t="e">
        <f>'Indoor - dermal'!$J$36</f>
        <v>#VALUE!</v>
      </c>
      <c r="E22" s="185">
        <v>150</v>
      </c>
      <c r="F22" s="186" t="e">
        <f>(C22*D22)/(2*E22)</f>
        <v>#VALUE!</v>
      </c>
      <c r="G22" s="187">
        <v>0.13</v>
      </c>
      <c r="H22" s="188">
        <v>2</v>
      </c>
      <c r="I22" s="188">
        <v>15</v>
      </c>
      <c r="J22" s="188">
        <f>60/I22</f>
        <v>4</v>
      </c>
      <c r="K22" s="117">
        <v>0.48</v>
      </c>
      <c r="L22" s="188">
        <v>20</v>
      </c>
      <c r="M22" s="122" t="e">
        <f>(((F22*(G22*E22))*(H22*J22)*(1-((1-K22)^(L22/J22))))/'TOX and EXPO INPUTS'!$D$27)</f>
        <v>#VALUE!</v>
      </c>
      <c r="N22" s="118" t="e">
        <f>'TOX and EXPO INPUTS'!$D$10/M22</f>
        <v>#VALUE!</v>
      </c>
      <c r="O22" s="122" t="e">
        <f>VALUE(TEXT(N22,"0.0E+00"))</f>
        <v>#VALUE!</v>
      </c>
      <c r="Q22" s="189"/>
      <c r="R22" s="189"/>
      <c r="S22" s="124"/>
      <c r="U22" s="190"/>
      <c r="V22" s="143"/>
      <c r="AC22" s="115"/>
    </row>
    <row r="23" spans="1:29" s="175" customFormat="1" x14ac:dyDescent="0.2">
      <c r="A23" s="191" t="s">
        <v>159</v>
      </c>
      <c r="B23" s="178"/>
      <c r="C23" s="179"/>
      <c r="D23" s="179"/>
      <c r="E23" s="179"/>
      <c r="F23" s="179"/>
      <c r="G23" s="178"/>
      <c r="H23" s="180"/>
      <c r="I23" s="180"/>
      <c r="J23" s="180"/>
      <c r="K23" s="179"/>
      <c r="L23" s="179"/>
      <c r="M23" s="180"/>
      <c r="N23" s="180"/>
      <c r="O23" s="180"/>
      <c r="V23" s="143"/>
      <c r="AC23" s="176"/>
    </row>
    <row r="24" spans="1:29" s="112" customFormat="1" ht="18.75" customHeight="1" x14ac:dyDescent="0.2">
      <c r="A24" s="182" t="s">
        <v>18</v>
      </c>
      <c r="B24" s="183" t="s">
        <v>23</v>
      </c>
      <c r="C24" s="117">
        <v>0.15</v>
      </c>
      <c r="D24" s="184" t="e">
        <f>'Indoor - dermal'!$J$38</f>
        <v>#VALUE!</v>
      </c>
      <c r="E24" s="185">
        <v>150</v>
      </c>
      <c r="F24" s="186" t="e">
        <f>(C24*D24)/(2*E24)</f>
        <v>#VALUE!</v>
      </c>
      <c r="G24" s="187">
        <v>0.13</v>
      </c>
      <c r="H24" s="188">
        <v>4</v>
      </c>
      <c r="I24" s="188">
        <v>15</v>
      </c>
      <c r="J24" s="188">
        <f>60/I24</f>
        <v>4</v>
      </c>
      <c r="K24" s="117">
        <v>0.48</v>
      </c>
      <c r="L24" s="188">
        <v>20</v>
      </c>
      <c r="M24" s="122" t="e">
        <f>(((F24*(G24*E24))*(H24*J24)*(1-((1-K24)^(L24/J24))))/'TOX and EXPO INPUTS'!$D$27)</f>
        <v>#VALUE!</v>
      </c>
      <c r="N24" s="118" t="e">
        <f>'TOX and EXPO INPUTS'!$D$10/M24</f>
        <v>#VALUE!</v>
      </c>
      <c r="O24" s="122" t="e">
        <f>VALUE(TEXT(N24,"0.0E+00"))</f>
        <v>#VALUE!</v>
      </c>
      <c r="Q24" s="189"/>
      <c r="R24" s="189"/>
      <c r="S24" s="124"/>
      <c r="U24" s="190"/>
      <c r="V24" s="143"/>
      <c r="AC24" s="115"/>
    </row>
    <row r="25" spans="1:29" s="112" customFormat="1" ht="18.75" customHeight="1" x14ac:dyDescent="0.2">
      <c r="A25" s="182" t="s">
        <v>37</v>
      </c>
      <c r="B25" s="183" t="s">
        <v>23</v>
      </c>
      <c r="C25" s="117">
        <v>0.15</v>
      </c>
      <c r="D25" s="184" t="e">
        <f>'Indoor - dermal'!$J$40</f>
        <v>#VALUE!</v>
      </c>
      <c r="E25" s="185">
        <v>150</v>
      </c>
      <c r="F25" s="186" t="e">
        <f>(C25*D25)/(2*E25)</f>
        <v>#VALUE!</v>
      </c>
      <c r="G25" s="187">
        <v>0.13</v>
      </c>
      <c r="H25" s="188">
        <v>2</v>
      </c>
      <c r="I25" s="188">
        <v>15</v>
      </c>
      <c r="J25" s="188">
        <f>60/I25</f>
        <v>4</v>
      </c>
      <c r="K25" s="117">
        <v>0.48</v>
      </c>
      <c r="L25" s="188">
        <v>20</v>
      </c>
      <c r="M25" s="122" t="e">
        <f>(((F25*(G25*E25))*(H25*J25)*(1-((1-K25)^(L25/J25))))/'TOX and EXPO INPUTS'!$D$27)</f>
        <v>#VALUE!</v>
      </c>
      <c r="N25" s="118" t="e">
        <f>'TOX and EXPO INPUTS'!$D$10/M25</f>
        <v>#VALUE!</v>
      </c>
      <c r="O25" s="122" t="e">
        <f>VALUE(TEXT(N25,"0.0E+00"))</f>
        <v>#VALUE!</v>
      </c>
      <c r="Q25" s="189"/>
      <c r="R25" s="189"/>
      <c r="S25" s="124"/>
      <c r="U25" s="190"/>
      <c r="V25" s="143"/>
      <c r="AC25" s="115"/>
    </row>
  </sheetData>
  <mergeCells count="6">
    <mergeCell ref="M6:M7"/>
    <mergeCell ref="N6:N7"/>
    <mergeCell ref="O6:O7"/>
    <mergeCell ref="B6:B7"/>
    <mergeCell ref="A6:A7"/>
    <mergeCell ref="I6:I7"/>
  </mergeCells>
  <phoneticPr fontId="3" type="noConversion"/>
  <conditionalFormatting sqref="O9:O10 O12:O13 O15:O16 O18:O19 O21:O22 O24:O25">
    <cfRule type="cellIs" dxfId="1" priority="1" stopIfTrue="1" operator="lessThan">
      <formula>$H$2</formula>
    </cfRule>
  </conditionalFormatting>
  <pageMargins left="0.17" right="0.17" top="1" bottom="1" header="0.5" footer="0.5"/>
  <pageSetup scale="39" fitToHeight="5" orientation="landscape" horizontalDpi="4294967294"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AU33"/>
  <sheetViews>
    <sheetView zoomScale="60" zoomScaleNormal="60" workbookViewId="0">
      <selection activeCell="B13" sqref="B13"/>
    </sheetView>
  </sheetViews>
  <sheetFormatPr defaultRowHeight="18.75" customHeight="1" x14ac:dyDescent="0.2"/>
  <cols>
    <col min="1" max="1" width="49.7109375" style="163" customWidth="1"/>
    <col min="2" max="2" width="25.5703125" style="192" customWidth="1"/>
    <col min="3" max="3" width="17" style="162" customWidth="1"/>
    <col min="4" max="4" width="21.28515625" style="159" customWidth="1"/>
    <col min="5" max="5" width="16.28515625" style="159" customWidth="1"/>
    <col min="6" max="6" width="17.28515625" style="159" customWidth="1"/>
    <col min="7" max="7" width="20.42578125" style="159" customWidth="1"/>
    <col min="8" max="8" width="19.42578125" style="159" customWidth="1"/>
    <col min="9" max="9" width="14.5703125" style="159" customWidth="1"/>
    <col min="10" max="10" width="15.140625" style="159" customWidth="1"/>
    <col min="11" max="11" width="14.28515625" style="159" customWidth="1"/>
    <col min="12" max="12" width="22.85546875" style="159" customWidth="1"/>
    <col min="13" max="13" width="14.5703125" style="160" customWidth="1"/>
    <col min="14" max="14" width="18.7109375" style="160" customWidth="1"/>
    <col min="15" max="15" width="15.85546875" style="160" customWidth="1"/>
    <col min="16" max="16" width="20.140625" style="160" customWidth="1"/>
    <col min="17" max="17" width="13.42578125" style="160" customWidth="1"/>
    <col min="18" max="18" width="13.85546875" style="160" customWidth="1"/>
    <col min="19" max="19" width="11" style="160" customWidth="1"/>
    <col min="20" max="20" width="14.7109375" style="160" customWidth="1"/>
    <col min="21" max="21" width="19.7109375" style="160" customWidth="1"/>
    <col min="22" max="22" width="26.42578125" style="161" customWidth="1"/>
    <col min="23" max="23" width="12.5703125" style="162" customWidth="1"/>
    <col min="24" max="24" width="17" style="162" customWidth="1"/>
    <col min="25" max="25" width="10.140625" style="161" customWidth="1"/>
    <col min="26" max="26" width="14.28515625" style="162" customWidth="1"/>
    <col min="27" max="27" width="15.140625" style="162" customWidth="1"/>
    <col min="28" max="28" width="13.7109375" style="162" customWidth="1"/>
    <col min="29" max="29" width="10.28515625" style="161" customWidth="1"/>
    <col min="30" max="30" width="16.5703125" style="162" customWidth="1"/>
    <col min="31" max="31" width="16" style="161" customWidth="1"/>
    <col min="32" max="32" width="8.28515625" style="163" customWidth="1"/>
    <col min="33" max="33" width="8" style="163" customWidth="1"/>
    <col min="34" max="34" width="15.5703125" style="164" customWidth="1"/>
    <col min="35" max="35" width="18.7109375" style="161" customWidth="1"/>
    <col min="36" max="36" width="9.140625" style="163"/>
    <col min="37" max="37" width="11" style="163" customWidth="1"/>
    <col min="38" max="39" width="9.140625" style="165"/>
    <col min="40" max="43" width="9.140625" style="163"/>
    <col min="44" max="44" width="11.5703125" style="163" bestFit="1" customWidth="1"/>
    <col min="45" max="45" width="11.5703125" style="163" customWidth="1"/>
    <col min="46" max="47" width="9.140625" style="166"/>
    <col min="48" max="49" width="9.140625" style="163"/>
    <col min="50" max="51" width="11.5703125" style="163" bestFit="1" customWidth="1"/>
    <col min="52" max="16384" width="9.140625" style="163"/>
  </cols>
  <sheetData>
    <row r="1" spans="1:47" s="201" customFormat="1" ht="25.5" x14ac:dyDescent="0.3">
      <c r="A1" s="405" t="s">
        <v>47</v>
      </c>
      <c r="B1" s="158"/>
      <c r="C1" s="194"/>
      <c r="D1" s="195"/>
      <c r="E1" s="195"/>
      <c r="F1" s="195"/>
      <c r="G1" s="406" t="s">
        <v>202</v>
      </c>
      <c r="H1" s="406"/>
      <c r="K1" s="196"/>
      <c r="L1" s="197"/>
      <c r="M1" s="545"/>
      <c r="N1" s="545"/>
      <c r="O1" s="545"/>
      <c r="P1" s="545"/>
      <c r="Q1" s="92"/>
      <c r="R1" s="198"/>
      <c r="S1" s="198"/>
      <c r="T1" s="198"/>
      <c r="U1" s="198"/>
      <c r="V1" s="199"/>
      <c r="W1" s="200"/>
      <c r="X1" s="200"/>
      <c r="Y1" s="199"/>
      <c r="Z1" s="200"/>
      <c r="AA1" s="200"/>
      <c r="AB1" s="200"/>
      <c r="AC1" s="199"/>
      <c r="AD1" s="200"/>
      <c r="AE1" s="199"/>
      <c r="AH1" s="202"/>
      <c r="AI1" s="199"/>
      <c r="AL1" s="203"/>
      <c r="AM1" s="203"/>
      <c r="AT1" s="204"/>
      <c r="AU1" s="204"/>
    </row>
    <row r="2" spans="1:47" s="201" customFormat="1" ht="23.25" x14ac:dyDescent="0.3">
      <c r="A2" s="439" t="s">
        <v>125</v>
      </c>
      <c r="B2" s="440"/>
      <c r="C2" s="441"/>
      <c r="D2" s="442"/>
      <c r="E2" s="195"/>
      <c r="F2" s="195"/>
      <c r="G2" s="407" t="s">
        <v>278</v>
      </c>
      <c r="H2" s="47" t="str">
        <f>'TOX and EXPO INPUTS'!$D$11</f>
        <v>KEY_Oral_LOC</v>
      </c>
      <c r="I2" s="197"/>
      <c r="J2" s="197"/>
      <c r="K2" s="196"/>
      <c r="L2" s="197"/>
      <c r="M2" s="279"/>
      <c r="N2" s="279"/>
      <c r="O2" s="279"/>
      <c r="P2" s="279"/>
      <c r="Q2" s="279"/>
      <c r="R2" s="198"/>
      <c r="S2" s="198"/>
      <c r="T2" s="198"/>
      <c r="U2" s="198"/>
      <c r="V2" s="199"/>
      <c r="W2" s="200"/>
      <c r="X2" s="200"/>
      <c r="Y2" s="199"/>
      <c r="Z2" s="200"/>
      <c r="AA2" s="200"/>
      <c r="AB2" s="200"/>
      <c r="AC2" s="199"/>
      <c r="AD2" s="200"/>
      <c r="AE2" s="199"/>
      <c r="AH2" s="202"/>
      <c r="AI2" s="199"/>
      <c r="AL2" s="203"/>
      <c r="AM2" s="203"/>
      <c r="AT2" s="204"/>
      <c r="AU2" s="204"/>
    </row>
    <row r="3" spans="1:47" s="201" customFormat="1" ht="25.5" x14ac:dyDescent="0.2">
      <c r="A3" s="193"/>
      <c r="B3" s="158"/>
      <c r="C3" s="194"/>
      <c r="D3" s="195"/>
      <c r="E3" s="195"/>
      <c r="F3" s="195"/>
      <c r="G3" s="403"/>
      <c r="H3" s="207"/>
      <c r="I3" s="197"/>
      <c r="J3" s="197"/>
      <c r="K3" s="196"/>
      <c r="L3" s="197"/>
      <c r="M3" s="279"/>
      <c r="N3" s="279"/>
      <c r="O3" s="279"/>
      <c r="P3" s="279"/>
      <c r="Q3" s="279"/>
      <c r="R3" s="198"/>
      <c r="S3" s="198"/>
      <c r="T3" s="198"/>
      <c r="U3" s="198"/>
      <c r="V3" s="199"/>
      <c r="W3" s="200"/>
      <c r="X3" s="200"/>
      <c r="Y3" s="199"/>
      <c r="Z3" s="200"/>
      <c r="AA3" s="200"/>
      <c r="AB3" s="200"/>
      <c r="AC3" s="199"/>
      <c r="AD3" s="200"/>
      <c r="AE3" s="199"/>
      <c r="AH3" s="202"/>
      <c r="AI3" s="199"/>
      <c r="AL3" s="203"/>
      <c r="AM3" s="203"/>
      <c r="AT3" s="204"/>
      <c r="AU3" s="204"/>
    </row>
    <row r="4" spans="1:47" s="201" customFormat="1" ht="20.25" x14ac:dyDescent="0.3">
      <c r="A4" s="205"/>
      <c r="B4" s="158"/>
      <c r="C4" s="194"/>
      <c r="D4" s="195"/>
      <c r="E4" s="195"/>
      <c r="F4" s="195"/>
      <c r="G4" s="206"/>
      <c r="H4" s="207"/>
      <c r="I4" s="197"/>
      <c r="J4" s="197"/>
      <c r="K4" s="197"/>
      <c r="L4" s="197"/>
      <c r="M4" s="92"/>
      <c r="N4" s="92"/>
      <c r="O4" s="92"/>
      <c r="P4" s="92"/>
      <c r="Q4" s="92"/>
      <c r="R4" s="92"/>
      <c r="S4" s="92"/>
      <c r="T4" s="92"/>
      <c r="U4" s="92"/>
      <c r="V4" s="203"/>
      <c r="Y4" s="203"/>
      <c r="AC4" s="203"/>
      <c r="AE4" s="203"/>
      <c r="AH4" s="208"/>
      <c r="AI4" s="203"/>
      <c r="AL4" s="203"/>
      <c r="AM4" s="203"/>
      <c r="AT4" s="204"/>
      <c r="AU4" s="204"/>
    </row>
    <row r="5" spans="1:47" s="201" customFormat="1" ht="18.75" customHeight="1" x14ac:dyDescent="0.2">
      <c r="A5" s="209"/>
      <c r="B5" s="210"/>
      <c r="C5" s="211"/>
      <c r="D5" s="197"/>
      <c r="E5" s="197"/>
      <c r="F5" s="197"/>
      <c r="G5" s="197"/>
      <c r="H5" s="197"/>
      <c r="I5" s="197"/>
      <c r="J5" s="196"/>
      <c r="K5" s="196"/>
      <c r="L5" s="197"/>
      <c r="M5" s="92"/>
      <c r="N5" s="92"/>
      <c r="O5" s="92"/>
      <c r="P5" s="92"/>
      <c r="Q5" s="92"/>
      <c r="R5" s="198"/>
      <c r="S5" s="198"/>
      <c r="T5" s="198"/>
      <c r="U5" s="198"/>
      <c r="V5" s="199"/>
      <c r="W5" s="200"/>
      <c r="X5" s="200"/>
      <c r="Y5" s="199"/>
      <c r="Z5" s="200"/>
      <c r="AA5" s="200"/>
      <c r="AB5" s="200"/>
      <c r="AC5" s="199"/>
      <c r="AD5" s="200"/>
      <c r="AE5" s="199"/>
      <c r="AH5" s="202"/>
      <c r="AI5" s="199"/>
      <c r="AL5" s="203"/>
      <c r="AM5" s="203"/>
      <c r="AT5" s="204"/>
      <c r="AU5" s="204"/>
    </row>
    <row r="6" spans="1:47" s="201" customFormat="1" ht="18.75" customHeight="1" x14ac:dyDescent="0.2">
      <c r="A6" s="408" t="s">
        <v>81</v>
      </c>
      <c r="B6" s="409"/>
      <c r="C6" s="410"/>
      <c r="D6" s="411"/>
      <c r="E6" s="411"/>
      <c r="F6" s="412"/>
      <c r="G6" s="197"/>
      <c r="H6" s="197"/>
      <c r="I6" s="197"/>
      <c r="J6" s="196"/>
      <c r="K6" s="196"/>
      <c r="L6" s="197"/>
      <c r="M6" s="92"/>
      <c r="N6" s="92"/>
      <c r="O6" s="92"/>
      <c r="P6" s="92"/>
      <c r="Q6" s="92"/>
      <c r="R6" s="198"/>
      <c r="S6" s="198"/>
      <c r="T6" s="198"/>
      <c r="U6" s="198"/>
      <c r="V6" s="199"/>
      <c r="W6" s="200"/>
      <c r="X6" s="200"/>
      <c r="Y6" s="199"/>
      <c r="Z6" s="200"/>
      <c r="AA6" s="200"/>
      <c r="AB6" s="200"/>
      <c r="AC6" s="199"/>
      <c r="AD6" s="200"/>
      <c r="AE6" s="199"/>
      <c r="AH6" s="202"/>
      <c r="AI6" s="199"/>
      <c r="AL6" s="203"/>
      <c r="AM6" s="203"/>
      <c r="AT6" s="204"/>
      <c r="AU6" s="204"/>
    </row>
    <row r="7" spans="1:47" s="201" customFormat="1" ht="18.75" customHeight="1" x14ac:dyDescent="0.2">
      <c r="A7" s="212" t="s">
        <v>21</v>
      </c>
      <c r="B7" s="213" t="s">
        <v>331</v>
      </c>
      <c r="C7" s="211"/>
      <c r="D7" s="197"/>
      <c r="E7" s="197"/>
      <c r="F7" s="197"/>
      <c r="G7" s="197"/>
      <c r="H7" s="197"/>
      <c r="I7" s="197"/>
      <c r="J7" s="196"/>
      <c r="K7" s="196"/>
      <c r="L7" s="197"/>
      <c r="M7" s="92"/>
      <c r="N7" s="92"/>
      <c r="O7" s="92"/>
      <c r="P7" s="92"/>
      <c r="Q7" s="92"/>
      <c r="R7" s="198"/>
      <c r="S7" s="198"/>
      <c r="T7" s="198"/>
      <c r="U7" s="198"/>
      <c r="V7" s="199"/>
      <c r="W7" s="200"/>
      <c r="X7" s="200"/>
      <c r="Y7" s="199"/>
      <c r="Z7" s="200"/>
      <c r="AA7" s="200"/>
      <c r="AB7" s="200"/>
      <c r="AC7" s="199"/>
      <c r="AD7" s="200"/>
      <c r="AE7" s="199"/>
      <c r="AH7" s="202"/>
      <c r="AI7" s="199"/>
      <c r="AL7" s="203"/>
      <c r="AM7" s="203"/>
      <c r="AT7" s="204"/>
      <c r="AU7" s="204"/>
    </row>
    <row r="8" spans="1:47" s="201" customFormat="1" ht="18.75" customHeight="1" x14ac:dyDescent="0.2">
      <c r="A8" s="214" t="s">
        <v>70</v>
      </c>
      <c r="B8" s="215" t="s">
        <v>332</v>
      </c>
      <c r="C8" s="211"/>
      <c r="D8" s="197"/>
      <c r="E8" s="197"/>
      <c r="F8" s="197"/>
      <c r="G8" s="197"/>
      <c r="H8" s="197"/>
      <c r="I8" s="197"/>
      <c r="J8" s="196"/>
      <c r="K8" s="196"/>
      <c r="L8" s="197"/>
      <c r="M8" s="92"/>
      <c r="N8" s="92"/>
      <c r="O8" s="92"/>
      <c r="P8" s="92"/>
      <c r="Q8" s="92"/>
      <c r="R8" s="198"/>
      <c r="S8" s="198"/>
      <c r="T8" s="198"/>
      <c r="U8" s="198"/>
      <c r="V8" s="199"/>
      <c r="W8" s="200"/>
      <c r="X8" s="200"/>
      <c r="Y8" s="199"/>
      <c r="Z8" s="200"/>
      <c r="AA8" s="200"/>
      <c r="AB8" s="200"/>
      <c r="AC8" s="199"/>
      <c r="AD8" s="200"/>
      <c r="AE8" s="199"/>
      <c r="AH8" s="202"/>
      <c r="AI8" s="199"/>
      <c r="AL8" s="203"/>
      <c r="AM8" s="203"/>
      <c r="AT8" s="204"/>
      <c r="AU8" s="204"/>
    </row>
    <row r="9" spans="1:47" s="201" customFormat="1" ht="18.75" customHeight="1" x14ac:dyDescent="0.2">
      <c r="A9" s="214" t="s">
        <v>71</v>
      </c>
      <c r="B9" s="215" t="s">
        <v>333</v>
      </c>
      <c r="C9" s="211"/>
      <c r="D9" s="197"/>
      <c r="E9" s="197"/>
      <c r="F9" s="197"/>
      <c r="G9" s="197"/>
      <c r="H9" s="197"/>
      <c r="I9" s="197"/>
      <c r="J9" s="196"/>
      <c r="K9" s="196"/>
      <c r="L9" s="197"/>
      <c r="M9" s="92"/>
      <c r="N9" s="92"/>
      <c r="O9" s="92"/>
      <c r="P9" s="92"/>
      <c r="Q9" s="92"/>
      <c r="R9" s="198"/>
      <c r="S9" s="198"/>
      <c r="T9" s="198"/>
      <c r="U9" s="198"/>
      <c r="V9" s="199"/>
      <c r="W9" s="200"/>
      <c r="X9" s="200"/>
      <c r="Y9" s="199"/>
      <c r="Z9" s="200"/>
      <c r="AA9" s="200"/>
      <c r="AB9" s="200"/>
      <c r="AC9" s="199"/>
      <c r="AD9" s="200"/>
      <c r="AE9" s="199"/>
      <c r="AH9" s="202"/>
      <c r="AI9" s="199"/>
      <c r="AL9" s="203"/>
      <c r="AM9" s="203"/>
      <c r="AT9" s="204"/>
      <c r="AU9" s="204"/>
    </row>
    <row r="10" spans="1:47" s="201" customFormat="1" ht="18.75" customHeight="1" x14ac:dyDescent="0.2">
      <c r="A10" s="214" t="s">
        <v>22</v>
      </c>
      <c r="B10" s="215" t="s">
        <v>334</v>
      </c>
      <c r="C10" s="211"/>
      <c r="D10" s="197"/>
      <c r="E10" s="197"/>
      <c r="F10" s="197"/>
      <c r="G10" s="197"/>
      <c r="H10" s="197"/>
      <c r="I10" s="197"/>
      <c r="J10" s="196"/>
      <c r="K10" s="196"/>
      <c r="L10" s="197"/>
      <c r="M10" s="92"/>
      <c r="N10" s="92"/>
      <c r="O10" s="92"/>
      <c r="P10" s="92"/>
      <c r="Q10" s="92"/>
      <c r="R10" s="198"/>
      <c r="S10" s="198"/>
      <c r="T10" s="198"/>
      <c r="U10" s="198"/>
      <c r="V10" s="199"/>
      <c r="W10" s="200"/>
      <c r="X10" s="200"/>
      <c r="Y10" s="199"/>
      <c r="Z10" s="200"/>
      <c r="AA10" s="200"/>
      <c r="AB10" s="200"/>
      <c r="AC10" s="199"/>
      <c r="AD10" s="200"/>
      <c r="AE10" s="199"/>
      <c r="AH10" s="202"/>
      <c r="AI10" s="199"/>
      <c r="AL10" s="203"/>
      <c r="AM10" s="203"/>
      <c r="AT10" s="204"/>
      <c r="AU10" s="204"/>
    </row>
    <row r="11" spans="1:47" s="201" customFormat="1" ht="18.75" customHeight="1" x14ac:dyDescent="0.2">
      <c r="A11" s="214" t="s">
        <v>156</v>
      </c>
      <c r="B11" s="457" t="s">
        <v>335</v>
      </c>
      <c r="C11" s="211"/>
      <c r="D11" s="197"/>
      <c r="E11" s="197"/>
      <c r="F11" s="197"/>
      <c r="G11" s="197"/>
      <c r="H11" s="197"/>
      <c r="I11" s="197"/>
      <c r="J11" s="196"/>
      <c r="K11" s="196"/>
      <c r="L11" s="197"/>
      <c r="M11" s="92"/>
      <c r="N11" s="92"/>
      <c r="O11" s="92"/>
      <c r="P11" s="92"/>
      <c r="Q11" s="92"/>
      <c r="R11" s="198"/>
      <c r="S11" s="198"/>
      <c r="T11" s="198"/>
      <c r="U11" s="198"/>
      <c r="V11" s="199"/>
      <c r="W11" s="200"/>
      <c r="X11" s="200"/>
      <c r="Y11" s="199"/>
      <c r="Z11" s="200"/>
      <c r="AA11" s="200"/>
      <c r="AB11" s="200"/>
      <c r="AC11" s="199"/>
      <c r="AD11" s="200"/>
      <c r="AE11" s="199"/>
      <c r="AH11" s="202"/>
      <c r="AI11" s="199"/>
      <c r="AL11" s="203"/>
      <c r="AM11" s="203"/>
      <c r="AT11" s="204"/>
      <c r="AU11" s="204"/>
    </row>
    <row r="12" spans="1:47" s="201" customFormat="1" ht="18.75" customHeight="1" x14ac:dyDescent="0.2">
      <c r="A12" s="214" t="s">
        <v>157</v>
      </c>
      <c r="B12" s="216" t="s">
        <v>336</v>
      </c>
      <c r="C12" s="211"/>
      <c r="D12" s="197"/>
      <c r="E12" s="197"/>
      <c r="F12" s="197"/>
      <c r="G12" s="197"/>
      <c r="H12" s="197"/>
      <c r="I12" s="197"/>
      <c r="J12" s="196"/>
      <c r="K12" s="196"/>
      <c r="L12" s="197"/>
      <c r="M12" s="92"/>
      <c r="N12" s="92"/>
      <c r="O12" s="92"/>
      <c r="P12" s="92"/>
      <c r="Q12" s="92"/>
      <c r="R12" s="198"/>
      <c r="S12" s="198"/>
      <c r="T12" s="198"/>
      <c r="U12" s="198"/>
      <c r="V12" s="199"/>
      <c r="W12" s="200"/>
      <c r="X12" s="200"/>
      <c r="Y12" s="199"/>
      <c r="Z12" s="200"/>
      <c r="AA12" s="200"/>
      <c r="AB12" s="200"/>
      <c r="AC12" s="199"/>
      <c r="AD12" s="200"/>
      <c r="AE12" s="199"/>
      <c r="AH12" s="202"/>
      <c r="AI12" s="199"/>
      <c r="AL12" s="203"/>
      <c r="AM12" s="203"/>
      <c r="AT12" s="204"/>
      <c r="AU12" s="204"/>
    </row>
    <row r="13" spans="1:47" s="201" customFormat="1" ht="18.75" customHeight="1" x14ac:dyDescent="0.2">
      <c r="B13" s="78"/>
      <c r="C13" s="217"/>
      <c r="D13" s="202"/>
      <c r="E13" s="202"/>
      <c r="F13" s="202"/>
      <c r="G13" s="202"/>
      <c r="H13" s="202"/>
      <c r="I13" s="202"/>
      <c r="J13" s="200"/>
      <c r="K13" s="200"/>
      <c r="L13" s="218"/>
      <c r="M13" s="219"/>
      <c r="N13" s="219"/>
      <c r="O13" s="219"/>
      <c r="P13" s="219"/>
      <c r="Q13" s="219"/>
      <c r="R13" s="198"/>
      <c r="S13" s="198"/>
      <c r="T13" s="198"/>
      <c r="U13" s="199"/>
      <c r="V13" s="200"/>
      <c r="W13" s="199"/>
      <c r="X13" s="199"/>
      <c r="Y13" s="200"/>
      <c r="Z13" s="200"/>
      <c r="AA13" s="200"/>
      <c r="AB13" s="199"/>
      <c r="AC13" s="200"/>
      <c r="AD13" s="199"/>
      <c r="AG13" s="202"/>
      <c r="AH13" s="199"/>
      <c r="AK13" s="203"/>
      <c r="AL13" s="203"/>
      <c r="AS13" s="204"/>
      <c r="AT13" s="204"/>
    </row>
    <row r="14" spans="1:47" s="201" customFormat="1" ht="15.75" customHeight="1" x14ac:dyDescent="0.2">
      <c r="A14" s="546" t="s">
        <v>0</v>
      </c>
      <c r="B14" s="546" t="s">
        <v>122</v>
      </c>
      <c r="C14" s="546" t="s">
        <v>305</v>
      </c>
      <c r="D14" s="413" t="s">
        <v>40</v>
      </c>
      <c r="E14" s="414" t="s">
        <v>41</v>
      </c>
      <c r="F14" s="411" t="s">
        <v>39</v>
      </c>
      <c r="G14" s="414" t="s">
        <v>42</v>
      </c>
      <c r="H14" s="411" t="s">
        <v>43</v>
      </c>
      <c r="I14" s="541" t="s">
        <v>33</v>
      </c>
      <c r="J14" s="414" t="s">
        <v>28</v>
      </c>
      <c r="K14" s="414" t="s">
        <v>29</v>
      </c>
      <c r="L14" s="414" t="s">
        <v>169</v>
      </c>
      <c r="M14" s="541" t="s">
        <v>24</v>
      </c>
      <c r="N14" s="541" t="s">
        <v>307</v>
      </c>
      <c r="O14" s="541" t="s">
        <v>279</v>
      </c>
      <c r="P14" s="543" t="s">
        <v>281</v>
      </c>
      <c r="Q14" s="198"/>
      <c r="R14" s="198"/>
      <c r="S14" s="198"/>
      <c r="T14" s="198"/>
      <c r="U14" s="198"/>
      <c r="V14" s="203"/>
      <c r="X14" s="203"/>
      <c r="AA14" s="203"/>
      <c r="AJ14" s="204"/>
    </row>
    <row r="15" spans="1:47" s="220" customFormat="1" ht="107.25" customHeight="1" x14ac:dyDescent="0.2">
      <c r="A15" s="547"/>
      <c r="B15" s="547"/>
      <c r="C15" s="547"/>
      <c r="D15" s="413" t="s">
        <v>117</v>
      </c>
      <c r="E15" s="413" t="s">
        <v>306</v>
      </c>
      <c r="F15" s="353" t="s">
        <v>282</v>
      </c>
      <c r="G15" s="413" t="s">
        <v>183</v>
      </c>
      <c r="H15" s="415" t="s">
        <v>32</v>
      </c>
      <c r="I15" s="542"/>
      <c r="J15" s="415" t="s">
        <v>44</v>
      </c>
      <c r="K15" s="413" t="s">
        <v>38</v>
      </c>
      <c r="L15" s="413" t="s">
        <v>45</v>
      </c>
      <c r="M15" s="542"/>
      <c r="N15" s="542"/>
      <c r="O15" s="542"/>
      <c r="P15" s="544"/>
      <c r="AA15" s="221"/>
    </row>
    <row r="16" spans="1:47" s="220" customFormat="1" ht="20.25" x14ac:dyDescent="0.2">
      <c r="A16" s="222" t="s">
        <v>17</v>
      </c>
      <c r="B16" s="223"/>
      <c r="C16" s="223"/>
      <c r="D16" s="224"/>
      <c r="E16" s="224"/>
      <c r="F16" s="225"/>
      <c r="G16" s="224"/>
      <c r="H16" s="226"/>
      <c r="I16" s="227"/>
      <c r="J16" s="226"/>
      <c r="K16" s="224"/>
      <c r="L16" s="224"/>
      <c r="M16" s="227"/>
      <c r="N16" s="227"/>
      <c r="O16" s="227"/>
      <c r="P16" s="228"/>
      <c r="AA16" s="221"/>
    </row>
    <row r="17" spans="1:47" s="201" customFormat="1" ht="20.25" x14ac:dyDescent="0.2">
      <c r="A17" s="229" t="s">
        <v>18</v>
      </c>
      <c r="B17" s="230" t="s">
        <v>65</v>
      </c>
      <c r="C17" s="231" t="str">
        <f>B7</f>
        <v>KEY_broadcast_residue</v>
      </c>
      <c r="D17" s="83">
        <v>0.06</v>
      </c>
      <c r="E17" s="232" t="e">
        <f>C17*D17</f>
        <v>#VALUE!</v>
      </c>
      <c r="F17" s="82">
        <v>1E-3</v>
      </c>
      <c r="G17" s="233">
        <v>10</v>
      </c>
      <c r="H17" s="234">
        <v>4</v>
      </c>
      <c r="I17" s="233">
        <v>15</v>
      </c>
      <c r="J17" s="233">
        <f>60/I17</f>
        <v>4</v>
      </c>
      <c r="K17" s="83">
        <v>0.48</v>
      </c>
      <c r="L17" s="233">
        <v>14</v>
      </c>
      <c r="M17" s="83" t="e">
        <f>((E17*F17*G17)*(H17*J17)*(1-((1-K17)^(L17/J17))))</f>
        <v>#VALUE!</v>
      </c>
      <c r="N17" s="232" t="e">
        <f>M17/'TOX and EXPO INPUTS'!$D$27</f>
        <v>#VALUE!</v>
      </c>
      <c r="O17" s="230" t="e">
        <f>'TOX and EXPO INPUTS'!$D$10/N17</f>
        <v>#VALUE!</v>
      </c>
      <c r="P17" s="233" t="e">
        <f>VALUE(TEXT(O17,"0.0E+00"))</f>
        <v>#VALUE!</v>
      </c>
      <c r="Q17" s="198"/>
      <c r="R17" s="198"/>
      <c r="S17" s="198"/>
      <c r="AA17" s="204"/>
    </row>
    <row r="18" spans="1:47" s="201" customFormat="1" ht="20.25" x14ac:dyDescent="0.2">
      <c r="A18" s="229" t="s">
        <v>37</v>
      </c>
      <c r="B18" s="230" t="s">
        <v>65</v>
      </c>
      <c r="C18" s="231" t="str">
        <f>B7</f>
        <v>KEY_broadcast_residue</v>
      </c>
      <c r="D18" s="83">
        <v>0.08</v>
      </c>
      <c r="E18" s="232" t="e">
        <f>C18*D18</f>
        <v>#VALUE!</v>
      </c>
      <c r="F18" s="82">
        <v>1E-3</v>
      </c>
      <c r="G18" s="233">
        <v>10</v>
      </c>
      <c r="H18" s="234">
        <v>2</v>
      </c>
      <c r="I18" s="233">
        <v>15</v>
      </c>
      <c r="J18" s="233">
        <f>60/I18</f>
        <v>4</v>
      </c>
      <c r="K18" s="83">
        <v>0.48</v>
      </c>
      <c r="L18" s="233">
        <v>14</v>
      </c>
      <c r="M18" s="83" t="e">
        <f>((E18*F18*G18)*(H18*J18)*(1-((1-K18)^(L18/J18))))</f>
        <v>#VALUE!</v>
      </c>
      <c r="N18" s="232" t="e">
        <f>M18/'TOX and EXPO INPUTS'!$D$27</f>
        <v>#VALUE!</v>
      </c>
      <c r="O18" s="230" t="e">
        <f>'TOX and EXPO INPUTS'!$D$10/N18</f>
        <v>#VALUE!</v>
      </c>
      <c r="P18" s="233" t="e">
        <f>VALUE(TEXT(O18,"0.0E+00"))</f>
        <v>#VALUE!</v>
      </c>
      <c r="Q18" s="198"/>
      <c r="R18" s="198"/>
      <c r="S18" s="198"/>
      <c r="AA18" s="204"/>
    </row>
    <row r="19" spans="1:47" s="201" customFormat="1" ht="18.75" customHeight="1" x14ac:dyDescent="0.2">
      <c r="A19" s="235" t="s">
        <v>68</v>
      </c>
      <c r="B19" s="223"/>
      <c r="C19" s="223"/>
      <c r="D19" s="224"/>
      <c r="E19" s="224"/>
      <c r="F19" s="225"/>
      <c r="G19" s="224"/>
      <c r="H19" s="226"/>
      <c r="I19" s="227"/>
      <c r="J19" s="226"/>
      <c r="K19" s="224"/>
      <c r="L19" s="224"/>
      <c r="M19" s="227"/>
      <c r="N19" s="227"/>
      <c r="O19" s="227"/>
      <c r="P19" s="227"/>
      <c r="Q19" s="198"/>
      <c r="R19" s="198"/>
      <c r="S19" s="198"/>
      <c r="T19" s="198"/>
      <c r="U19" s="198"/>
      <c r="V19" s="199"/>
      <c r="W19" s="200"/>
      <c r="X19" s="200"/>
      <c r="Y19" s="199"/>
      <c r="Z19" s="200"/>
      <c r="AA19" s="200"/>
      <c r="AB19" s="200"/>
      <c r="AC19" s="199"/>
      <c r="AD19" s="200"/>
      <c r="AE19" s="199"/>
      <c r="AH19" s="202"/>
      <c r="AI19" s="199"/>
      <c r="AL19" s="203"/>
      <c r="AM19" s="203"/>
      <c r="AT19" s="204"/>
      <c r="AU19" s="204"/>
    </row>
    <row r="20" spans="1:47" s="201" customFormat="1" ht="18.75" customHeight="1" x14ac:dyDescent="0.2">
      <c r="A20" s="229" t="s">
        <v>18</v>
      </c>
      <c r="B20" s="230" t="s">
        <v>65</v>
      </c>
      <c r="C20" s="231" t="str">
        <f>B8</f>
        <v>KEY_coarse_residue</v>
      </c>
      <c r="D20" s="83">
        <v>0.06</v>
      </c>
      <c r="E20" s="232" t="e">
        <f>C20*D20</f>
        <v>#VALUE!</v>
      </c>
      <c r="F20" s="82">
        <v>1E-3</v>
      </c>
      <c r="G20" s="233">
        <v>10</v>
      </c>
      <c r="H20" s="234">
        <v>4</v>
      </c>
      <c r="I20" s="233">
        <v>15</v>
      </c>
      <c r="J20" s="233">
        <f>60/I20</f>
        <v>4</v>
      </c>
      <c r="K20" s="83">
        <v>0.48</v>
      </c>
      <c r="L20" s="233">
        <v>14</v>
      </c>
      <c r="M20" s="83" t="e">
        <f>((E20*F20*G20)*(H20*J20)*(1-((1-K20)^(L20/J20))))</f>
        <v>#VALUE!</v>
      </c>
      <c r="N20" s="232" t="e">
        <f>M20/'TOX and EXPO INPUTS'!$D$27</f>
        <v>#VALUE!</v>
      </c>
      <c r="O20" s="230" t="e">
        <f>'TOX and EXPO INPUTS'!$D$10/N20</f>
        <v>#VALUE!</v>
      </c>
      <c r="P20" s="233" t="e">
        <f>VALUE(TEXT(O20,"0.0E+00"))</f>
        <v>#VALUE!</v>
      </c>
      <c r="Q20" s="198"/>
      <c r="R20" s="198"/>
      <c r="S20" s="198"/>
      <c r="T20" s="198"/>
      <c r="U20" s="198"/>
      <c r="V20" s="199"/>
      <c r="W20" s="200"/>
      <c r="X20" s="200"/>
      <c r="Y20" s="199"/>
      <c r="Z20" s="200"/>
      <c r="AA20" s="200"/>
      <c r="AB20" s="200"/>
      <c r="AC20" s="199"/>
      <c r="AD20" s="200"/>
      <c r="AE20" s="199"/>
      <c r="AH20" s="202"/>
      <c r="AI20" s="199"/>
      <c r="AL20" s="203"/>
      <c r="AM20" s="203"/>
      <c r="AT20" s="204"/>
      <c r="AU20" s="204"/>
    </row>
    <row r="21" spans="1:47" s="201" customFormat="1" ht="18.75" customHeight="1" x14ac:dyDescent="0.2">
      <c r="A21" s="229" t="s">
        <v>37</v>
      </c>
      <c r="B21" s="230" t="s">
        <v>65</v>
      </c>
      <c r="C21" s="231" t="str">
        <f>B8</f>
        <v>KEY_coarse_residue</v>
      </c>
      <c r="D21" s="83">
        <v>0.08</v>
      </c>
      <c r="E21" s="232" t="e">
        <f>C21*D21</f>
        <v>#VALUE!</v>
      </c>
      <c r="F21" s="82">
        <v>1E-3</v>
      </c>
      <c r="G21" s="233">
        <v>10</v>
      </c>
      <c r="H21" s="234">
        <v>2</v>
      </c>
      <c r="I21" s="233">
        <v>15</v>
      </c>
      <c r="J21" s="233">
        <f>60/I21</f>
        <v>4</v>
      </c>
      <c r="K21" s="83">
        <v>0.48</v>
      </c>
      <c r="L21" s="233">
        <v>14</v>
      </c>
      <c r="M21" s="83" t="e">
        <f>((E21*F21*G21)*(H21*J21)*(1-((1-K21)^(L21/J21))))</f>
        <v>#VALUE!</v>
      </c>
      <c r="N21" s="232" t="e">
        <f>M21/'TOX and EXPO INPUTS'!$D$27</f>
        <v>#VALUE!</v>
      </c>
      <c r="O21" s="230" t="e">
        <f>'TOX and EXPO INPUTS'!$D$10/N21</f>
        <v>#VALUE!</v>
      </c>
      <c r="P21" s="233" t="e">
        <f>VALUE(TEXT(O21,"0.0E+00"))</f>
        <v>#VALUE!</v>
      </c>
      <c r="Q21" s="198"/>
      <c r="R21" s="198"/>
      <c r="S21" s="198"/>
      <c r="T21" s="198"/>
      <c r="U21" s="198"/>
      <c r="V21" s="199"/>
      <c r="W21" s="200"/>
      <c r="X21" s="200"/>
      <c r="Y21" s="199"/>
      <c r="Z21" s="200"/>
      <c r="AA21" s="200"/>
      <c r="AB21" s="200"/>
      <c r="AC21" s="199"/>
      <c r="AD21" s="200"/>
      <c r="AE21" s="199"/>
      <c r="AH21" s="202"/>
      <c r="AI21" s="199"/>
      <c r="AL21" s="203"/>
      <c r="AM21" s="203"/>
      <c r="AT21" s="204"/>
      <c r="AU21" s="204"/>
    </row>
    <row r="22" spans="1:47" s="201" customFormat="1" ht="18.75" customHeight="1" x14ac:dyDescent="0.2">
      <c r="A22" s="235" t="s">
        <v>69</v>
      </c>
      <c r="B22" s="223"/>
      <c r="C22" s="223"/>
      <c r="D22" s="224"/>
      <c r="E22" s="224"/>
      <c r="F22" s="225"/>
      <c r="G22" s="224"/>
      <c r="H22" s="226"/>
      <c r="I22" s="227"/>
      <c r="J22" s="226"/>
      <c r="K22" s="224"/>
      <c r="L22" s="224"/>
      <c r="M22" s="227"/>
      <c r="N22" s="227"/>
      <c r="O22" s="227"/>
      <c r="P22" s="227"/>
      <c r="Q22" s="198"/>
      <c r="R22" s="198"/>
      <c r="S22" s="198"/>
      <c r="T22" s="198"/>
      <c r="U22" s="198"/>
      <c r="V22" s="199"/>
      <c r="W22" s="200"/>
      <c r="X22" s="200"/>
      <c r="Y22" s="199"/>
      <c r="Z22" s="200"/>
      <c r="AA22" s="200"/>
      <c r="AB22" s="200"/>
      <c r="AC22" s="199"/>
      <c r="AD22" s="200"/>
      <c r="AE22" s="199"/>
      <c r="AH22" s="202"/>
      <c r="AI22" s="199"/>
      <c r="AL22" s="203"/>
      <c r="AM22" s="203"/>
      <c r="AT22" s="204"/>
      <c r="AU22" s="204"/>
    </row>
    <row r="23" spans="1:47" s="201" customFormat="1" ht="18.75" customHeight="1" x14ac:dyDescent="0.2">
      <c r="A23" s="229" t="s">
        <v>18</v>
      </c>
      <c r="B23" s="230" t="s">
        <v>65</v>
      </c>
      <c r="C23" s="231" t="str">
        <f>B9</f>
        <v>KEY_pin_stream_residue</v>
      </c>
      <c r="D23" s="83">
        <v>0.06</v>
      </c>
      <c r="E23" s="232" t="e">
        <f>C23*D23</f>
        <v>#VALUE!</v>
      </c>
      <c r="F23" s="82">
        <v>1E-3</v>
      </c>
      <c r="G23" s="233">
        <v>10</v>
      </c>
      <c r="H23" s="234">
        <v>4</v>
      </c>
      <c r="I23" s="233">
        <v>15</v>
      </c>
      <c r="J23" s="233">
        <f>60/I23</f>
        <v>4</v>
      </c>
      <c r="K23" s="83">
        <v>0.48</v>
      </c>
      <c r="L23" s="233">
        <v>14</v>
      </c>
      <c r="M23" s="83" t="e">
        <f>((E23*F23*G23)*(H23*J23)*(1-((1-K23)^(L23/J23))))</f>
        <v>#VALUE!</v>
      </c>
      <c r="N23" s="232" t="e">
        <f>M23/'TOX and EXPO INPUTS'!$D$27</f>
        <v>#VALUE!</v>
      </c>
      <c r="O23" s="230" t="e">
        <f>'TOX and EXPO INPUTS'!$D$10/N23</f>
        <v>#VALUE!</v>
      </c>
      <c r="P23" s="233" t="e">
        <f>VALUE(TEXT(O23,"0.0E+00"))</f>
        <v>#VALUE!</v>
      </c>
      <c r="Q23" s="198"/>
      <c r="R23" s="198"/>
      <c r="S23" s="198"/>
      <c r="T23" s="198"/>
      <c r="U23" s="198"/>
      <c r="V23" s="199"/>
      <c r="W23" s="200"/>
      <c r="X23" s="200"/>
      <c r="Y23" s="199"/>
      <c r="Z23" s="200"/>
      <c r="AA23" s="200"/>
      <c r="AB23" s="200"/>
      <c r="AC23" s="199"/>
      <c r="AD23" s="200"/>
      <c r="AE23" s="199"/>
      <c r="AH23" s="202"/>
      <c r="AI23" s="199"/>
      <c r="AL23" s="203"/>
      <c r="AM23" s="203"/>
      <c r="AT23" s="204"/>
      <c r="AU23" s="204"/>
    </row>
    <row r="24" spans="1:47" s="201" customFormat="1" ht="18.75" customHeight="1" x14ac:dyDescent="0.2">
      <c r="A24" s="229" t="s">
        <v>37</v>
      </c>
      <c r="B24" s="230" t="s">
        <v>65</v>
      </c>
      <c r="C24" s="231" t="str">
        <f>B9</f>
        <v>KEY_pin_stream_residue</v>
      </c>
      <c r="D24" s="83">
        <v>0.08</v>
      </c>
      <c r="E24" s="232" t="e">
        <f>C24*D24</f>
        <v>#VALUE!</v>
      </c>
      <c r="F24" s="82">
        <v>1E-3</v>
      </c>
      <c r="G24" s="233">
        <v>10</v>
      </c>
      <c r="H24" s="234">
        <v>2</v>
      </c>
      <c r="I24" s="233">
        <v>15</v>
      </c>
      <c r="J24" s="233">
        <f>60/I24</f>
        <v>4</v>
      </c>
      <c r="K24" s="83">
        <v>0.48</v>
      </c>
      <c r="L24" s="233">
        <v>14</v>
      </c>
      <c r="M24" s="83" t="e">
        <f>((E24*F24*G24)*(H24*J24)*(1-((1-K24)^(L24/J24))))</f>
        <v>#VALUE!</v>
      </c>
      <c r="N24" s="232" t="e">
        <f>M24/'TOX and EXPO INPUTS'!$D$27</f>
        <v>#VALUE!</v>
      </c>
      <c r="O24" s="230" t="e">
        <f>'TOX and EXPO INPUTS'!$D$10/N24</f>
        <v>#VALUE!</v>
      </c>
      <c r="P24" s="233" t="e">
        <f>VALUE(TEXT(O24,"0.0E+00"))</f>
        <v>#VALUE!</v>
      </c>
      <c r="Q24" s="198"/>
      <c r="R24" s="198"/>
      <c r="S24" s="198"/>
      <c r="T24" s="198"/>
      <c r="U24" s="198"/>
      <c r="V24" s="199"/>
      <c r="W24" s="200"/>
      <c r="X24" s="200"/>
      <c r="Y24" s="199"/>
      <c r="Z24" s="200"/>
      <c r="AA24" s="200"/>
      <c r="AB24" s="200"/>
      <c r="AC24" s="199"/>
      <c r="AD24" s="200"/>
      <c r="AE24" s="199"/>
      <c r="AH24" s="202"/>
      <c r="AI24" s="199"/>
      <c r="AL24" s="203"/>
      <c r="AM24" s="203"/>
      <c r="AT24" s="204"/>
      <c r="AU24" s="204"/>
    </row>
    <row r="25" spans="1:47" s="201" customFormat="1" ht="18.75" customHeight="1" x14ac:dyDescent="0.2">
      <c r="A25" s="235" t="s">
        <v>20</v>
      </c>
      <c r="B25" s="223"/>
      <c r="C25" s="223"/>
      <c r="D25" s="224"/>
      <c r="E25" s="224"/>
      <c r="F25" s="225"/>
      <c r="G25" s="224"/>
      <c r="H25" s="226"/>
      <c r="I25" s="227"/>
      <c r="J25" s="226"/>
      <c r="K25" s="224"/>
      <c r="L25" s="224"/>
      <c r="M25" s="227"/>
      <c r="N25" s="227"/>
      <c r="O25" s="227"/>
      <c r="P25" s="227"/>
      <c r="Q25" s="198"/>
      <c r="R25" s="198"/>
      <c r="S25" s="198"/>
      <c r="T25" s="198"/>
      <c r="U25" s="198"/>
      <c r="V25" s="199"/>
      <c r="W25" s="200"/>
      <c r="X25" s="200"/>
      <c r="Y25" s="199"/>
      <c r="Z25" s="200"/>
      <c r="AA25" s="200"/>
      <c r="AB25" s="200"/>
      <c r="AC25" s="199"/>
      <c r="AD25" s="200"/>
      <c r="AE25" s="199"/>
      <c r="AH25" s="202"/>
      <c r="AI25" s="199"/>
      <c r="AL25" s="203"/>
      <c r="AM25" s="203"/>
      <c r="AT25" s="204"/>
      <c r="AU25" s="204"/>
    </row>
    <row r="26" spans="1:47" s="201" customFormat="1" ht="18.75" customHeight="1" x14ac:dyDescent="0.2">
      <c r="A26" s="229" t="s">
        <v>18</v>
      </c>
      <c r="B26" s="230" t="s">
        <v>65</v>
      </c>
      <c r="C26" s="231" t="str">
        <f>B10</f>
        <v>KEY_crack_and_crevice_residue</v>
      </c>
      <c r="D26" s="83">
        <v>0.06</v>
      </c>
      <c r="E26" s="232" t="e">
        <f>C26*D26</f>
        <v>#VALUE!</v>
      </c>
      <c r="F26" s="82">
        <v>1E-3</v>
      </c>
      <c r="G26" s="233">
        <v>10</v>
      </c>
      <c r="H26" s="234">
        <v>4</v>
      </c>
      <c r="I26" s="233">
        <v>15</v>
      </c>
      <c r="J26" s="233">
        <f>60/I26</f>
        <v>4</v>
      </c>
      <c r="K26" s="83">
        <v>0.48</v>
      </c>
      <c r="L26" s="233">
        <v>14</v>
      </c>
      <c r="M26" s="83" t="e">
        <f>((E26*F26*G26)*(H26*J26)*(1-((1-K26)^(L26/J26))))</f>
        <v>#VALUE!</v>
      </c>
      <c r="N26" s="232" t="e">
        <f>M26/'TOX and EXPO INPUTS'!$D$27</f>
        <v>#VALUE!</v>
      </c>
      <c r="O26" s="230" t="e">
        <f>'TOX and EXPO INPUTS'!$D$10/N26</f>
        <v>#VALUE!</v>
      </c>
      <c r="P26" s="233" t="e">
        <f>VALUE(TEXT(O26,"0.0E+00"))</f>
        <v>#VALUE!</v>
      </c>
      <c r="Q26" s="198"/>
      <c r="R26" s="198"/>
      <c r="S26" s="198"/>
      <c r="T26" s="198"/>
      <c r="U26" s="198"/>
      <c r="V26" s="199"/>
      <c r="W26" s="200"/>
      <c r="X26" s="200"/>
      <c r="Y26" s="199"/>
      <c r="Z26" s="200"/>
      <c r="AA26" s="200"/>
      <c r="AB26" s="200"/>
      <c r="AC26" s="199"/>
      <c r="AD26" s="200"/>
      <c r="AE26" s="199"/>
      <c r="AH26" s="202"/>
      <c r="AI26" s="199"/>
      <c r="AL26" s="203"/>
      <c r="AM26" s="203"/>
      <c r="AT26" s="204"/>
      <c r="AU26" s="204"/>
    </row>
    <row r="27" spans="1:47" s="201" customFormat="1" ht="18.75" customHeight="1" x14ac:dyDescent="0.2">
      <c r="A27" s="229" t="s">
        <v>37</v>
      </c>
      <c r="B27" s="230" t="s">
        <v>65</v>
      </c>
      <c r="C27" s="231" t="str">
        <f>B10</f>
        <v>KEY_crack_and_crevice_residue</v>
      </c>
      <c r="D27" s="83">
        <v>0.08</v>
      </c>
      <c r="E27" s="232" t="e">
        <f>C27*D27</f>
        <v>#VALUE!</v>
      </c>
      <c r="F27" s="82">
        <v>1E-3</v>
      </c>
      <c r="G27" s="233">
        <v>10</v>
      </c>
      <c r="H27" s="234">
        <v>2</v>
      </c>
      <c r="I27" s="233">
        <v>15</v>
      </c>
      <c r="J27" s="233">
        <f>60/I27</f>
        <v>4</v>
      </c>
      <c r="K27" s="83">
        <v>0.48</v>
      </c>
      <c r="L27" s="233">
        <v>14</v>
      </c>
      <c r="M27" s="83" t="e">
        <f>((E27*F27*G27)*(H27*J27)*(1-((1-K27)^(L27/J27))))</f>
        <v>#VALUE!</v>
      </c>
      <c r="N27" s="232" t="e">
        <f>M27/'TOX and EXPO INPUTS'!$D$27</f>
        <v>#VALUE!</v>
      </c>
      <c r="O27" s="230" t="e">
        <f>'TOX and EXPO INPUTS'!$D$10/N27</f>
        <v>#VALUE!</v>
      </c>
      <c r="P27" s="233" t="e">
        <f>VALUE(TEXT(O27,"0.0E+00"))</f>
        <v>#VALUE!</v>
      </c>
      <c r="Q27" s="198"/>
      <c r="R27" s="198"/>
      <c r="S27" s="198"/>
      <c r="T27" s="198"/>
      <c r="U27" s="198"/>
      <c r="V27" s="199"/>
      <c r="W27" s="200"/>
      <c r="X27" s="200"/>
      <c r="Y27" s="199"/>
      <c r="Z27" s="200"/>
      <c r="AA27" s="200"/>
      <c r="AB27" s="200"/>
      <c r="AC27" s="199"/>
      <c r="AD27" s="200"/>
      <c r="AE27" s="199"/>
      <c r="AH27" s="202"/>
      <c r="AI27" s="199"/>
      <c r="AL27" s="203"/>
      <c r="AM27" s="203"/>
      <c r="AT27" s="204"/>
      <c r="AU27" s="204"/>
    </row>
    <row r="28" spans="1:47" s="201" customFormat="1" ht="18.75" customHeight="1" x14ac:dyDescent="0.2">
      <c r="A28" s="235" t="s">
        <v>158</v>
      </c>
      <c r="B28" s="223"/>
      <c r="C28" s="223"/>
      <c r="D28" s="224"/>
      <c r="E28" s="224"/>
      <c r="F28" s="225"/>
      <c r="G28" s="224"/>
      <c r="H28" s="226"/>
      <c r="I28" s="227"/>
      <c r="J28" s="226"/>
      <c r="K28" s="224"/>
      <c r="L28" s="224"/>
      <c r="M28" s="227"/>
      <c r="N28" s="227"/>
      <c r="O28" s="227"/>
      <c r="P28" s="227"/>
      <c r="Q28" s="198"/>
      <c r="R28" s="198"/>
      <c r="S28" s="198"/>
      <c r="T28" s="198"/>
      <c r="U28" s="198"/>
      <c r="V28" s="199"/>
      <c r="W28" s="200"/>
      <c r="X28" s="200"/>
      <c r="Y28" s="199"/>
      <c r="Z28" s="200"/>
      <c r="AA28" s="200"/>
      <c r="AB28" s="200"/>
      <c r="AC28" s="199"/>
      <c r="AD28" s="200"/>
      <c r="AE28" s="199"/>
      <c r="AH28" s="202"/>
      <c r="AI28" s="199"/>
      <c r="AL28" s="203"/>
      <c r="AM28" s="203"/>
      <c r="AT28" s="204"/>
      <c r="AU28" s="204"/>
    </row>
    <row r="29" spans="1:47" s="201" customFormat="1" ht="18.75" customHeight="1" x14ac:dyDescent="0.2">
      <c r="A29" s="229" t="s">
        <v>18</v>
      </c>
      <c r="B29" s="230" t="s">
        <v>65</v>
      </c>
      <c r="C29" s="231" t="str">
        <f>B11</f>
        <v>KEY_foggers_residue</v>
      </c>
      <c r="D29" s="83">
        <v>0.06</v>
      </c>
      <c r="E29" s="232" t="e">
        <f>C29*D29</f>
        <v>#VALUE!</v>
      </c>
      <c r="F29" s="82">
        <v>1E-3</v>
      </c>
      <c r="G29" s="233">
        <v>10</v>
      </c>
      <c r="H29" s="234">
        <v>4</v>
      </c>
      <c r="I29" s="233">
        <v>15</v>
      </c>
      <c r="J29" s="233">
        <f>60/I29</f>
        <v>4</v>
      </c>
      <c r="K29" s="83">
        <v>0.48</v>
      </c>
      <c r="L29" s="233">
        <v>14</v>
      </c>
      <c r="M29" s="83" t="e">
        <f>((E29*F29*G29)*(H29*J29)*(1-((1-K29)^(L29/J29))))</f>
        <v>#VALUE!</v>
      </c>
      <c r="N29" s="232" t="e">
        <f>M29/'TOX and EXPO INPUTS'!$D$27</f>
        <v>#VALUE!</v>
      </c>
      <c r="O29" s="230" t="e">
        <f>'TOX and EXPO INPUTS'!$D$10/N29</f>
        <v>#VALUE!</v>
      </c>
      <c r="P29" s="233" t="e">
        <f>VALUE(TEXT(O29,"0.0E+00"))</f>
        <v>#VALUE!</v>
      </c>
      <c r="Q29" s="198"/>
      <c r="R29" s="198"/>
      <c r="S29" s="198"/>
      <c r="T29" s="198"/>
      <c r="U29" s="198"/>
      <c r="V29" s="199"/>
      <c r="W29" s="200"/>
      <c r="X29" s="200"/>
      <c r="Y29" s="199"/>
      <c r="Z29" s="200"/>
      <c r="AA29" s="200"/>
      <c r="AB29" s="200"/>
      <c r="AC29" s="199"/>
      <c r="AD29" s="200"/>
      <c r="AE29" s="199"/>
      <c r="AH29" s="202"/>
      <c r="AI29" s="199"/>
      <c r="AL29" s="203"/>
      <c r="AM29" s="203"/>
      <c r="AT29" s="204"/>
      <c r="AU29" s="204"/>
    </row>
    <row r="30" spans="1:47" s="201" customFormat="1" ht="18.75" customHeight="1" x14ac:dyDescent="0.2">
      <c r="A30" s="229" t="s">
        <v>37</v>
      </c>
      <c r="B30" s="230" t="s">
        <v>65</v>
      </c>
      <c r="C30" s="231" t="str">
        <f>B11</f>
        <v>KEY_foggers_residue</v>
      </c>
      <c r="D30" s="83">
        <v>0.08</v>
      </c>
      <c r="E30" s="232" t="e">
        <f>C30*D30</f>
        <v>#VALUE!</v>
      </c>
      <c r="F30" s="82">
        <v>1E-3</v>
      </c>
      <c r="G30" s="233">
        <v>10</v>
      </c>
      <c r="H30" s="234">
        <v>2</v>
      </c>
      <c r="I30" s="233">
        <v>15</v>
      </c>
      <c r="J30" s="233">
        <f>60/I30</f>
        <v>4</v>
      </c>
      <c r="K30" s="83">
        <v>0.48</v>
      </c>
      <c r="L30" s="233">
        <v>14</v>
      </c>
      <c r="M30" s="83" t="e">
        <f>((E30*F30*G30)*(H30*J30)*(1-((1-K30)^(L30/J30))))</f>
        <v>#VALUE!</v>
      </c>
      <c r="N30" s="232" t="e">
        <f>M30/'TOX and EXPO INPUTS'!$D$27</f>
        <v>#VALUE!</v>
      </c>
      <c r="O30" s="230" t="e">
        <f>'TOX and EXPO INPUTS'!$D$10/N30</f>
        <v>#VALUE!</v>
      </c>
      <c r="P30" s="233" t="e">
        <f>VALUE(TEXT(O30,"0.0E+00"))</f>
        <v>#VALUE!</v>
      </c>
      <c r="Q30" s="198"/>
      <c r="R30" s="198"/>
      <c r="S30" s="198"/>
      <c r="T30" s="198"/>
      <c r="U30" s="198"/>
      <c r="V30" s="199"/>
      <c r="W30" s="200"/>
      <c r="X30" s="200"/>
      <c r="Y30" s="199"/>
      <c r="Z30" s="200"/>
      <c r="AA30" s="200"/>
      <c r="AB30" s="200"/>
      <c r="AC30" s="199"/>
      <c r="AD30" s="200"/>
      <c r="AE30" s="199"/>
      <c r="AH30" s="202"/>
      <c r="AI30" s="199"/>
      <c r="AL30" s="203"/>
      <c r="AM30" s="203"/>
      <c r="AT30" s="204"/>
      <c r="AU30" s="204"/>
    </row>
    <row r="31" spans="1:47" s="201" customFormat="1" ht="18.75" customHeight="1" x14ac:dyDescent="0.2">
      <c r="A31" s="235" t="s">
        <v>159</v>
      </c>
      <c r="B31" s="223"/>
      <c r="C31" s="223"/>
      <c r="D31" s="224"/>
      <c r="E31" s="224"/>
      <c r="F31" s="225"/>
      <c r="G31" s="224"/>
      <c r="H31" s="226"/>
      <c r="I31" s="227"/>
      <c r="J31" s="226"/>
      <c r="K31" s="224"/>
      <c r="L31" s="224"/>
      <c r="M31" s="227"/>
      <c r="N31" s="227"/>
      <c r="O31" s="227"/>
      <c r="P31" s="227"/>
      <c r="Q31" s="198"/>
      <c r="R31" s="198"/>
      <c r="S31" s="198"/>
      <c r="T31" s="198"/>
      <c r="U31" s="198"/>
      <c r="V31" s="199"/>
      <c r="W31" s="200"/>
      <c r="X31" s="200"/>
      <c r="Y31" s="199"/>
      <c r="Z31" s="200"/>
      <c r="AA31" s="200"/>
      <c r="AB31" s="200"/>
      <c r="AC31" s="199"/>
      <c r="AD31" s="200"/>
      <c r="AE31" s="199"/>
      <c r="AH31" s="202"/>
      <c r="AI31" s="199"/>
      <c r="AL31" s="203"/>
      <c r="AM31" s="203"/>
      <c r="AT31" s="204"/>
      <c r="AU31" s="204"/>
    </row>
    <row r="32" spans="1:47" s="201" customFormat="1" ht="18.75" customHeight="1" x14ac:dyDescent="0.2">
      <c r="A32" s="229" t="s">
        <v>18</v>
      </c>
      <c r="B32" s="230" t="s">
        <v>65</v>
      </c>
      <c r="C32" s="231" t="str">
        <f>B12</f>
        <v>KEY_space_sprays_residue</v>
      </c>
      <c r="D32" s="83">
        <v>0.06</v>
      </c>
      <c r="E32" s="232" t="e">
        <f>C32*D32</f>
        <v>#VALUE!</v>
      </c>
      <c r="F32" s="82">
        <v>1E-3</v>
      </c>
      <c r="G32" s="233">
        <v>10</v>
      </c>
      <c r="H32" s="234">
        <v>4</v>
      </c>
      <c r="I32" s="233">
        <v>15</v>
      </c>
      <c r="J32" s="233">
        <f>60/I32</f>
        <v>4</v>
      </c>
      <c r="K32" s="83">
        <v>0.48</v>
      </c>
      <c r="L32" s="233">
        <v>14</v>
      </c>
      <c r="M32" s="83" t="e">
        <f>((E32*F32*G32)*(H32*J32)*(1-((1-K32)^(L32/J32))))</f>
        <v>#VALUE!</v>
      </c>
      <c r="N32" s="232" t="e">
        <f>M32/'TOX and EXPO INPUTS'!$D$27</f>
        <v>#VALUE!</v>
      </c>
      <c r="O32" s="230" t="e">
        <f>'TOX and EXPO INPUTS'!$D$10/N32</f>
        <v>#VALUE!</v>
      </c>
      <c r="P32" s="233" t="e">
        <f>VALUE(TEXT(O32,"0.0E+00"))</f>
        <v>#VALUE!</v>
      </c>
      <c r="Q32" s="198"/>
      <c r="R32" s="198"/>
      <c r="S32" s="198"/>
      <c r="T32" s="198"/>
      <c r="U32" s="198"/>
      <c r="V32" s="199"/>
      <c r="W32" s="200"/>
      <c r="X32" s="200"/>
      <c r="Y32" s="199"/>
      <c r="Z32" s="200"/>
      <c r="AA32" s="200"/>
      <c r="AB32" s="200"/>
      <c r="AC32" s="199"/>
      <c r="AD32" s="200"/>
      <c r="AE32" s="199"/>
      <c r="AH32" s="202"/>
      <c r="AI32" s="199"/>
      <c r="AL32" s="203"/>
      <c r="AM32" s="203"/>
      <c r="AT32" s="204"/>
      <c r="AU32" s="204"/>
    </row>
    <row r="33" spans="1:47" s="201" customFormat="1" ht="18.75" customHeight="1" x14ac:dyDescent="0.2">
      <c r="A33" s="229" t="s">
        <v>37</v>
      </c>
      <c r="B33" s="230" t="s">
        <v>65</v>
      </c>
      <c r="C33" s="231" t="str">
        <f>B12</f>
        <v>KEY_space_sprays_residue</v>
      </c>
      <c r="D33" s="83">
        <v>0.08</v>
      </c>
      <c r="E33" s="232" t="e">
        <f>C33*D33</f>
        <v>#VALUE!</v>
      </c>
      <c r="F33" s="82">
        <v>1E-3</v>
      </c>
      <c r="G33" s="233">
        <v>10</v>
      </c>
      <c r="H33" s="234">
        <v>2</v>
      </c>
      <c r="I33" s="233">
        <v>15</v>
      </c>
      <c r="J33" s="233">
        <f>60/I33</f>
        <v>4</v>
      </c>
      <c r="K33" s="83">
        <v>0.48</v>
      </c>
      <c r="L33" s="233">
        <v>14</v>
      </c>
      <c r="M33" s="83" t="e">
        <f>((E33*F33*G33)*(H33*J33)*(1-((1-K33)^(L33/J33))))</f>
        <v>#VALUE!</v>
      </c>
      <c r="N33" s="232" t="e">
        <f>M33/'TOX and EXPO INPUTS'!$D$27</f>
        <v>#VALUE!</v>
      </c>
      <c r="O33" s="230" t="e">
        <f>'TOX and EXPO INPUTS'!$D$10/N33</f>
        <v>#VALUE!</v>
      </c>
      <c r="P33" s="233" t="e">
        <f>VALUE(TEXT(O33,"0.0E+00"))</f>
        <v>#VALUE!</v>
      </c>
      <c r="Q33" s="198"/>
      <c r="R33" s="198"/>
      <c r="S33" s="198"/>
      <c r="T33" s="198"/>
      <c r="U33" s="198"/>
      <c r="V33" s="199"/>
      <c r="W33" s="200"/>
      <c r="X33" s="200"/>
      <c r="Y33" s="199"/>
      <c r="Z33" s="200"/>
      <c r="AA33" s="200"/>
      <c r="AB33" s="200"/>
      <c r="AC33" s="199"/>
      <c r="AD33" s="200"/>
      <c r="AE33" s="199"/>
      <c r="AH33" s="202"/>
      <c r="AI33" s="199"/>
      <c r="AL33" s="203"/>
      <c r="AM33" s="203"/>
      <c r="AT33" s="204"/>
      <c r="AU33" s="204"/>
    </row>
  </sheetData>
  <mergeCells count="10">
    <mergeCell ref="O14:O15"/>
    <mergeCell ref="P14:P15"/>
    <mergeCell ref="M1:N1"/>
    <mergeCell ref="O1:P1"/>
    <mergeCell ref="A14:A15"/>
    <mergeCell ref="B14:B15"/>
    <mergeCell ref="C14:C15"/>
    <mergeCell ref="I14:I15"/>
    <mergeCell ref="M14:M15"/>
    <mergeCell ref="N14:N15"/>
  </mergeCells>
  <phoneticPr fontId="3" type="noConversion"/>
  <conditionalFormatting sqref="P17:P18 P20:P21 P23:P24 P26:P27 P29:P30 P32:P33">
    <cfRule type="cellIs" dxfId="0" priority="1" stopIfTrue="1" operator="lessThan">
      <formula>$H$2</formula>
    </cfRule>
  </conditionalFormatting>
  <pageMargins left="0.17" right="0.17" top="1" bottom="1" header="0.5" footer="0.5"/>
  <pageSetup scale="46" fitToHeight="5" orientation="landscape" horizontalDpi="4294967294"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TOX and EXPO INPUTS</vt:lpstr>
      <vt:lpstr>Inhalation_space spray</vt:lpstr>
      <vt:lpstr>Particle Settling Time</vt:lpstr>
      <vt:lpstr>Inhalation - surface directed</vt:lpstr>
      <vt:lpstr>Deposited residue</vt:lpstr>
      <vt:lpstr>Indoor - dermal</vt:lpstr>
      <vt:lpstr>Indoor - HTM</vt:lpstr>
      <vt:lpstr>Indoor - OTM</vt:lpstr>
      <vt:lpstr>options</vt:lpstr>
      <vt:lpstr>'Indoor - HTM'!Print_Area</vt:lpstr>
      <vt:lpstr>'Indoor - OTM'!Print_Area</vt:lpstr>
    </vt:vector>
  </TitlesOfParts>
  <Company>EPA OPP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Kelly Lowe</dc:creator>
  <cp:lastModifiedBy>Dev</cp:lastModifiedBy>
  <cp:lastPrinted>2012-04-19T14:38:44Z</cp:lastPrinted>
  <dcterms:created xsi:type="dcterms:W3CDTF">2009-03-03T19:45:35Z</dcterms:created>
  <dcterms:modified xsi:type="dcterms:W3CDTF">2013-06-21T14:19:28Z</dcterms:modified>
</cp:coreProperties>
</file>