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CARES\2012 SOP\"/>
    </mc:Choice>
  </mc:AlternateContent>
  <bookViews>
    <workbookView xWindow="8745" yWindow="15" windowWidth="10335" windowHeight="10005" tabRatio="860"/>
  </bookViews>
  <sheets>
    <sheet name="TOX and EXPO INPUTS" sheetId="19" r:id="rId1"/>
    <sheet name="OASS Postapp" sheetId="31" r:id="rId2"/>
    <sheet name="CCTM Postapp" sheetId="26" r:id="rId3"/>
    <sheet name="ORMS Postapp" sheetId="27" r:id="rId4"/>
    <sheet name="Animal Barn Postapp" sheetId="3" r:id="rId5"/>
  </sheets>
  <definedNames>
    <definedName name="No">'ORMS Postapp'!#REF!</definedName>
    <definedName name="yes_no">'ORMS Postapp'!#REF!</definedName>
  </definedNames>
  <calcPr calcId="152511" iterateDelta="1E-4"/>
</workbook>
</file>

<file path=xl/calcChain.xml><?xml version="1.0" encoding="utf-8"?>
<calcChain xmlns="http://schemas.openxmlformats.org/spreadsheetml/2006/main">
  <c r="C34" i="3" l="1"/>
  <c r="C35" i="27" l="1"/>
  <c r="B33" i="27" l="1"/>
  <c r="B35" i="27"/>
  <c r="B31" i="27"/>
  <c r="B29" i="27"/>
  <c r="B15" i="27"/>
  <c r="B11" i="27"/>
  <c r="B32" i="3"/>
  <c r="B28" i="3"/>
  <c r="B15" i="3"/>
  <c r="B11" i="3"/>
  <c r="B22" i="31" l="1"/>
  <c r="C22" i="31"/>
  <c r="C31" i="27" l="1"/>
  <c r="B30" i="3"/>
  <c r="B34" i="3"/>
  <c r="B13" i="3"/>
  <c r="C17" i="27"/>
  <c r="B12" i="31" l="1"/>
  <c r="E23" i="27" l="1"/>
  <c r="E30" i="3" l="1"/>
  <c r="C30" i="3"/>
  <c r="E31" i="27"/>
  <c r="B17" i="3"/>
  <c r="B17" i="27"/>
  <c r="K44" i="3"/>
  <c r="K34" i="3"/>
  <c r="I34" i="3"/>
  <c r="K30" i="3"/>
  <c r="I30" i="3"/>
  <c r="D30" i="3"/>
  <c r="D31" i="27"/>
  <c r="H30" i="3" l="1"/>
  <c r="J30" i="3" s="1"/>
  <c r="L30" i="3" s="1"/>
  <c r="H34" i="3"/>
  <c r="J34" i="3" s="1"/>
  <c r="L34" i="3" s="1"/>
  <c r="D37" i="3" s="1"/>
  <c r="E4" i="3"/>
  <c r="E6" i="3"/>
  <c r="E5" i="3"/>
  <c r="E4" i="27"/>
  <c r="E6" i="27"/>
  <c r="E5" i="27"/>
  <c r="E4" i="26"/>
  <c r="E6" i="31"/>
  <c r="E5" i="31"/>
  <c r="E4" i="31"/>
  <c r="B32" i="31"/>
  <c r="D27" i="31"/>
  <c r="D26" i="31"/>
  <c r="D24" i="3"/>
  <c r="B11" i="26"/>
  <c r="B36" i="31"/>
  <c r="B40" i="31"/>
  <c r="E40" i="31"/>
  <c r="C40" i="31"/>
  <c r="C36" i="31"/>
  <c r="C32" i="31"/>
  <c r="E22" i="31"/>
  <c r="G22" i="31" s="1"/>
  <c r="C18" i="31"/>
  <c r="C14" i="31"/>
  <c r="B18" i="31"/>
  <c r="B14" i="31"/>
  <c r="J51" i="31"/>
  <c r="H45" i="31"/>
  <c r="H44" i="31"/>
  <c r="G40" i="31"/>
  <c r="D40" i="31"/>
  <c r="B38" i="31"/>
  <c r="F36" i="31"/>
  <c r="D36" i="31"/>
  <c r="B34" i="31"/>
  <c r="F32" i="31"/>
  <c r="D32" i="31"/>
  <c r="B30" i="31"/>
  <c r="B20" i="31"/>
  <c r="D18" i="31"/>
  <c r="B16" i="31"/>
  <c r="G27" i="27"/>
  <c r="D38" i="3" l="1"/>
  <c r="F14" i="31"/>
  <c r="G36" i="31"/>
  <c r="F18" i="31"/>
  <c r="G32" i="31"/>
  <c r="H40" i="31"/>
  <c r="C26" i="31"/>
  <c r="F26" i="31" s="1"/>
  <c r="G26" i="31" s="1"/>
  <c r="D23" i="3"/>
  <c r="C20" i="3"/>
  <c r="D20" i="3"/>
  <c r="D17" i="3"/>
  <c r="C17" i="3"/>
  <c r="G26" i="27"/>
  <c r="D14" i="26"/>
  <c r="J46" i="27"/>
  <c r="H40" i="27"/>
  <c r="H39" i="27"/>
  <c r="B13" i="27"/>
  <c r="H13" i="27" s="1"/>
  <c r="D20" i="27"/>
  <c r="C20" i="27"/>
  <c r="D17" i="27"/>
  <c r="C45" i="31" l="1"/>
  <c r="I45" i="31" s="1"/>
  <c r="J45" i="31" s="1"/>
  <c r="K45" i="31" s="1"/>
  <c r="L45" i="31" s="1"/>
  <c r="C44" i="31"/>
  <c r="I44" i="31" s="1"/>
  <c r="J44" i="31" s="1"/>
  <c r="D51" i="31"/>
  <c r="C27" i="31"/>
  <c r="F27" i="31" s="1"/>
  <c r="G27" i="31" s="1"/>
  <c r="H27" i="31" s="1"/>
  <c r="I27" i="31" s="1"/>
  <c r="J37" i="3"/>
  <c r="K37" i="3" s="1"/>
  <c r="I37" i="3"/>
  <c r="J38" i="3"/>
  <c r="I38" i="3"/>
  <c r="E44" i="3" s="1"/>
  <c r="G44" i="3" s="1"/>
  <c r="G17" i="3"/>
  <c r="H13" i="3"/>
  <c r="H31" i="27"/>
  <c r="H35" i="27"/>
  <c r="G17" i="27"/>
  <c r="B20" i="27" s="1"/>
  <c r="B20" i="3" l="1"/>
  <c r="C39" i="27"/>
  <c r="I39" i="27" s="1"/>
  <c r="C40" i="27"/>
  <c r="I40" i="27" s="1"/>
  <c r="F51" i="31"/>
  <c r="M51" i="31" s="1"/>
  <c r="N51" i="31" s="1"/>
  <c r="O51" i="31" s="1"/>
  <c r="K44" i="31"/>
  <c r="L44" i="31" s="1"/>
  <c r="E20" i="27"/>
  <c r="E20" i="3"/>
  <c r="H26" i="31"/>
  <c r="I26" i="31" s="1"/>
  <c r="N44" i="3"/>
  <c r="O44" i="3" s="1"/>
  <c r="P44" i="3" s="1"/>
  <c r="K38" i="3"/>
  <c r="L38" i="3" s="1"/>
  <c r="L37" i="3"/>
  <c r="J39" i="27"/>
  <c r="K39" i="27" s="1"/>
  <c r="L39" i="27" s="1"/>
  <c r="F15" i="26"/>
  <c r="F14" i="26"/>
  <c r="D11" i="26"/>
  <c r="E11" i="26"/>
  <c r="C23" i="3" l="1"/>
  <c r="H23" i="3" s="1"/>
  <c r="C24" i="3"/>
  <c r="H24" i="3" s="1"/>
  <c r="I24" i="3" s="1"/>
  <c r="B27" i="27"/>
  <c r="H27" i="27" s="1"/>
  <c r="I27" i="27" s="1"/>
  <c r="J27" i="27" s="1"/>
  <c r="K27" i="27" s="1"/>
  <c r="B26" i="27"/>
  <c r="H26" i="27" s="1"/>
  <c r="D46" i="27"/>
  <c r="F46" i="27" s="1"/>
  <c r="M46" i="27" s="1"/>
  <c r="N46" i="27" s="1"/>
  <c r="O46" i="27" s="1"/>
  <c r="J40" i="27"/>
  <c r="K40" i="27" s="1"/>
  <c r="L40" i="27" s="1"/>
  <c r="C15" i="26"/>
  <c r="C14" i="26"/>
  <c r="I14" i="26" s="1"/>
  <c r="J14" i="26" s="1"/>
  <c r="J24" i="3" l="1"/>
  <c r="K24" i="3" s="1"/>
  <c r="I23" i="3"/>
  <c r="J23" i="3" l="1"/>
  <c r="K23" i="3" s="1"/>
  <c r="I26" i="27"/>
  <c r="J26" i="27" s="1"/>
  <c r="K26" i="27" s="1"/>
  <c r="K14" i="26"/>
  <c r="L14" i="26" s="1"/>
  <c r="I15" i="26"/>
  <c r="J15" i="26" s="1"/>
  <c r="K15" i="26" s="1"/>
  <c r="L15" i="26" s="1"/>
</calcChain>
</file>

<file path=xl/comments1.xml><?xml version="1.0" encoding="utf-8"?>
<comments xmlns="http://schemas.openxmlformats.org/spreadsheetml/2006/main">
  <authors>
    <author>Matthew G. Lloyd</author>
    <author>Sony Customer</author>
  </authors>
  <commentList>
    <comment ref="D3" authorId="0" shapeId="0">
      <text>
        <r>
          <rPr>
            <sz val="8"/>
            <color indexed="81"/>
            <rFont val="Tahoma"/>
            <family val="2"/>
          </rPr>
          <t>Auto-populates from "Chemical Info" tab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Enter "% ai" as a whole number (e.g., 3 for 3% a.i.)</t>
        </r>
      </text>
    </comment>
    <comment ref="B8" authorId="1" shapeId="0">
      <text>
        <r>
          <rPr>
            <sz val="10"/>
            <color indexed="81"/>
            <rFont val="Tahoma"/>
            <family val="2"/>
          </rPr>
          <t xml:space="preserve">Use product-specific density.  If not available then use density based on type of product: 
</t>
        </r>
        <r>
          <rPr>
            <b/>
            <sz val="10"/>
            <color indexed="81"/>
            <rFont val="Tahoma"/>
            <family val="2"/>
          </rPr>
          <t>Water based:  1 g/mL
Solvent-based: 0.8 g/mL</t>
        </r>
      </text>
    </comment>
  </commentList>
</comments>
</file>

<file path=xl/comments2.xml><?xml version="1.0" encoding="utf-8"?>
<comments xmlns="http://schemas.openxmlformats.org/spreadsheetml/2006/main">
  <authors>
    <author>Matthew G. Lloyd</author>
    <author>Sony Customer</author>
  </authors>
  <commentList>
    <comment ref="D3" authorId="0" shapeId="0">
      <text>
        <r>
          <rPr>
            <sz val="8"/>
            <color indexed="81"/>
            <rFont val="Tahoma"/>
            <family val="2"/>
          </rPr>
          <t>Auto-populates from "Chemical Info" tab</t>
        </r>
      </text>
    </comment>
    <comment ref="B6" authorId="1" shapeId="0">
      <text>
        <r>
          <rPr>
            <sz val="8"/>
            <color indexed="81"/>
            <rFont val="Tahoma"/>
            <family val="2"/>
          </rPr>
          <t xml:space="preserve">100% assumed unless registrant provides data for product
</t>
        </r>
      </text>
    </comment>
    <comment ref="C11" authorId="1" shapeId="0">
      <text>
        <r>
          <rPr>
            <sz val="10"/>
            <color indexed="81"/>
            <rFont val="Tahoma"/>
            <family val="2"/>
          </rPr>
          <t xml:space="preserve">The recommended point estimate for use in a deterministic exposure assessment is 1 product used for the default treated space size (15 ft x 15 ft area). 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Matthew G. Lloyd</author>
    <author>Teri Schaeffer</author>
  </authors>
  <commentList>
    <comment ref="D3" authorId="0" shapeId="0">
      <text>
        <r>
          <rPr>
            <sz val="8"/>
            <color indexed="81"/>
            <rFont val="Tahoma"/>
            <family val="2"/>
          </rPr>
          <t>Auto-populates from "Chemical Info" tab</t>
        </r>
      </text>
    </comment>
    <comment ref="B5" authorId="0" shapeId="0">
      <text>
        <r>
          <rPr>
            <sz val="8"/>
            <color indexed="81"/>
            <rFont val="Tahoma"/>
            <family val="2"/>
          </rPr>
          <t>Enter "% ai" as a whole number (e.g., 3 for 3% a.i.)</t>
        </r>
      </text>
    </comment>
    <comment ref="C12" authorId="0" shapeId="0">
      <text>
        <r>
          <rPr>
            <sz val="8"/>
            <color indexed="81"/>
            <rFont val="Tahoma"/>
            <family val="2"/>
          </rPr>
          <t xml:space="preserve">Insert dilution rate (volume of product/volume of total solution)
</t>
        </r>
      </text>
    </comment>
    <comment ref="D12" authorId="0" shapeId="0">
      <text>
        <r>
          <rPr>
            <sz val="8"/>
            <color indexed="81"/>
            <rFont val="Tahoma"/>
            <family val="2"/>
          </rPr>
          <t>nozzle flowrate (gallons/min)</t>
        </r>
      </text>
    </comment>
    <comment ref="E12" authorId="0" shapeId="0">
      <text>
        <r>
          <rPr>
            <sz val="8"/>
            <color indexed="81"/>
            <rFont val="Tahoma"/>
            <family val="2"/>
          </rPr>
          <t>spray duration</t>
        </r>
      </text>
    </comment>
    <comment ref="H12" authorId="0" shapeId="0">
      <text>
        <r>
          <rPr>
            <sz val="8"/>
            <color indexed="81"/>
            <rFont val="Tahoma"/>
            <family val="2"/>
          </rPr>
          <t>application rate per spray</t>
        </r>
      </text>
    </comment>
    <comment ref="D16" authorId="0" shapeId="0">
      <text>
        <r>
          <rPr>
            <sz val="8"/>
            <color indexed="81"/>
            <rFont val="Tahoma"/>
            <family val="2"/>
          </rPr>
          <t>volume unit conversion (1 gallon/128 ounces)</t>
        </r>
      </text>
    </comment>
    <comment ref="G16" authorId="0" shapeId="0">
      <text>
        <r>
          <rPr>
            <sz val="8"/>
            <color indexed="81"/>
            <rFont val="Tahoma"/>
            <family val="2"/>
          </rPr>
          <t>application rate per spray</t>
        </r>
      </text>
    </comment>
    <comment ref="C19" authorId="0" shapeId="0">
      <text>
        <r>
          <rPr>
            <sz val="8"/>
            <color indexed="81"/>
            <rFont val="Tahoma"/>
            <family val="2"/>
          </rPr>
          <t>weight unit conversion factor (454,000 mg/lb)</t>
        </r>
      </text>
    </comment>
    <comment ref="D19" authorId="0" shapeId="0">
      <text>
        <r>
          <rPr>
            <sz val="8"/>
            <color indexed="81"/>
            <rFont val="Tahoma"/>
            <family val="2"/>
          </rPr>
          <t xml:space="preserve">volume unit conversion factor (35.3ft3/1m3)
</t>
        </r>
      </text>
    </comment>
    <comment ref="D25" authorId="1" shapeId="0">
      <text>
        <r>
          <rPr>
            <sz val="8"/>
            <color indexed="81"/>
            <rFont val="Tahoma"/>
            <family val="2"/>
          </rPr>
          <t xml:space="preserve">ET default value is 2.3 hrs/day when product-specific information is not available.
</t>
        </r>
      </text>
    </comment>
    <comment ref="E25" authorId="1" shapeId="0">
      <text>
        <r>
          <rPr>
            <sz val="8"/>
            <color indexed="81"/>
            <rFont val="Tahoma"/>
            <family val="2"/>
          </rPr>
          <t xml:space="preserve">PR default value is 1 spray/day when a product-specific value is not available.
</t>
        </r>
      </text>
    </comment>
    <comment ref="C30" authorId="0" shapeId="0">
      <text>
        <r>
          <rPr>
            <sz val="8"/>
            <color indexed="81"/>
            <rFont val="Tahoma"/>
            <family val="2"/>
          </rPr>
          <t xml:space="preserve">% active ingredient in product
</t>
        </r>
      </text>
    </comment>
    <comment ref="B34" authorId="0" shapeId="0">
      <text>
        <r>
          <rPr>
            <sz val="8"/>
            <color indexed="81"/>
            <rFont val="Tahoma"/>
            <family val="2"/>
          </rPr>
          <t xml:space="preserve">% active ingredient in product
</t>
        </r>
      </text>
    </comment>
    <comment ref="C34" authorId="0" shapeId="0">
      <text>
        <r>
          <rPr>
            <sz val="8"/>
            <color indexed="81"/>
            <rFont val="Tahoma"/>
            <family val="2"/>
          </rPr>
          <t xml:space="preserve">Insert dilution rate (volume product/volume total solution)
</t>
        </r>
      </text>
    </comment>
    <comment ref="D34" authorId="0" shapeId="0">
      <text>
        <r>
          <rPr>
            <sz val="8"/>
            <color indexed="81"/>
            <rFont val="Tahoma"/>
            <family val="2"/>
          </rPr>
          <t>nozzle flowrate</t>
        </r>
      </text>
    </comment>
    <comment ref="E34" authorId="0" shapeId="0">
      <text>
        <r>
          <rPr>
            <sz val="8"/>
            <color indexed="81"/>
            <rFont val="Tahoma"/>
            <family val="2"/>
          </rPr>
          <t xml:space="preserve">spray duration
</t>
        </r>
      </text>
    </comment>
    <comment ref="F34" authorId="0" shapeId="0">
      <text>
        <r>
          <rPr>
            <sz val="8"/>
            <color indexed="81"/>
            <rFont val="Tahoma"/>
            <family val="2"/>
          </rPr>
          <t xml:space="preserve">water density (lbs/gallon)
</t>
        </r>
      </text>
    </comment>
    <comment ref="H34" authorId="0" shapeId="0">
      <text>
        <r>
          <rPr>
            <sz val="8"/>
            <color indexed="81"/>
            <rFont val="Tahoma"/>
            <family val="2"/>
          </rPr>
          <t>application rate per spray</t>
        </r>
      </text>
    </comment>
  </commentList>
</comments>
</file>

<file path=xl/comments4.xml><?xml version="1.0" encoding="utf-8"?>
<comments xmlns="http://schemas.openxmlformats.org/spreadsheetml/2006/main">
  <authors>
    <author>Matthew G. Lloyd</author>
    <author>Sony Customer</author>
    <author>Alexandra LaMay</author>
  </authors>
  <commentList>
    <comment ref="D3" authorId="0" shapeId="0">
      <text>
        <r>
          <rPr>
            <sz val="8"/>
            <color indexed="81"/>
            <rFont val="Tahoma"/>
            <family val="2"/>
          </rPr>
          <t>Auto-populates from "Chemical Info" tab</t>
        </r>
      </text>
    </comment>
    <comment ref="B5" authorId="0" shapeId="0">
      <text>
        <r>
          <rPr>
            <sz val="8"/>
            <color indexed="81"/>
            <rFont val="Tahoma"/>
            <family val="2"/>
          </rPr>
          <t>Enter "% ai" as a whole number (e.g., 3 for 3% a.i.)</t>
        </r>
      </text>
    </comment>
    <comment ref="C12" authorId="0" shapeId="0">
      <text>
        <r>
          <rPr>
            <sz val="8"/>
            <color indexed="81"/>
            <rFont val="Tahoma"/>
            <family val="2"/>
          </rPr>
          <t xml:space="preserve">Insert dilution rate (volume of product/volume of total solution)
</t>
        </r>
      </text>
    </comment>
    <comment ref="D12" authorId="0" shapeId="0">
      <text>
        <r>
          <rPr>
            <sz val="8"/>
            <color indexed="81"/>
            <rFont val="Tahoma"/>
            <family val="2"/>
          </rPr>
          <t>nozzle flowrate (gallons/min)</t>
        </r>
      </text>
    </comment>
    <comment ref="E12" authorId="0" shapeId="0">
      <text>
        <r>
          <rPr>
            <sz val="8"/>
            <color indexed="81"/>
            <rFont val="Tahoma"/>
            <family val="2"/>
          </rPr>
          <t>spray duration</t>
        </r>
      </text>
    </comment>
    <comment ref="F12" authorId="1" shapeId="0">
      <text>
        <r>
          <rPr>
            <sz val="8"/>
            <color indexed="81"/>
            <rFont val="Tahoma"/>
            <family val="2"/>
          </rPr>
          <t xml:space="preserve">water density (lbs/gallon)
</t>
        </r>
      </text>
    </comment>
    <comment ref="H12" authorId="0" shapeId="0">
      <text>
        <r>
          <rPr>
            <sz val="8"/>
            <color indexed="81"/>
            <rFont val="Tahoma"/>
            <family val="2"/>
          </rPr>
          <t>application rate per spray</t>
        </r>
      </text>
    </comment>
    <comment ref="D16" authorId="0" shapeId="0">
      <text>
        <r>
          <rPr>
            <sz val="8"/>
            <color indexed="81"/>
            <rFont val="Tahoma"/>
            <family val="2"/>
          </rPr>
          <t>volume unit conversion (1 gallon/128 ounces)</t>
        </r>
      </text>
    </comment>
    <comment ref="E16" authorId="1" shapeId="0">
      <text>
        <r>
          <rPr>
            <sz val="8"/>
            <color indexed="81"/>
            <rFont val="Tahoma"/>
            <family val="2"/>
          </rPr>
          <t xml:space="preserve">water density (lbs/gallon)
</t>
        </r>
      </text>
    </comment>
    <comment ref="G16" authorId="0" shapeId="0">
      <text>
        <r>
          <rPr>
            <sz val="8"/>
            <color indexed="81"/>
            <rFont val="Tahoma"/>
            <family val="2"/>
          </rPr>
          <t>application rate per spray</t>
        </r>
      </text>
    </comment>
    <comment ref="B19" authorId="0" shapeId="0">
      <text>
        <r>
          <rPr>
            <sz val="8"/>
            <color indexed="81"/>
            <rFont val="Tahoma"/>
            <family val="2"/>
          </rPr>
          <t>application rate per spray</t>
        </r>
      </text>
    </comment>
    <comment ref="D29" authorId="0" shapeId="0">
      <text>
        <r>
          <rPr>
            <sz val="8"/>
            <color indexed="81"/>
            <rFont val="Tahoma"/>
            <family val="2"/>
          </rPr>
          <t xml:space="preserve">CF (1 gallon/128 oz)
</t>
        </r>
      </text>
    </comment>
    <comment ref="E29" authorId="1" shapeId="0">
      <text>
        <r>
          <rPr>
            <sz val="8"/>
            <color indexed="81"/>
            <rFont val="Tahoma"/>
            <family val="2"/>
          </rPr>
          <t>water density (lbs/gallon)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F29" authorId="0" shapeId="0">
      <text>
        <r>
          <rPr>
            <sz val="8"/>
            <color indexed="81"/>
            <rFont val="Tahoma"/>
            <family val="2"/>
          </rPr>
          <t xml:space="preserve">height of nozzle (8 ft)
</t>
        </r>
      </text>
    </comment>
    <comment ref="H29" authorId="0" shapeId="0">
      <text>
        <r>
          <rPr>
            <sz val="8"/>
            <color indexed="81"/>
            <rFont val="Tahoma"/>
            <family val="2"/>
          </rPr>
          <t>application rate per spray</t>
        </r>
      </text>
    </comment>
    <comment ref="I29" authorId="2" shapeId="0">
      <text>
        <r>
          <rPr>
            <sz val="8"/>
            <color indexed="81"/>
            <rFont val="Tahoma"/>
            <family val="2"/>
          </rPr>
          <t>1 ft2/929cm2</t>
        </r>
      </text>
    </comment>
    <comment ref="K29" authorId="2" shapeId="0">
      <text>
        <r>
          <rPr>
            <sz val="8"/>
            <color indexed="81"/>
            <rFont val="Tahoma"/>
            <family val="2"/>
          </rPr>
          <t xml:space="preserve">454000000ug/1lb
</t>
        </r>
      </text>
    </comment>
    <comment ref="B33" authorId="0" shapeId="0">
      <text>
        <r>
          <rPr>
            <sz val="8"/>
            <color indexed="81"/>
            <rFont val="Tahoma"/>
            <family val="2"/>
          </rPr>
          <t xml:space="preserve">% active ingredient in product
</t>
        </r>
      </text>
    </comment>
    <comment ref="C33" authorId="0" shapeId="0">
      <text>
        <r>
          <rPr>
            <sz val="8"/>
            <color indexed="81"/>
            <rFont val="Tahoma"/>
            <family val="2"/>
          </rPr>
          <t xml:space="preserve">Insert dilution rate (volume product/volume total solution)
</t>
        </r>
      </text>
    </comment>
    <comment ref="D33" authorId="0" shapeId="0">
      <text>
        <r>
          <rPr>
            <sz val="8"/>
            <color indexed="81"/>
            <rFont val="Tahoma"/>
            <family val="2"/>
          </rPr>
          <t>nozzle flowrate</t>
        </r>
      </text>
    </comment>
    <comment ref="E33" authorId="0" shapeId="0">
      <text>
        <r>
          <rPr>
            <sz val="8"/>
            <color indexed="81"/>
            <rFont val="Tahoma"/>
            <family val="2"/>
          </rPr>
          <t xml:space="preserve">spray duration
</t>
        </r>
      </text>
    </comment>
    <comment ref="F33" authorId="0" shapeId="0">
      <text>
        <r>
          <rPr>
            <sz val="8"/>
            <color indexed="81"/>
            <rFont val="Tahoma"/>
            <family val="2"/>
          </rPr>
          <t xml:space="preserve">water density (lbs/gallon)
</t>
        </r>
      </text>
    </comment>
    <comment ref="H33" authorId="0" shapeId="0">
      <text>
        <r>
          <rPr>
            <sz val="8"/>
            <color indexed="81"/>
            <rFont val="Tahoma"/>
            <family val="2"/>
          </rPr>
          <t>application rate per spray</t>
        </r>
      </text>
    </comment>
    <comment ref="I33" authorId="2" shapeId="0">
      <text>
        <r>
          <rPr>
            <sz val="8"/>
            <color indexed="81"/>
            <rFont val="Tahoma"/>
            <family val="2"/>
          </rPr>
          <t>1 ft2/929cm2</t>
        </r>
      </text>
    </comment>
    <comment ref="K33" authorId="2" shapeId="0">
      <text>
        <r>
          <rPr>
            <sz val="8"/>
            <color indexed="81"/>
            <rFont val="Tahoma"/>
            <family val="2"/>
          </rPr>
          <t xml:space="preserve">454000000ug/1lb
</t>
        </r>
      </text>
    </comment>
    <comment ref="G36" authorId="2" shapeId="0">
      <text>
        <r>
          <rPr>
            <sz val="8"/>
            <color indexed="81"/>
            <rFont val="Tahoma"/>
            <family val="2"/>
          </rPr>
          <t>Exposure time from time spent in horse barn</t>
        </r>
      </text>
    </comment>
    <comment ref="F38" authorId="2" shapeId="0">
      <text>
        <r>
          <rPr>
            <sz val="8"/>
            <color indexed="81"/>
            <rFont val="Tahoma"/>
            <family val="2"/>
          </rPr>
          <t>This is the 3&lt;6 TC from the indoor SOP</t>
        </r>
      </text>
    </comment>
  </commentList>
</comments>
</file>

<file path=xl/sharedStrings.xml><?xml version="1.0" encoding="utf-8"?>
<sst xmlns="http://schemas.openxmlformats.org/spreadsheetml/2006/main" count="435" uniqueCount="201">
  <si>
    <t xml:space="preserve">Dermal MOE </t>
  </si>
  <si>
    <t>Dermal MOE (rounded)</t>
  </si>
  <si>
    <t>Fraction transferred</t>
  </si>
  <si>
    <t>ET (hr/day)</t>
  </si>
  <si>
    <t>Density of product (g/mL)</t>
  </si>
  <si>
    <t>CF (mg/lb)</t>
  </si>
  <si>
    <t>ACH (1/hr)</t>
  </si>
  <si>
    <t>ET (hr)</t>
  </si>
  <si>
    <t>Inhalation MOE</t>
  </si>
  <si>
    <t>Exposure (mg/day)</t>
  </si>
  <si>
    <t>MOE</t>
  </si>
  <si>
    <t xml:space="preserve">DE </t>
  </si>
  <si>
    <t>HR</t>
  </si>
  <si>
    <t xml:space="preserve">ET </t>
  </si>
  <si>
    <t>N_Replen</t>
  </si>
  <si>
    <t>SE</t>
  </si>
  <si>
    <t>Freq_Replen</t>
  </si>
  <si>
    <t xml:space="preserve">Dermal Exposure (mg) </t>
  </si>
  <si>
    <t>Surface area of 1 hand (cm2)</t>
  </si>
  <si>
    <t>Fraction of hand mouthed</t>
  </si>
  <si>
    <t>Exposure Time (hours/day)</t>
  </si>
  <si>
    <t>Replenishment interval (min)</t>
  </si>
  <si>
    <t># replenishment intervals per hour (intervals/hr)</t>
  </si>
  <si>
    <t>Fraction Saliva Extraction</t>
  </si>
  <si>
    <t>Number of hand-to-mouth contacts events per hour (events/hr)</t>
  </si>
  <si>
    <t xml:space="preserve">MOE (rounded) 
</t>
  </si>
  <si>
    <t>CF</t>
  </si>
  <si>
    <t>Postapplication Inhalation Exposure</t>
  </si>
  <si>
    <t>UL (hrs)</t>
  </si>
  <si>
    <t>EPA Reg#</t>
  </si>
  <si>
    <t>% ai</t>
  </si>
  <si>
    <t xml:space="preserve">AI </t>
  </si>
  <si>
    <t>N (# cans/day)</t>
  </si>
  <si>
    <t>Volume of product (mL/can)</t>
  </si>
  <si>
    <t>Application rate (mg ai/day)</t>
  </si>
  <si>
    <t>Postapplication Dermal Exposure</t>
  </si>
  <si>
    <t>Fraction ai on hands</t>
  </si>
  <si>
    <t>Inhalation MOE (rounded)</t>
  </si>
  <si>
    <t>Candles, Coils, Torches, and Mats</t>
  </si>
  <si>
    <t>Useful Life (hours)</t>
  </si>
  <si>
    <t>Vap. Efficiency (%)</t>
  </si>
  <si>
    <t>Emission Rate:</t>
  </si>
  <si>
    <t>Number of products used (Np)</t>
  </si>
  <si>
    <t>Amount ai in product (mg ai / product)</t>
  </si>
  <si>
    <t>A (mg ai/product)</t>
  </si>
  <si>
    <t>Emission rate (mg ai/hr)</t>
  </si>
  <si>
    <t xml:space="preserve">VE </t>
  </si>
  <si>
    <t>Exposure Time (hrs/day)</t>
  </si>
  <si>
    <t>DR</t>
  </si>
  <si>
    <t>Outdoor Residential Misting Systems</t>
  </si>
  <si>
    <t>Initial Air Concentration:</t>
  </si>
  <si>
    <t>AI</t>
  </si>
  <si>
    <t>If application rate is not given on the label, it can be calculated as follows:</t>
  </si>
  <si>
    <t>SD (min)</t>
  </si>
  <si>
    <t>GPM (gallons/minute)</t>
  </si>
  <si>
    <t>GPM       (gallons/minute)</t>
  </si>
  <si>
    <t>Density of Water (lb/gallon)</t>
  </si>
  <si>
    <t>H</t>
  </si>
  <si>
    <t>If the label rate is given in oz., enter "1"; if the label rate is given in grams, enter "2"; if the label rate is given in mL, enter "3"</t>
  </si>
  <si>
    <t>Application Rate (oz):</t>
  </si>
  <si>
    <t>Application Rate (grams):</t>
  </si>
  <si>
    <t>Application Rate (mL):</t>
  </si>
  <si>
    <t>Amount of product in can (oz/can)</t>
  </si>
  <si>
    <t>Amount of product in can (g/can)</t>
  </si>
  <si>
    <t>A.I.</t>
  </si>
  <si>
    <t>A_product (mL/can)</t>
  </si>
  <si>
    <t>A_product (oz/can)</t>
  </si>
  <si>
    <t>A_product (g/can)</t>
  </si>
  <si>
    <t>ET (hrs/day)</t>
  </si>
  <si>
    <t>PR (sprays/hr)</t>
  </si>
  <si>
    <t>PR (spray/hr)</t>
  </si>
  <si>
    <t>Outdoor Aerosol Space Sprays (OASS)</t>
  </si>
  <si>
    <t>Children (1 &lt;2 years)</t>
  </si>
  <si>
    <t>Children (3 &lt;6 years)</t>
  </si>
  <si>
    <t>Potential Inhalation Dose</t>
  </si>
  <si>
    <t>Levels of Concern</t>
  </si>
  <si>
    <t>Dermal</t>
  </si>
  <si>
    <t>Inhalation</t>
  </si>
  <si>
    <t>Incidental Oral</t>
  </si>
  <si>
    <t>TBA</t>
  </si>
  <si>
    <t>R</t>
  </si>
  <si>
    <t>Exposure Scenario</t>
  </si>
  <si>
    <t>Deposited Residue (ug/cm2)</t>
  </si>
  <si>
    <t>Postapplication-- Animal Barns (Instantaneous Release/Aerosol Applications)</t>
  </si>
  <si>
    <t>Children (3&lt;6 years)</t>
  </si>
  <si>
    <t>Broadcast, Hard surface</t>
  </si>
  <si>
    <t>Broadcast, Hard Surface</t>
  </si>
  <si>
    <r>
      <t>TC (cm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 xml:space="preserve">/hr) </t>
    </r>
  </si>
  <si>
    <r>
      <t>F</t>
    </r>
    <r>
      <rPr>
        <vertAlign val="subscript"/>
        <sz val="11"/>
        <rFont val="Times New Roman"/>
        <family val="1"/>
      </rPr>
      <t>aihands</t>
    </r>
  </si>
  <si>
    <r>
      <t>SA</t>
    </r>
    <r>
      <rPr>
        <vertAlign val="subscript"/>
        <sz val="11"/>
        <rFont val="Times New Roman"/>
        <family val="1"/>
      </rPr>
      <t>H</t>
    </r>
  </si>
  <si>
    <r>
      <t>F</t>
    </r>
    <r>
      <rPr>
        <vertAlign val="subscript"/>
        <sz val="11"/>
        <rFont val="Times New Roman"/>
        <family val="1"/>
      </rPr>
      <t>m</t>
    </r>
  </si>
  <si>
    <r>
      <t>Hand residue loading (mg/cm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</si>
  <si>
    <t xml:space="preserve">Exposure Scenario </t>
  </si>
  <si>
    <t>"R" calculation relates to exposure calculation:</t>
  </si>
  <si>
    <t>Application rate   
(mg ai/day)</t>
  </si>
  <si>
    <t>Combined Adults (16 &lt; 80 years old)</t>
  </si>
  <si>
    <t>Male Adults (16 &lt; 80 years old)</t>
  </si>
  <si>
    <t>Female Adults (13 &lt; 49 years old)</t>
  </si>
  <si>
    <t>Lifestage</t>
  </si>
  <si>
    <t>General</t>
  </si>
  <si>
    <t>Female-specific</t>
  </si>
  <si>
    <t>Male-specific</t>
  </si>
  <si>
    <t>DO NOT DELETE THIS BOX</t>
  </si>
  <si>
    <t>Adults</t>
  </si>
  <si>
    <t>Outdoor Fogging/Misting Systems SOP</t>
  </si>
  <si>
    <t>Body Weight Pick List Reference (DO NOT DELETE)</t>
  </si>
  <si>
    <t>Mean Body Weight (kg)</t>
  </si>
  <si>
    <r>
      <t>DH</t>
    </r>
    <r>
      <rPr>
        <vertAlign val="subscript"/>
        <sz val="11"/>
        <rFont val="Times New Roman"/>
        <family val="1"/>
      </rPr>
      <t>2</t>
    </r>
    <r>
      <rPr>
        <sz val="11"/>
        <rFont val="Times New Roman"/>
        <family val="1"/>
      </rPr>
      <t>0</t>
    </r>
  </si>
  <si>
    <r>
      <t>AR (lb ai/cm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</si>
  <si>
    <r>
      <t>AR (lb ai/ft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)</t>
    </r>
  </si>
  <si>
    <r>
      <t>AR  (lb ai/ft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)</t>
    </r>
  </si>
  <si>
    <r>
      <t>CF (ft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/m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)</t>
    </r>
  </si>
  <si>
    <t xml:space="preserve"> </t>
  </si>
  <si>
    <r>
      <t>IR (m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/hr)</t>
    </r>
  </si>
  <si>
    <t>Inhalation Exposure/Risk:</t>
  </si>
  <si>
    <t>Dermal Exposure/Risk
[from residue deposited on turf]:</t>
  </si>
  <si>
    <r>
      <t>Deposited Residue (lb ai/ft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</si>
  <si>
    <r>
      <t>Application rate (lb ai/ft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</si>
  <si>
    <r>
      <t>Treated Area (ft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</si>
  <si>
    <r>
      <t>Q (m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/hr)</t>
    </r>
  </si>
  <si>
    <t>Absorbed Dose (mg/kg/day)</t>
  </si>
  <si>
    <t xml:space="preserve">Absorbed Dose (mg/kg/day) </t>
  </si>
  <si>
    <t>Green cells = input required by assessor</t>
  </si>
  <si>
    <r>
      <t>If application rates are given on the label, it can be converted as follows.  (Application rates are typically given in ounces of solution per 1000 ft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):</t>
    </r>
  </si>
  <si>
    <r>
      <t>AR_label: (application rate in oz per 1000 ft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)</t>
    </r>
  </si>
  <si>
    <r>
      <t>VnC (typically 1000 ft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/nozzle)</t>
    </r>
  </si>
  <si>
    <r>
      <t>AR: application rate per spray event (lbs ai/ft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)</t>
    </r>
  </si>
  <si>
    <r>
      <t>V (m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)</t>
    </r>
  </si>
  <si>
    <r>
      <t>C</t>
    </r>
    <r>
      <rPr>
        <vertAlign val="subscript"/>
        <sz val="11"/>
        <rFont val="Times New Roman"/>
        <family val="1"/>
      </rPr>
      <t>0</t>
    </r>
    <r>
      <rPr>
        <sz val="11"/>
        <rFont val="Times New Roman"/>
        <family val="1"/>
      </rPr>
      <t xml:space="preserve"> (mg/m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)</t>
    </r>
  </si>
  <si>
    <t>Children</t>
  </si>
  <si>
    <t>Absorbed Dose (mg/kg-day)</t>
  </si>
  <si>
    <t>Potential Inhalation Exposure/Risk:</t>
  </si>
  <si>
    <t>Application rate for dermal exposure assessment:</t>
  </si>
  <si>
    <t>Dermal Exposure/Risk 
[from deposited residue on turf]:</t>
  </si>
  <si>
    <r>
      <t>AR_label (oz/1000 ft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)</t>
    </r>
  </si>
  <si>
    <r>
      <t>AR (lb ai/ft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</si>
  <si>
    <r>
      <t>AnC (ft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</si>
  <si>
    <r>
      <t>Surface area of 1 hand (cm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</si>
  <si>
    <r>
      <t>Volume of Treated space (m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)</t>
    </r>
  </si>
  <si>
    <t>Are product application rates on the label? Enter "Yes" or "No"</t>
  </si>
  <si>
    <r>
      <t>Application Rate (oz/1000 ft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)</t>
    </r>
  </si>
  <si>
    <r>
      <t>Application rate (oz/1000 ft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)</t>
    </r>
  </si>
  <si>
    <r>
      <t>AR (ug/cm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</si>
  <si>
    <t>Fraction ai on hands (linked to total surface residue from Jazzercise study gloves)</t>
  </si>
  <si>
    <t>Postapplication Incidental Oral Exposure</t>
  </si>
  <si>
    <t>Postapplication Hand-to-Mouth Exposure/Risk 
[from deposited residue on turf]:</t>
  </si>
  <si>
    <t>Postapplication Hand-to-Mouth Exposure/Risk</t>
  </si>
  <si>
    <t>Postapplication Dermal Exposure/Risk</t>
  </si>
  <si>
    <t>Inhalation Exposure (mg/day)</t>
  </si>
  <si>
    <r>
      <t>C</t>
    </r>
    <r>
      <rPr>
        <vertAlign val="subscript"/>
        <sz val="11"/>
        <rFont val="Times New Roman"/>
        <family val="1"/>
      </rPr>
      <t>0</t>
    </r>
  </si>
  <si>
    <r>
      <t>Airflow Q (m</t>
    </r>
    <r>
      <rPr>
        <vertAlign val="superscript"/>
        <sz val="11"/>
        <rFont val="Times New Roman"/>
        <family val="1"/>
      </rPr>
      <t>3</t>
    </r>
    <r>
      <rPr>
        <sz val="11"/>
        <rFont val="Times New Roman"/>
        <family val="1"/>
      </rPr>
      <t>/hr)</t>
    </r>
  </si>
  <si>
    <t>Hand-to-Mouth Exposure/Risk
[from residue deposited on turf]:</t>
  </si>
  <si>
    <t>CF (mg/ug)</t>
  </si>
  <si>
    <r>
      <t>CF (ft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/cm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</si>
  <si>
    <t>Amount of product in can (mL/can)</t>
  </si>
  <si>
    <t>Active ingredient:</t>
  </si>
  <si>
    <t>Exposure Duration:
(for multiple exposure durations, create new files)</t>
  </si>
  <si>
    <t>Exposure Duration Pick List (Do Not Delete)</t>
  </si>
  <si>
    <t>Toxicity</t>
  </si>
  <si>
    <t>POD (mg/kg/day)</t>
  </si>
  <si>
    <t>POD source/study</t>
  </si>
  <si>
    <t>Absorption (0-1)</t>
  </si>
  <si>
    <t>LOC</t>
  </si>
  <si>
    <t>POD Type</t>
  </si>
  <si>
    <t>Toxicity Source/Study Pick List (DO NOT DELETE)</t>
  </si>
  <si>
    <t>POD</t>
  </si>
  <si>
    <t>Absorption</t>
  </si>
  <si>
    <t>Absorption (source/study)</t>
  </si>
  <si>
    <r>
      <t>Inhalation Rates (m</t>
    </r>
    <r>
      <rPr>
        <b/>
        <vertAlign val="superscript"/>
        <sz val="12"/>
        <rFont val="Times New Roman"/>
        <family val="1"/>
      </rPr>
      <t>3</t>
    </r>
    <r>
      <rPr>
        <b/>
        <sz val="12"/>
        <rFont val="Times New Roman"/>
        <family val="1"/>
      </rPr>
      <t>/hr)</t>
    </r>
  </si>
  <si>
    <t>Body weights (kg)</t>
  </si>
  <si>
    <t>1 &lt;2 years</t>
  </si>
  <si>
    <t>3 &lt;6 years</t>
  </si>
  <si>
    <t>CF (mg/oz)</t>
  </si>
  <si>
    <t>CF (mg/g)</t>
  </si>
  <si>
    <t>CF (lb/oz)</t>
  </si>
  <si>
    <t>CF (lb/g)</t>
  </si>
  <si>
    <t>EXPOSURE AND TOXICITY FACTORS</t>
  </si>
  <si>
    <t>KEY_Adult_bw</t>
  </si>
  <si>
    <t>KEY_Dermal_POD_Source</t>
  </si>
  <si>
    <t>KEY_Dermal_Absorption_Source</t>
  </si>
  <si>
    <t>KEY_Inhalation_POD_Source</t>
  </si>
  <si>
    <t>KEY_Inhalation_Asborption_Source</t>
  </si>
  <si>
    <t>KEY_Duration</t>
  </si>
  <si>
    <t>KEY_Dermal_POD</t>
  </si>
  <si>
    <t>KEY_Dermal_Absorption</t>
  </si>
  <si>
    <t>KEY_Dermal_LOC</t>
  </si>
  <si>
    <t>KEY_Inhalation_POD</t>
  </si>
  <si>
    <t>KEY_Inhalation_Absorption</t>
  </si>
  <si>
    <t>KEY_Inhalation_LOC</t>
  </si>
  <si>
    <t>KEY_Oral_LOC</t>
  </si>
  <si>
    <t>KEY_Oral_POD</t>
  </si>
  <si>
    <t>KEY_Active_ingredient</t>
  </si>
  <si>
    <t>KEY_OASS_fraction_ai</t>
  </si>
  <si>
    <t>KEY_OASS_amount_of_product_in_can</t>
  </si>
  <si>
    <t>KEY_CCTM_amount_ai_in_product</t>
  </si>
  <si>
    <t>KEY_ORMS_application_rate</t>
  </si>
  <si>
    <t>KEY_ORMS_dilution_rate</t>
  </si>
  <si>
    <t>KEY_ORMS_fraction_ai</t>
  </si>
  <si>
    <t>KEY_AB_application_rate</t>
  </si>
  <si>
    <t>KEY_AB_dilution_rate</t>
  </si>
  <si>
    <t>KEY_AB_fraction_ai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</si>
</sst>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0.0"/>
    <numFmt numFmtId="166" formatCode="0.0E+00"/>
    <numFmt numFmtId="167" formatCode="0.000"/>
    <numFmt numFmtId="168" formatCode="0.0%"/>
    <numFmt numFmtId="169" formatCode="0.0000"/>
    <numFmt numFmtId="170" formatCode="0.00000"/>
    <numFmt numFmtId="171" formatCode="0.000000"/>
  </numFmts>
  <fonts count="2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8"/>
      <color indexed="81"/>
      <name val="Tahoma"/>
      <family val="2"/>
    </font>
    <font>
      <b/>
      <sz val="16"/>
      <color theme="3" tint="0.39997558519241921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sz val="11"/>
      <color rgb="FFFF0000"/>
      <name val="Times New Roman"/>
      <family val="1"/>
    </font>
    <font>
      <sz val="11"/>
      <color indexed="14"/>
      <name val="Times New Roman"/>
      <family val="1"/>
    </font>
    <font>
      <b/>
      <sz val="16"/>
      <name val="Times New Roman"/>
      <family val="1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imes New Roman"/>
      <family val="1"/>
    </font>
    <font>
      <sz val="10"/>
      <color rgb="FFFF0000"/>
      <name val="Times New Roman"/>
      <family val="1"/>
    </font>
    <font>
      <b/>
      <sz val="18"/>
      <name val="Times New Roman"/>
      <family val="1"/>
    </font>
    <font>
      <sz val="12"/>
      <name val="Arial"/>
      <family val="2"/>
    </font>
    <font>
      <b/>
      <vertAlign val="superscript"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23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237">
    <xf numFmtId="0" fontId="0" fillId="0" borderId="0" xfId="0"/>
    <xf numFmtId="0" fontId="3" fillId="0" borderId="1" xfId="0" applyFont="1" applyFill="1" applyBorder="1" applyAlignment="1">
      <alignment horizontal="left" vertical="center" wrapText="1"/>
    </xf>
    <xf numFmtId="0" fontId="4" fillId="0" borderId="0" xfId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3" fillId="0" borderId="1" xfId="0" applyFont="1" applyBorder="1"/>
    <xf numFmtId="3" fontId="3" fillId="0" borderId="0" xfId="0" applyNumberFormat="1" applyFont="1"/>
    <xf numFmtId="0" fontId="3" fillId="0" borderId="0" xfId="0" applyFont="1" applyFill="1"/>
    <xf numFmtId="0" fontId="6" fillId="0" borderId="0" xfId="0" applyFont="1"/>
    <xf numFmtId="0" fontId="9" fillId="0" borderId="0" xfId="0" applyFont="1"/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10" fillId="0" borderId="1" xfId="0" applyFont="1" applyBorder="1"/>
    <xf numFmtId="0" fontId="10" fillId="0" borderId="0" xfId="0" applyFont="1"/>
    <xf numFmtId="0" fontId="10" fillId="2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168" fontId="10" fillId="2" borderId="5" xfId="1" applyNumberFormat="1" applyFont="1" applyFill="1" applyBorder="1" applyAlignment="1">
      <alignment horizontal="center" vertical="center" wrapText="1"/>
    </xf>
    <xf numFmtId="166" fontId="10" fillId="2" borderId="1" xfId="1" applyNumberFormat="1" applyFont="1" applyFill="1" applyBorder="1" applyAlignment="1">
      <alignment horizontal="center" vertical="center" wrapText="1"/>
    </xf>
    <xf numFmtId="166" fontId="10" fillId="2" borderId="5" xfId="1" applyNumberFormat="1" applyFont="1" applyFill="1" applyBorder="1" applyAlignment="1">
      <alignment horizontal="center" vertical="center" wrapText="1"/>
    </xf>
    <xf numFmtId="0" fontId="10" fillId="0" borderId="1" xfId="1" applyNumberFormat="1" applyFont="1" applyFill="1" applyBorder="1" applyAlignment="1">
      <alignment horizontal="center" vertical="center"/>
    </xf>
    <xf numFmtId="2" fontId="10" fillId="0" borderId="1" xfId="1" applyNumberFormat="1" applyFont="1" applyFill="1" applyBorder="1" applyAlignment="1">
      <alignment horizontal="center" vertical="center"/>
    </xf>
    <xf numFmtId="3" fontId="10" fillId="0" borderId="1" xfId="1" applyNumberFormat="1" applyFont="1" applyFill="1" applyBorder="1" applyAlignment="1">
      <alignment horizontal="center" vertical="center"/>
    </xf>
    <xf numFmtId="166" fontId="10" fillId="0" borderId="1" xfId="0" applyNumberFormat="1" applyFont="1" applyFill="1" applyBorder="1" applyAlignment="1">
      <alignment horizontal="center" vertical="center"/>
    </xf>
    <xf numFmtId="1" fontId="10" fillId="0" borderId="1" xfId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168" fontId="10" fillId="2" borderId="1" xfId="1" applyNumberFormat="1" applyFont="1" applyFill="1" applyBorder="1" applyAlignment="1">
      <alignment horizontal="center" vertical="center"/>
    </xf>
    <xf numFmtId="168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horizontal="center" vertical="center" wrapText="1"/>
    </xf>
    <xf numFmtId="165" fontId="10" fillId="0" borderId="1" xfId="1" applyNumberFormat="1" applyFont="1" applyFill="1" applyBorder="1" applyAlignment="1">
      <alignment horizontal="center" vertical="center"/>
    </xf>
    <xf numFmtId="1" fontId="10" fillId="0" borderId="1" xfId="1" applyNumberFormat="1" applyFont="1" applyBorder="1" applyAlignment="1">
      <alignment horizontal="center" vertical="center"/>
    </xf>
    <xf numFmtId="2" fontId="10" fillId="0" borderId="1" xfId="1" applyNumberFormat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0" fillId="0" borderId="0" xfId="0" applyFont="1" applyFill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167" fontId="10" fillId="0" borderId="0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2" fontId="10" fillId="0" borderId="1" xfId="0" applyNumberFormat="1" applyFont="1" applyBorder="1" applyAlignment="1">
      <alignment horizontal="center" vertical="center"/>
    </xf>
    <xf numFmtId="167" fontId="10" fillId="0" borderId="1" xfId="0" applyNumberFormat="1" applyFont="1" applyFill="1" applyBorder="1" applyAlignment="1">
      <alignment horizontal="center" vertical="center"/>
    </xf>
    <xf numFmtId="167" fontId="10" fillId="3" borderId="1" xfId="0" applyNumberFormat="1" applyFont="1" applyFill="1" applyBorder="1" applyAlignment="1">
      <alignment horizontal="center" vertical="center"/>
    </xf>
    <xf numFmtId="167" fontId="10" fillId="0" borderId="1" xfId="1" applyNumberFormat="1" applyFont="1" applyFill="1" applyBorder="1" applyAlignment="1">
      <alignment horizontal="center" vertical="center"/>
    </xf>
    <xf numFmtId="170" fontId="10" fillId="0" borderId="1" xfId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3" fontId="10" fillId="0" borderId="0" xfId="0" applyNumberFormat="1" applyFont="1"/>
    <xf numFmtId="0" fontId="10" fillId="0" borderId="0" xfId="0" applyFont="1" applyAlignment="1">
      <alignment horizontal="center" vertical="center" wrapText="1"/>
    </xf>
    <xf numFmtId="3" fontId="10" fillId="0" borderId="0" xfId="0" applyNumberFormat="1" applyFont="1" applyAlignment="1">
      <alignment vertical="center" wrapText="1"/>
    </xf>
    <xf numFmtId="0" fontId="10" fillId="0" borderId="0" xfId="0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167" fontId="10" fillId="0" borderId="1" xfId="0" applyNumberFormat="1" applyFont="1" applyBorder="1" applyAlignment="1">
      <alignment horizontal="center" vertical="center" wrapText="1"/>
    </xf>
    <xf numFmtId="2" fontId="10" fillId="0" borderId="0" xfId="0" applyNumberFormat="1" applyFont="1" applyBorder="1" applyAlignment="1">
      <alignment horizontal="center" vertical="center" wrapText="1"/>
    </xf>
    <xf numFmtId="167" fontId="10" fillId="0" borderId="0" xfId="0" applyNumberFormat="1" applyFont="1" applyBorder="1" applyAlignment="1">
      <alignment horizontal="center" vertical="center" wrapText="1"/>
    </xf>
    <xf numFmtId="3" fontId="10" fillId="0" borderId="0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3" fontId="15" fillId="0" borderId="0" xfId="1" applyNumberFormat="1" applyFont="1" applyFill="1" applyBorder="1" applyAlignment="1">
      <alignment horizontal="center" vertical="center"/>
    </xf>
    <xf numFmtId="3" fontId="10" fillId="0" borderId="0" xfId="1" applyNumberFormat="1" applyFont="1" applyFill="1" applyBorder="1" applyAlignment="1">
      <alignment horizontal="center" vertical="center"/>
    </xf>
    <xf numFmtId="166" fontId="10" fillId="0" borderId="0" xfId="1" applyNumberFormat="1" applyFont="1" applyFill="1" applyBorder="1" applyAlignment="1">
      <alignment horizontal="center" vertical="center"/>
    </xf>
    <xf numFmtId="169" fontId="10" fillId="0" borderId="1" xfId="0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3" fontId="10" fillId="0" borderId="0" xfId="0" applyNumberFormat="1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" xfId="1" applyFont="1" applyFill="1" applyBorder="1" applyAlignment="1">
      <alignment vertical="center" wrapText="1"/>
    </xf>
    <xf numFmtId="169" fontId="10" fillId="0" borderId="1" xfId="1" applyNumberFormat="1" applyFont="1" applyFill="1" applyBorder="1" applyAlignment="1">
      <alignment horizontal="center" vertical="center"/>
    </xf>
    <xf numFmtId="171" fontId="10" fillId="0" borderId="1" xfId="1" applyNumberFormat="1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65" fontId="10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indent="9"/>
    </xf>
    <xf numFmtId="0" fontId="3" fillId="0" borderId="0" xfId="0" applyFont="1" applyAlignment="1">
      <alignment horizontal="left" indent="12"/>
    </xf>
    <xf numFmtId="169" fontId="10" fillId="0" borderId="1" xfId="0" applyNumberFormat="1" applyFont="1" applyFill="1" applyBorder="1" applyAlignment="1">
      <alignment horizontal="center"/>
    </xf>
    <xf numFmtId="167" fontId="10" fillId="0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vertical="center"/>
    </xf>
    <xf numFmtId="0" fontId="8" fillId="0" borderId="0" xfId="0" applyFont="1" applyAlignment="1" applyProtection="1">
      <alignment horizontal="left"/>
    </xf>
    <xf numFmtId="0" fontId="10" fillId="0" borderId="0" xfId="0" applyFont="1" applyFill="1"/>
    <xf numFmtId="0" fontId="5" fillId="0" borderId="0" xfId="0" applyFont="1"/>
    <xf numFmtId="0" fontId="10" fillId="0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Border="1" applyAlignment="1">
      <alignment vertical="center" wrapText="1"/>
    </xf>
    <xf numFmtId="11" fontId="10" fillId="0" borderId="1" xfId="0" applyNumberFormat="1" applyFont="1" applyBorder="1" applyAlignment="1">
      <alignment horizontal="center" vertical="center"/>
    </xf>
    <xf numFmtId="11" fontId="10" fillId="0" borderId="1" xfId="0" applyNumberFormat="1" applyFont="1" applyBorder="1" applyAlignment="1">
      <alignment horizontal="center" vertical="center" wrapText="1"/>
    </xf>
    <xf numFmtId="11" fontId="10" fillId="0" borderId="1" xfId="0" applyNumberFormat="1" applyFont="1" applyFill="1" applyBorder="1" applyAlignment="1">
      <alignment vertical="center"/>
    </xf>
    <xf numFmtId="11" fontId="10" fillId="0" borderId="1" xfId="0" applyNumberFormat="1" applyFont="1" applyFill="1" applyBorder="1" applyAlignment="1">
      <alignment horizontal="center" vertical="center"/>
    </xf>
    <xf numFmtId="0" fontId="10" fillId="2" borderId="5" xfId="1" applyFont="1" applyFill="1" applyBorder="1" applyAlignment="1">
      <alignment horizontal="center" vertical="center" wrapText="1"/>
    </xf>
    <xf numFmtId="0" fontId="10" fillId="2" borderId="5" xfId="1" applyNumberFormat="1" applyFont="1" applyFill="1" applyBorder="1" applyAlignment="1">
      <alignment horizontal="center" vertical="center" wrapText="1"/>
    </xf>
    <xf numFmtId="3" fontId="10" fillId="2" borderId="5" xfId="1" applyNumberFormat="1" applyFont="1" applyFill="1" applyBorder="1" applyAlignment="1">
      <alignment horizontal="center" vertical="center" wrapText="1"/>
    </xf>
    <xf numFmtId="0" fontId="10" fillId="2" borderId="5" xfId="1" applyFont="1" applyFill="1" applyBorder="1" applyAlignment="1">
      <alignment horizontal="center" vertical="center" wrapText="1"/>
    </xf>
    <xf numFmtId="0" fontId="10" fillId="2" borderId="5" xfId="1" applyNumberFormat="1" applyFont="1" applyFill="1" applyBorder="1" applyAlignment="1">
      <alignment horizontal="center" vertical="center" wrapText="1"/>
    </xf>
    <xf numFmtId="3" fontId="10" fillId="2" borderId="5" xfId="1" applyNumberFormat="1" applyFont="1" applyFill="1" applyBorder="1" applyAlignment="1">
      <alignment horizontal="center" vertical="center" wrapText="1"/>
    </xf>
    <xf numFmtId="0" fontId="9" fillId="0" borderId="0" xfId="0" applyFont="1" applyFill="1"/>
    <xf numFmtId="0" fontId="20" fillId="4" borderId="6" xfId="0" applyFont="1" applyFill="1" applyBorder="1"/>
    <xf numFmtId="0" fontId="9" fillId="4" borderId="7" xfId="0" applyFont="1" applyFill="1" applyBorder="1"/>
    <xf numFmtId="0" fontId="10" fillId="4" borderId="8" xfId="0" applyFont="1" applyFill="1" applyBorder="1"/>
    <xf numFmtId="0" fontId="21" fillId="0" borderId="0" xfId="0" applyFont="1" applyFill="1"/>
    <xf numFmtId="0" fontId="16" fillId="0" borderId="0" xfId="0" applyFont="1"/>
    <xf numFmtId="0" fontId="22" fillId="0" borderId="0" xfId="0" applyFont="1"/>
    <xf numFmtId="0" fontId="16" fillId="0" borderId="0" xfId="0" applyFont="1" applyFill="1" applyBorder="1" applyAlignment="1">
      <alignment vertical="center"/>
    </xf>
    <xf numFmtId="0" fontId="10" fillId="2" borderId="1" xfId="0" applyFont="1" applyFill="1" applyBorder="1" applyAlignment="1">
      <alignment wrapText="1"/>
    </xf>
    <xf numFmtId="0" fontId="14" fillId="0" borderId="0" xfId="0" applyFont="1" applyFill="1"/>
    <xf numFmtId="0" fontId="10" fillId="0" borderId="1" xfId="0" applyFont="1" applyFill="1" applyBorder="1"/>
    <xf numFmtId="2" fontId="10" fillId="0" borderId="1" xfId="0" applyNumberFormat="1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/>
    </xf>
    <xf numFmtId="0" fontId="10" fillId="0" borderId="0" xfId="0" quotePrefix="1" applyFont="1"/>
    <xf numFmtId="0" fontId="10" fillId="0" borderId="1" xfId="0" applyFont="1" applyBorder="1" applyAlignment="1">
      <alignment vertical="center"/>
    </xf>
    <xf numFmtId="0" fontId="16" fillId="0" borderId="0" xfId="0" applyFont="1" applyFill="1" applyAlignment="1">
      <alignment horizontal="left"/>
    </xf>
    <xf numFmtId="0" fontId="10" fillId="6" borderId="1" xfId="0" applyFont="1" applyFill="1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1" applyFont="1" applyFill="1" applyBorder="1" applyAlignment="1">
      <alignment horizontal="right" vertical="center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/>
    </xf>
    <xf numFmtId="2" fontId="10" fillId="0" borderId="0" xfId="1" applyNumberFormat="1" applyFont="1" applyFill="1" applyBorder="1" applyAlignment="1">
      <alignment horizontal="center" vertical="center"/>
    </xf>
    <xf numFmtId="166" fontId="10" fillId="0" borderId="0" xfId="0" applyNumberFormat="1" applyFont="1" applyFill="1" applyBorder="1" applyAlignment="1">
      <alignment horizontal="center" vertical="center"/>
    </xf>
    <xf numFmtId="169" fontId="10" fillId="0" borderId="0" xfId="0" applyNumberFormat="1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/>
    </xf>
    <xf numFmtId="0" fontId="20" fillId="5" borderId="21" xfId="0" applyFont="1" applyFill="1" applyBorder="1" applyAlignment="1"/>
    <xf numFmtId="0" fontId="20" fillId="0" borderId="0" xfId="0" applyFont="1" applyFill="1" applyBorder="1" applyAlignment="1"/>
    <xf numFmtId="0" fontId="9" fillId="0" borderId="0" xfId="0" applyFont="1" applyFill="1" applyBorder="1" applyAlignment="1"/>
    <xf numFmtId="0" fontId="20" fillId="5" borderId="1" xfId="2" applyFont="1" applyFill="1" applyBorder="1"/>
    <xf numFmtId="0" fontId="9" fillId="5" borderId="1" xfId="2" applyFont="1" applyFill="1" applyBorder="1"/>
    <xf numFmtId="0" fontId="20" fillId="5" borderId="14" xfId="2" applyFont="1" applyFill="1" applyBorder="1"/>
    <xf numFmtId="0" fontId="20" fillId="5" borderId="15" xfId="2" applyFont="1" applyFill="1" applyBorder="1"/>
    <xf numFmtId="0" fontId="9" fillId="5" borderId="14" xfId="2" applyFont="1" applyFill="1" applyBorder="1"/>
    <xf numFmtId="0" fontId="9" fillId="5" borderId="16" xfId="2" applyFont="1" applyFill="1" applyBorder="1"/>
    <xf numFmtId="0" fontId="9" fillId="5" borderId="24" xfId="2" applyFont="1" applyFill="1" applyBorder="1"/>
    <xf numFmtId="0" fontId="3" fillId="5" borderId="22" xfId="0" applyFont="1" applyFill="1" applyBorder="1"/>
    <xf numFmtId="0" fontId="3" fillId="5" borderId="19" xfId="0" applyFont="1" applyFill="1" applyBorder="1"/>
    <xf numFmtId="0" fontId="3" fillId="5" borderId="20" xfId="0" applyFont="1" applyFill="1" applyBorder="1"/>
    <xf numFmtId="0" fontId="20" fillId="5" borderId="14" xfId="4" applyFont="1" applyFill="1" applyBorder="1" applyAlignment="1">
      <alignment horizontal="center"/>
    </xf>
    <xf numFmtId="0" fontId="20" fillId="5" borderId="15" xfId="4" applyFont="1" applyFill="1" applyBorder="1" applyAlignment="1">
      <alignment horizontal="center"/>
    </xf>
    <xf numFmtId="0" fontId="9" fillId="5" borderId="14" xfId="4" applyFont="1" applyFill="1" applyBorder="1" applyAlignment="1">
      <alignment horizontal="center" vertical="center"/>
    </xf>
    <xf numFmtId="0" fontId="9" fillId="5" borderId="15" xfId="4" applyFont="1" applyFill="1" applyBorder="1" applyAlignment="1">
      <alignment horizontal="center"/>
    </xf>
    <xf numFmtId="0" fontId="9" fillId="5" borderId="14" xfId="4" applyFont="1" applyFill="1" applyBorder="1" applyAlignment="1">
      <alignment horizontal="center"/>
    </xf>
    <xf numFmtId="0" fontId="9" fillId="5" borderId="16" xfId="4" applyFont="1" applyFill="1" applyBorder="1" applyAlignment="1">
      <alignment horizontal="center"/>
    </xf>
    <xf numFmtId="0" fontId="9" fillId="5" borderId="17" xfId="4" applyFont="1" applyFill="1" applyBorder="1" applyAlignment="1">
      <alignment horizontal="center"/>
    </xf>
    <xf numFmtId="0" fontId="3" fillId="7" borderId="15" xfId="4" applyNumberFormat="1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left" vertical="center" wrapText="1"/>
    </xf>
    <xf numFmtId="0" fontId="3" fillId="0" borderId="0" xfId="0" applyFont="1" applyFill="1" applyBorder="1"/>
    <xf numFmtId="0" fontId="16" fillId="0" borderId="0" xfId="0" applyFont="1" applyFill="1" applyBorder="1" applyProtection="1">
      <protection locked="0"/>
    </xf>
    <xf numFmtId="0" fontId="16" fillId="0" borderId="0" xfId="0" applyFont="1" applyFill="1" applyBorder="1"/>
    <xf numFmtId="0" fontId="3" fillId="0" borderId="15" xfId="0" applyNumberFormat="1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left" vertical="center" wrapText="1"/>
    </xf>
    <xf numFmtId="0" fontId="3" fillId="0" borderId="18" xfId="0" applyFont="1" applyFill="1" applyBorder="1"/>
    <xf numFmtId="0" fontId="3" fillId="0" borderId="9" xfId="0" applyFont="1" applyFill="1" applyBorder="1" applyAlignment="1">
      <alignment vertical="center"/>
    </xf>
    <xf numFmtId="0" fontId="3" fillId="0" borderId="19" xfId="0" applyNumberFormat="1" applyFont="1" applyFill="1" applyBorder="1" applyAlignment="1">
      <alignment horizontal="center" vertical="center"/>
    </xf>
    <xf numFmtId="0" fontId="3" fillId="0" borderId="18" xfId="0" applyFont="1" applyBorder="1"/>
    <xf numFmtId="0" fontId="3" fillId="0" borderId="9" xfId="0" applyFont="1" applyFill="1" applyBorder="1" applyAlignment="1">
      <alignment horizontal="left" vertical="center" wrapText="1"/>
    </xf>
    <xf numFmtId="0" fontId="3" fillId="0" borderId="19" xfId="0" applyNumberFormat="1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26" xfId="0" applyFont="1" applyFill="1" applyBorder="1" applyAlignment="1">
      <alignment horizontal="left" vertical="center" wrapText="1"/>
    </xf>
    <xf numFmtId="2" fontId="3" fillId="0" borderId="26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3" fillId="0" borderId="24" xfId="0" applyFont="1" applyBorder="1"/>
    <xf numFmtId="0" fontId="3" fillId="0" borderId="17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171" fontId="10" fillId="0" borderId="1" xfId="1" applyNumberFormat="1" applyFont="1" applyFill="1" applyBorder="1" applyAlignment="1">
      <alignment horizontal="center" vertical="center"/>
    </xf>
    <xf numFmtId="0" fontId="3" fillId="7" borderId="15" xfId="6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0" fillId="7" borderId="0" xfId="0" applyFont="1" applyFill="1"/>
    <xf numFmtId="167" fontId="10" fillId="7" borderId="1" xfId="0" applyNumberFormat="1" applyFont="1" applyFill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20" fillId="5" borderId="21" xfId="4" applyFont="1" applyFill="1" applyBorder="1" applyAlignment="1">
      <alignment horizontal="center" vertical="center"/>
    </xf>
    <xf numFmtId="0" fontId="20" fillId="5" borderId="22" xfId="4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7" xfId="0" applyFont="1" applyFill="1" applyBorder="1" applyAlignment="1" applyProtection="1">
      <alignment horizontal="center" vertical="center" wrapText="1"/>
      <protection locked="0"/>
    </xf>
    <xf numFmtId="0" fontId="4" fillId="0" borderId="28" xfId="0" applyFont="1" applyFill="1" applyBorder="1" applyAlignment="1" applyProtection="1">
      <alignment horizontal="center" vertical="center" wrapText="1"/>
      <protection locked="0"/>
    </xf>
    <xf numFmtId="0" fontId="4" fillId="6" borderId="12" xfId="0" applyFont="1" applyFill="1" applyBorder="1" applyAlignment="1">
      <alignment horizontal="center" wrapText="1"/>
    </xf>
    <xf numFmtId="0" fontId="4" fillId="6" borderId="23" xfId="0" applyFont="1" applyFill="1" applyBorder="1" applyAlignment="1">
      <alignment horizontal="center" wrapText="1"/>
    </xf>
    <xf numFmtId="0" fontId="4" fillId="6" borderId="13" xfId="0" applyFont="1" applyFill="1" applyBorder="1" applyAlignment="1">
      <alignment horizont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0" fontId="20" fillId="5" borderId="21" xfId="2" applyFont="1" applyFill="1" applyBorder="1" applyAlignment="1">
      <alignment horizontal="center"/>
    </xf>
    <xf numFmtId="0" fontId="20" fillId="5" borderId="25" xfId="2" applyFont="1" applyFill="1" applyBorder="1" applyAlignment="1">
      <alignment horizontal="center"/>
    </xf>
    <xf numFmtId="0" fontId="20" fillId="5" borderId="22" xfId="2" applyFont="1" applyFill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 wrapText="1"/>
    </xf>
    <xf numFmtId="0" fontId="10" fillId="0" borderId="10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10" fillId="6" borderId="2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10" fillId="2" borderId="5" xfId="1" applyFont="1" applyFill="1" applyBorder="1" applyAlignment="1">
      <alignment horizontal="center" vertical="center" wrapText="1"/>
    </xf>
    <xf numFmtId="0" fontId="10" fillId="2" borderId="3" xfId="1" applyFont="1" applyFill="1" applyBorder="1" applyAlignment="1">
      <alignment horizontal="center" vertical="center" wrapText="1"/>
    </xf>
    <xf numFmtId="0" fontId="10" fillId="2" borderId="5" xfId="1" applyNumberFormat="1" applyFont="1" applyFill="1" applyBorder="1" applyAlignment="1">
      <alignment horizontal="center" vertical="center" wrapText="1"/>
    </xf>
    <xf numFmtId="0" fontId="10" fillId="2" borderId="3" xfId="1" applyNumberFormat="1" applyFont="1" applyFill="1" applyBorder="1" applyAlignment="1">
      <alignment horizontal="center" vertical="center" wrapText="1"/>
    </xf>
    <xf numFmtId="3" fontId="10" fillId="2" borderId="5" xfId="1" applyNumberFormat="1" applyFont="1" applyFill="1" applyBorder="1" applyAlignment="1">
      <alignment horizontal="center" vertical="center" wrapText="1"/>
    </xf>
    <xf numFmtId="3" fontId="10" fillId="2" borderId="3" xfId="1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10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0" borderId="1" xfId="1" applyFont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right" vertical="center"/>
    </xf>
    <xf numFmtId="0" fontId="10" fillId="0" borderId="10" xfId="1" applyFont="1" applyFill="1" applyBorder="1" applyAlignment="1">
      <alignment horizontal="right" vertical="center"/>
    </xf>
    <xf numFmtId="0" fontId="10" fillId="0" borderId="3" xfId="1" applyFont="1" applyFill="1" applyBorder="1" applyAlignment="1">
      <alignment horizontal="right" vertical="center"/>
    </xf>
    <xf numFmtId="0" fontId="9" fillId="5" borderId="1" xfId="0" applyFont="1" applyFill="1" applyBorder="1"/>
    <xf numFmtId="0" fontId="3" fillId="5" borderId="29" xfId="0" applyFont="1" applyFill="1" applyBorder="1"/>
    <xf numFmtId="0" fontId="3" fillId="7" borderId="15" xfId="0" applyNumberFormat="1" applyFont="1" applyFill="1" applyBorder="1" applyAlignment="1">
      <alignment horizontal="center" vertical="center" wrapText="1"/>
    </xf>
    <xf numFmtId="0" fontId="3" fillId="7" borderId="17" xfId="0" applyNumberFormat="1" applyFont="1" applyFill="1" applyBorder="1" applyAlignment="1">
      <alignment horizontal="center" vertical="center" wrapText="1"/>
    </xf>
    <xf numFmtId="0" fontId="16" fillId="7" borderId="30" xfId="0" applyFont="1" applyFill="1" applyBorder="1"/>
  </cellXfs>
  <cellStyles count="10">
    <cellStyle name="Comma 2" xfId="5"/>
    <cellStyle name="Comma 3" xfId="3"/>
    <cellStyle name="Normal" xfId="0" builtinId="0"/>
    <cellStyle name="Normal 2" xfId="2"/>
    <cellStyle name="Normal 2 2" xfId="6"/>
    <cellStyle name="Normal 2 3" xfId="9"/>
    <cellStyle name="Normal 3" xfId="4"/>
    <cellStyle name="Normal 4" xfId="7"/>
    <cellStyle name="Normal_BENOMYL" xfId="1"/>
    <cellStyle name="Percent 2" xfId="8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2"/>
  <sheetViews>
    <sheetView tabSelected="1" zoomScale="85" workbookViewId="0">
      <selection activeCell="E6" sqref="E6"/>
    </sheetView>
  </sheetViews>
  <sheetFormatPr defaultRowHeight="15.75" x14ac:dyDescent="0.25"/>
  <cols>
    <col min="1" max="1" width="9.140625" style="3"/>
    <col min="2" max="2" width="11.85546875" style="3" customWidth="1"/>
    <col min="3" max="3" width="43.85546875" style="3" customWidth="1"/>
    <col min="4" max="4" width="44.140625" style="3" customWidth="1"/>
    <col min="5" max="5" width="43.85546875" style="3" bestFit="1" customWidth="1"/>
    <col min="6" max="16384" width="9.140625" style="3"/>
  </cols>
  <sheetData>
    <row r="1" spans="2:4" ht="18.75" x14ac:dyDescent="0.3">
      <c r="B1" s="96" t="s">
        <v>104</v>
      </c>
    </row>
    <row r="2" spans="2:4" ht="12.75" customHeight="1" thickBot="1" x14ac:dyDescent="0.3"/>
    <row r="3" spans="2:4" ht="22.5" customHeight="1" thickBot="1" x14ac:dyDescent="0.3">
      <c r="B3" s="187" t="s">
        <v>176</v>
      </c>
      <c r="C3" s="188"/>
      <c r="D3" s="138" t="s">
        <v>122</v>
      </c>
    </row>
    <row r="4" spans="2:4" ht="16.5" customHeight="1" thickBot="1" x14ac:dyDescent="0.3"/>
    <row r="5" spans="2:4" ht="16.5" customHeight="1" thickBot="1" x14ac:dyDescent="0.3">
      <c r="B5" s="193" t="s">
        <v>155</v>
      </c>
      <c r="C5" s="194"/>
      <c r="D5" s="139" t="s">
        <v>191</v>
      </c>
    </row>
    <row r="6" spans="2:4" ht="16.5" customHeight="1" thickBot="1" x14ac:dyDescent="0.35">
      <c r="C6" s="94"/>
    </row>
    <row r="7" spans="2:4" ht="37.5" customHeight="1" thickBot="1" x14ac:dyDescent="0.35">
      <c r="B7" s="195" t="s">
        <v>156</v>
      </c>
      <c r="C7" s="196"/>
      <c r="D7" s="236" t="s">
        <v>182</v>
      </c>
    </row>
    <row r="8" spans="2:4" ht="21" thickBot="1" x14ac:dyDescent="0.35">
      <c r="B8" s="162"/>
      <c r="C8" s="163"/>
      <c r="D8" s="164"/>
    </row>
    <row r="9" spans="2:4" x14ac:dyDescent="0.25">
      <c r="B9" s="203" t="s">
        <v>158</v>
      </c>
      <c r="C9" s="204"/>
      <c r="D9" s="205"/>
    </row>
    <row r="10" spans="2:4" s="10" customFormat="1" x14ac:dyDescent="0.25">
      <c r="B10" s="206" t="s">
        <v>78</v>
      </c>
      <c r="C10" s="161" t="s">
        <v>159</v>
      </c>
      <c r="D10" s="234" t="s">
        <v>190</v>
      </c>
    </row>
    <row r="11" spans="2:4" s="10" customFormat="1" x14ac:dyDescent="0.25">
      <c r="B11" s="206"/>
      <c r="C11" s="161" t="s">
        <v>162</v>
      </c>
      <c r="D11" s="234" t="s">
        <v>189</v>
      </c>
    </row>
    <row r="12" spans="2:4" s="10" customFormat="1" x14ac:dyDescent="0.25">
      <c r="B12" s="167"/>
      <c r="C12" s="168"/>
      <c r="D12" s="169"/>
    </row>
    <row r="13" spans="2:4" x14ac:dyDescent="0.25">
      <c r="B13" s="191" t="s">
        <v>76</v>
      </c>
      <c r="C13" s="1" t="s">
        <v>159</v>
      </c>
      <c r="D13" s="234" t="s">
        <v>183</v>
      </c>
    </row>
    <row r="14" spans="2:4" x14ac:dyDescent="0.25">
      <c r="B14" s="191"/>
      <c r="C14" s="1" t="s">
        <v>160</v>
      </c>
      <c r="D14" s="234" t="s">
        <v>178</v>
      </c>
    </row>
    <row r="15" spans="2:4" x14ac:dyDescent="0.25">
      <c r="B15" s="191"/>
      <c r="C15" s="1" t="s">
        <v>161</v>
      </c>
      <c r="D15" s="160" t="s">
        <v>184</v>
      </c>
    </row>
    <row r="16" spans="2:4" x14ac:dyDescent="0.25">
      <c r="B16" s="191"/>
      <c r="C16" s="1" t="s">
        <v>167</v>
      </c>
      <c r="D16" s="234" t="s">
        <v>179</v>
      </c>
    </row>
    <row r="17" spans="2:4" x14ac:dyDescent="0.25">
      <c r="B17" s="191"/>
      <c r="C17" s="1" t="s">
        <v>162</v>
      </c>
      <c r="D17" s="234" t="s">
        <v>185</v>
      </c>
    </row>
    <row r="18" spans="2:4" x14ac:dyDescent="0.25">
      <c r="B18" s="170"/>
      <c r="C18" s="171"/>
      <c r="D18" s="172"/>
    </row>
    <row r="19" spans="2:4" x14ac:dyDescent="0.25">
      <c r="B19" s="191" t="s">
        <v>77</v>
      </c>
      <c r="C19" s="1" t="s">
        <v>159</v>
      </c>
      <c r="D19" s="234" t="s">
        <v>186</v>
      </c>
    </row>
    <row r="20" spans="2:4" x14ac:dyDescent="0.25">
      <c r="B20" s="191"/>
      <c r="C20" s="1" t="s">
        <v>160</v>
      </c>
      <c r="D20" s="234" t="s">
        <v>180</v>
      </c>
    </row>
    <row r="21" spans="2:4" x14ac:dyDescent="0.25">
      <c r="B21" s="191"/>
      <c r="C21" s="1" t="s">
        <v>161</v>
      </c>
      <c r="D21" s="234" t="s">
        <v>187</v>
      </c>
    </row>
    <row r="22" spans="2:4" ht="16.5" thickBot="1" x14ac:dyDescent="0.3">
      <c r="B22" s="192"/>
      <c r="C22" s="166" t="s">
        <v>162</v>
      </c>
      <c r="D22" s="235" t="s">
        <v>188</v>
      </c>
    </row>
    <row r="23" spans="2:4" ht="16.5" thickBot="1" x14ac:dyDescent="0.3">
      <c r="B23" s="173"/>
      <c r="C23" s="174"/>
      <c r="D23" s="175"/>
    </row>
    <row r="24" spans="2:4" x14ac:dyDescent="0.25">
      <c r="B24" s="200" t="s">
        <v>169</v>
      </c>
      <c r="C24" s="201"/>
      <c r="D24" s="202"/>
    </row>
    <row r="25" spans="2:4" ht="15.75" customHeight="1" x14ac:dyDescent="0.25">
      <c r="B25" s="191" t="s">
        <v>103</v>
      </c>
      <c r="C25" s="1" t="s">
        <v>76</v>
      </c>
      <c r="D25" s="181" t="s">
        <v>177</v>
      </c>
    </row>
    <row r="26" spans="2:4" ht="15.75" customHeight="1" x14ac:dyDescent="0.25">
      <c r="B26" s="191"/>
      <c r="C26" s="1" t="s">
        <v>77</v>
      </c>
      <c r="D26" s="181" t="s">
        <v>177</v>
      </c>
    </row>
    <row r="27" spans="2:4" ht="15.75" customHeight="1" x14ac:dyDescent="0.25">
      <c r="B27" s="191" t="s">
        <v>129</v>
      </c>
      <c r="C27" s="8" t="s">
        <v>170</v>
      </c>
      <c r="D27" s="176">
        <v>11</v>
      </c>
    </row>
    <row r="28" spans="2:4" ht="15.75" customHeight="1" thickBot="1" x14ac:dyDescent="0.3">
      <c r="B28" s="192"/>
      <c r="C28" s="177" t="s">
        <v>171</v>
      </c>
      <c r="D28" s="178">
        <v>19</v>
      </c>
    </row>
    <row r="29" spans="2:4" ht="15.75" customHeight="1" thickBot="1" x14ac:dyDescent="0.3">
      <c r="B29" s="179"/>
      <c r="C29" s="173"/>
      <c r="D29" s="179"/>
    </row>
    <row r="30" spans="2:4" x14ac:dyDescent="0.25">
      <c r="B30" s="197" t="s">
        <v>168</v>
      </c>
      <c r="C30" s="198"/>
      <c r="D30" s="199"/>
    </row>
    <row r="31" spans="2:4" x14ac:dyDescent="0.25">
      <c r="B31" s="210" t="s">
        <v>103</v>
      </c>
      <c r="C31" s="211"/>
      <c r="D31" s="165">
        <v>0.64</v>
      </c>
    </row>
    <row r="32" spans="2:4" x14ac:dyDescent="0.25">
      <c r="B32" s="191" t="s">
        <v>129</v>
      </c>
      <c r="C32" s="8" t="s">
        <v>170</v>
      </c>
      <c r="D32" s="176">
        <v>0.33</v>
      </c>
    </row>
    <row r="33" spans="2:4" ht="16.5" thickBot="1" x14ac:dyDescent="0.3">
      <c r="B33" s="192"/>
      <c r="C33" s="177" t="s">
        <v>171</v>
      </c>
      <c r="D33" s="178">
        <v>0.42</v>
      </c>
    </row>
    <row r="34" spans="2:4" ht="16.5" thickBot="1" x14ac:dyDescent="0.3"/>
    <row r="35" spans="2:4" x14ac:dyDescent="0.25">
      <c r="B35" s="207" t="s">
        <v>105</v>
      </c>
      <c r="C35" s="208"/>
      <c r="D35" s="209"/>
    </row>
    <row r="36" spans="2:4" x14ac:dyDescent="0.25">
      <c r="B36" s="145" t="s">
        <v>163</v>
      </c>
      <c r="C36" s="143" t="s">
        <v>98</v>
      </c>
      <c r="D36" s="146" t="s">
        <v>106</v>
      </c>
    </row>
    <row r="37" spans="2:4" x14ac:dyDescent="0.25">
      <c r="B37" s="147" t="s">
        <v>99</v>
      </c>
      <c r="C37" s="144" t="s">
        <v>95</v>
      </c>
      <c r="D37" s="232" t="s">
        <v>177</v>
      </c>
    </row>
    <row r="38" spans="2:4" x14ac:dyDescent="0.25">
      <c r="B38" s="147" t="s">
        <v>100</v>
      </c>
      <c r="C38" s="144" t="s">
        <v>97</v>
      </c>
      <c r="D38" s="232" t="s">
        <v>177</v>
      </c>
    </row>
    <row r="39" spans="2:4" ht="16.5" thickBot="1" x14ac:dyDescent="0.3">
      <c r="B39" s="148" t="s">
        <v>101</v>
      </c>
      <c r="C39" s="149" t="s">
        <v>96</v>
      </c>
      <c r="D39" s="232" t="s">
        <v>177</v>
      </c>
    </row>
    <row r="40" spans="2:4" ht="16.5" thickBot="1" x14ac:dyDescent="0.3"/>
    <row r="41" spans="2:4" x14ac:dyDescent="0.25">
      <c r="B41" s="189" t="s">
        <v>164</v>
      </c>
      <c r="C41" s="190"/>
    </row>
    <row r="42" spans="2:4" x14ac:dyDescent="0.25">
      <c r="B42" s="153" t="s">
        <v>165</v>
      </c>
      <c r="C42" s="154" t="s">
        <v>166</v>
      </c>
    </row>
    <row r="43" spans="2:4" x14ac:dyDescent="0.25">
      <c r="B43" s="155" t="s">
        <v>178</v>
      </c>
      <c r="C43" s="156" t="s">
        <v>179</v>
      </c>
    </row>
    <row r="44" spans="2:4" x14ac:dyDescent="0.25">
      <c r="B44" s="155" t="s">
        <v>180</v>
      </c>
      <c r="C44" s="156" t="s">
        <v>181</v>
      </c>
    </row>
    <row r="45" spans="2:4" x14ac:dyDescent="0.25">
      <c r="B45" s="155"/>
      <c r="C45" s="156"/>
    </row>
    <row r="46" spans="2:4" x14ac:dyDescent="0.25">
      <c r="B46" s="157"/>
      <c r="C46" s="156"/>
    </row>
    <row r="47" spans="2:4" ht="16.5" thickBot="1" x14ac:dyDescent="0.3">
      <c r="B47" s="158"/>
      <c r="C47" s="159"/>
    </row>
    <row r="48" spans="2:4" ht="16.5" thickBot="1" x14ac:dyDescent="0.3"/>
    <row r="49" spans="2:4" x14ac:dyDescent="0.25">
      <c r="B49" s="140" t="s">
        <v>157</v>
      </c>
      <c r="C49" s="150"/>
      <c r="D49" s="141"/>
    </row>
    <row r="50" spans="2:4" x14ac:dyDescent="0.25">
      <c r="B50" s="233" t="s">
        <v>182</v>
      </c>
      <c r="C50" s="151"/>
      <c r="D50" s="142"/>
    </row>
    <row r="51" spans="2:4" x14ac:dyDescent="0.25">
      <c r="B51" s="233" t="s">
        <v>182</v>
      </c>
      <c r="C51" s="151"/>
      <c r="D51" s="142"/>
    </row>
    <row r="52" spans="2:4" ht="16.5" thickBot="1" x14ac:dyDescent="0.3">
      <c r="B52" s="233" t="s">
        <v>182</v>
      </c>
      <c r="C52" s="152"/>
      <c r="D52" s="142"/>
    </row>
  </sheetData>
  <mergeCells count="15">
    <mergeCell ref="B3:C3"/>
    <mergeCell ref="B41:C41"/>
    <mergeCell ref="B13:B17"/>
    <mergeCell ref="B19:B22"/>
    <mergeCell ref="B5:C5"/>
    <mergeCell ref="B7:C7"/>
    <mergeCell ref="B25:B26"/>
    <mergeCell ref="B27:B28"/>
    <mergeCell ref="B32:B33"/>
    <mergeCell ref="B30:D30"/>
    <mergeCell ref="B24:D24"/>
    <mergeCell ref="B9:D9"/>
    <mergeCell ref="B10:B11"/>
    <mergeCell ref="B35:D35"/>
    <mergeCell ref="B31:C31"/>
  </mergeCells>
  <phoneticPr fontId="2" type="noConversion"/>
  <dataValidations count="6">
    <dataValidation type="list" allowBlank="1" showInputMessage="1" showErrorMessage="1" sqref="D25:D26">
      <formula1>$D$37:$D$39</formula1>
    </dataValidation>
    <dataValidation type="list" allowBlank="1" showInputMessage="1" showErrorMessage="1" sqref="D8">
      <formula1>#REF!</formula1>
    </dataValidation>
    <dataValidation allowBlank="1" showInputMessage="1" showErrorMessage="1" promptTitle="Absorption" prompt="If POD source is route-specific, enter &quot;1&quot;" sqref="D15"/>
    <dataValidation type="list" allowBlank="1" showInputMessage="1" showErrorMessage="1" sqref="D14 D20">
      <formula1>$C$42:$C$43</formula1>
    </dataValidation>
    <dataValidation type="list" allowBlank="1" showInputMessage="1" showErrorMessage="1" sqref="D16">
      <formula1>$D$42:$D$46</formula1>
    </dataValidation>
    <dataValidation type="list" allowBlank="1" showInputMessage="1" showErrorMessage="1" sqref="D7">
      <formula1>$C$49:$C$51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4"/>
  <sheetViews>
    <sheetView zoomScale="90" zoomScaleNormal="90" workbookViewId="0">
      <selection activeCell="B7" sqref="B7"/>
    </sheetView>
  </sheetViews>
  <sheetFormatPr defaultRowHeight="12.75" x14ac:dyDescent="0.2"/>
  <cols>
    <col min="1" max="1" width="41.42578125" style="12" customWidth="1"/>
    <col min="2" max="2" width="20" style="12" customWidth="1"/>
    <col min="3" max="3" width="12.28515625" style="12" customWidth="1"/>
    <col min="4" max="4" width="11.42578125" style="12" customWidth="1"/>
    <col min="5" max="5" width="9.140625" style="12"/>
    <col min="6" max="6" width="14.42578125" style="12" customWidth="1"/>
    <col min="7" max="7" width="11.7109375" style="12" customWidth="1"/>
    <col min="8" max="8" width="14.42578125" style="12" customWidth="1"/>
    <col min="9" max="9" width="11.7109375" style="12" customWidth="1"/>
    <col min="10" max="10" width="14.140625" style="12" customWidth="1"/>
    <col min="11" max="11" width="9.140625" style="12"/>
    <col min="12" max="12" width="12.42578125" style="12" customWidth="1"/>
    <col min="13" max="13" width="12.28515625" style="12" customWidth="1"/>
    <col min="14" max="14" width="9.140625" style="12"/>
    <col min="15" max="15" width="10.85546875" style="12" customWidth="1"/>
    <col min="16" max="16" width="9.140625" style="12"/>
    <col min="17" max="17" width="26.7109375" style="12" customWidth="1"/>
    <col min="18" max="19" width="9.140625" style="12"/>
    <col min="20" max="20" width="36.5703125" style="12" customWidth="1"/>
    <col min="21" max="16384" width="9.140625" style="12"/>
  </cols>
  <sheetData>
    <row r="1" spans="1:20" ht="20.25" x14ac:dyDescent="0.3">
      <c r="A1" s="115" t="s">
        <v>71</v>
      </c>
      <c r="P1" s="110"/>
      <c r="R1" s="110"/>
      <c r="S1" s="110"/>
      <c r="T1" s="111" t="s">
        <v>102</v>
      </c>
    </row>
    <row r="2" spans="1:20" x14ac:dyDescent="0.2">
      <c r="P2" s="110"/>
      <c r="R2" s="110"/>
      <c r="S2" s="110"/>
      <c r="T2" s="112">
        <v>1</v>
      </c>
    </row>
    <row r="3" spans="1:20" s="17" customFormat="1" ht="15.75" x14ac:dyDescent="0.25">
      <c r="A3" s="13" t="s">
        <v>29</v>
      </c>
      <c r="B3" s="182"/>
      <c r="D3" s="217" t="s">
        <v>75</v>
      </c>
      <c r="E3" s="218"/>
      <c r="G3" s="183" t="s">
        <v>122</v>
      </c>
      <c r="H3" s="184"/>
      <c r="I3" s="184"/>
      <c r="J3" s="10"/>
      <c r="P3" s="95"/>
      <c r="R3" s="95"/>
      <c r="S3" s="95"/>
      <c r="T3" s="112">
        <v>2</v>
      </c>
    </row>
    <row r="4" spans="1:20" s="17" customFormat="1" ht="15.75" thickBot="1" x14ac:dyDescent="0.3">
      <c r="A4" s="13" t="s">
        <v>30</v>
      </c>
      <c r="B4" s="182" t="s">
        <v>192</v>
      </c>
      <c r="D4" s="16" t="s">
        <v>76</v>
      </c>
      <c r="E4" s="16" t="str">
        <f>'TOX and EXPO INPUTS'!D17</f>
        <v>KEY_Dermal_LOC</v>
      </c>
      <c r="P4" s="95"/>
      <c r="R4" s="95"/>
      <c r="S4" s="95"/>
      <c r="T4" s="113">
        <v>3</v>
      </c>
    </row>
    <row r="5" spans="1:20" s="17" customFormat="1" ht="15" x14ac:dyDescent="0.25">
      <c r="A5" s="18" t="s">
        <v>62</v>
      </c>
      <c r="B5" s="182"/>
      <c r="D5" s="16" t="s">
        <v>77</v>
      </c>
      <c r="E5" s="16" t="str">
        <f>'TOX and EXPO INPUTS'!D22</f>
        <v>KEY_Inhalation_LOC</v>
      </c>
      <c r="P5" s="95"/>
      <c r="Q5" s="95"/>
      <c r="R5" s="95"/>
      <c r="S5" s="95"/>
    </row>
    <row r="6" spans="1:20" s="17" customFormat="1" ht="30" x14ac:dyDescent="0.25">
      <c r="A6" s="18" t="s">
        <v>63</v>
      </c>
      <c r="B6" s="182" t="s">
        <v>193</v>
      </c>
      <c r="D6" s="45" t="s">
        <v>78</v>
      </c>
      <c r="E6" s="16" t="str">
        <f>'TOX and EXPO INPUTS'!D11</f>
        <v>KEY_Oral_LOC</v>
      </c>
      <c r="P6" s="95"/>
      <c r="Q6" s="95"/>
      <c r="R6" s="95"/>
      <c r="S6" s="95"/>
    </row>
    <row r="7" spans="1:20" s="17" customFormat="1" ht="15" x14ac:dyDescent="0.25">
      <c r="A7" s="13" t="s">
        <v>154</v>
      </c>
      <c r="B7" s="182"/>
    </row>
    <row r="8" spans="1:20" s="17" customFormat="1" ht="15" x14ac:dyDescent="0.25">
      <c r="A8" s="13" t="s">
        <v>4</v>
      </c>
      <c r="B8" s="182"/>
    </row>
    <row r="9" spans="1:20" s="17" customFormat="1" ht="45" x14ac:dyDescent="0.25">
      <c r="A9" s="18" t="s">
        <v>58</v>
      </c>
      <c r="B9" s="182">
        <v>2</v>
      </c>
    </row>
    <row r="10" spans="1:20" s="17" customFormat="1" ht="15" x14ac:dyDescent="0.25"/>
    <row r="11" spans="1:20" s="17" customFormat="1" ht="20.25" x14ac:dyDescent="0.3">
      <c r="A11" s="115" t="s">
        <v>27</v>
      </c>
    </row>
    <row r="12" spans="1:20" s="17" customFormat="1" ht="15" x14ac:dyDescent="0.25">
      <c r="A12" s="19"/>
      <c r="B12" s="17" t="str">
        <f>IF($B$9=1, "Use This One", "Don't Use This One")</f>
        <v>Don't Use This One</v>
      </c>
      <c r="H12" s="19"/>
    </row>
    <row r="13" spans="1:20" s="17" customFormat="1" ht="50.25" customHeight="1" x14ac:dyDescent="0.25">
      <c r="A13" s="212" t="s">
        <v>59</v>
      </c>
      <c r="B13" s="13" t="s">
        <v>66</v>
      </c>
      <c r="C13" s="18" t="s">
        <v>64</v>
      </c>
      <c r="D13" s="13" t="s">
        <v>172</v>
      </c>
      <c r="E13" s="18" t="s">
        <v>32</v>
      </c>
      <c r="F13" s="18" t="s">
        <v>94</v>
      </c>
    </row>
    <row r="14" spans="1:20" s="17" customFormat="1" ht="15" x14ac:dyDescent="0.25">
      <c r="A14" s="212"/>
      <c r="B14" s="20">
        <f>B5</f>
        <v>0</v>
      </c>
      <c r="C14" s="20" t="e">
        <f>B4/100</f>
        <v>#VALUE!</v>
      </c>
      <c r="D14" s="20">
        <v>28350</v>
      </c>
      <c r="E14" s="20">
        <v>1</v>
      </c>
      <c r="F14" s="20" t="e">
        <f>B14*C14*D14*E14</f>
        <v>#VALUE!</v>
      </c>
    </row>
    <row r="15" spans="1:20" s="17" customFormat="1" ht="15" x14ac:dyDescent="0.25">
      <c r="B15" s="21"/>
      <c r="C15" s="21"/>
      <c r="D15" s="21"/>
      <c r="E15" s="21"/>
      <c r="F15" s="21"/>
    </row>
    <row r="16" spans="1:20" s="17" customFormat="1" ht="15" x14ac:dyDescent="0.25">
      <c r="A16" s="19"/>
      <c r="B16" s="17" t="str">
        <f>IF($B$9=2, "Use This One", "Don't Use This One")</f>
        <v>Use This One</v>
      </c>
    </row>
    <row r="17" spans="1:9" s="17" customFormat="1" ht="45" customHeight="1" x14ac:dyDescent="0.25">
      <c r="A17" s="212" t="s">
        <v>60</v>
      </c>
      <c r="B17" s="13" t="s">
        <v>67</v>
      </c>
      <c r="C17" s="18" t="s">
        <v>64</v>
      </c>
      <c r="D17" s="13" t="s">
        <v>173</v>
      </c>
      <c r="E17" s="18" t="s">
        <v>32</v>
      </c>
      <c r="F17" s="18" t="s">
        <v>94</v>
      </c>
    </row>
    <row r="18" spans="1:9" s="17" customFormat="1" ht="15" x14ac:dyDescent="0.25">
      <c r="A18" s="212"/>
      <c r="B18" s="20" t="str">
        <f>B6</f>
        <v>KEY_OASS_amount_of_product_in_can</v>
      </c>
      <c r="C18" s="20" t="e">
        <f>B4/100</f>
        <v>#VALUE!</v>
      </c>
      <c r="D18" s="20">
        <f>1000</f>
        <v>1000</v>
      </c>
      <c r="E18" s="20">
        <v>1</v>
      </c>
      <c r="F18" s="20" t="e">
        <f>B18*C18*D18*E18</f>
        <v>#VALUE!</v>
      </c>
    </row>
    <row r="19" spans="1:9" s="17" customFormat="1" ht="15" x14ac:dyDescent="0.25">
      <c r="A19" s="19"/>
    </row>
    <row r="20" spans="1:9" s="17" customFormat="1" ht="15" x14ac:dyDescent="0.25">
      <c r="B20" s="17" t="str">
        <f>IF($B$9=3, "Use This One", "Don't Use This One")</f>
        <v>Don't Use This One</v>
      </c>
    </row>
    <row r="21" spans="1:9" s="17" customFormat="1" ht="60" x14ac:dyDescent="0.25">
      <c r="A21" s="212" t="s">
        <v>61</v>
      </c>
      <c r="B21" s="18" t="s">
        <v>33</v>
      </c>
      <c r="C21" s="18" t="s">
        <v>64</v>
      </c>
      <c r="D21" s="13" t="s">
        <v>173</v>
      </c>
      <c r="E21" s="18" t="s">
        <v>4</v>
      </c>
      <c r="F21" s="13" t="s">
        <v>32</v>
      </c>
      <c r="G21" s="18" t="s">
        <v>34</v>
      </c>
    </row>
    <row r="22" spans="1:9" s="17" customFormat="1" ht="15" x14ac:dyDescent="0.25">
      <c r="A22" s="212"/>
      <c r="B22" s="20">
        <f>B7</f>
        <v>0</v>
      </c>
      <c r="C22" s="20" t="e">
        <f>B4/100</f>
        <v>#VALUE!</v>
      </c>
      <c r="D22" s="20">
        <v>1000</v>
      </c>
      <c r="E22" s="20">
        <f>B8</f>
        <v>0</v>
      </c>
      <c r="F22" s="20">
        <v>1</v>
      </c>
      <c r="G22" s="20" t="e">
        <f>B22*C22*D22*E22*F22</f>
        <v>#VALUE!</v>
      </c>
    </row>
    <row r="23" spans="1:9" s="17" customFormat="1" ht="15" x14ac:dyDescent="0.25"/>
    <row r="24" spans="1:9" s="17" customFormat="1" ht="15" x14ac:dyDescent="0.25"/>
    <row r="25" spans="1:9" s="17" customFormat="1" ht="45" x14ac:dyDescent="0.25">
      <c r="A25" s="212" t="s">
        <v>114</v>
      </c>
      <c r="B25" s="13" t="s">
        <v>98</v>
      </c>
      <c r="C25" s="18" t="s">
        <v>34</v>
      </c>
      <c r="D25" s="18" t="s">
        <v>113</v>
      </c>
      <c r="E25" s="18" t="s">
        <v>119</v>
      </c>
      <c r="F25" s="18" t="s">
        <v>9</v>
      </c>
      <c r="G25" s="28" t="s">
        <v>121</v>
      </c>
      <c r="H25" s="18" t="s">
        <v>8</v>
      </c>
      <c r="I25" s="22" t="s">
        <v>37</v>
      </c>
    </row>
    <row r="26" spans="1:9" s="17" customFormat="1" ht="15" x14ac:dyDescent="0.25">
      <c r="A26" s="212"/>
      <c r="B26" s="23" t="s">
        <v>103</v>
      </c>
      <c r="C26" s="24" t="e">
        <f>IF(B9=1,F14,IF(B9=2,F18,IF(B9=3,G22,"N/A")))</f>
        <v>#VALUE!</v>
      </c>
      <c r="D26" s="24">
        <f>'TOX and EXPO INPUTS'!D31</f>
        <v>0.64</v>
      </c>
      <c r="E26" s="24">
        <v>5400</v>
      </c>
      <c r="F26" s="26" t="e">
        <f>C26*D26/E26</f>
        <v>#VALUE!</v>
      </c>
      <c r="G26" s="24" t="e">
        <f>F26*'TOX and EXPO INPUTS'!D21/'TOX and EXPO INPUTS'!D26</f>
        <v>#VALUE!</v>
      </c>
      <c r="H26" s="27" t="e">
        <f>'TOX and EXPO INPUTS'!D19/G26</f>
        <v>#VALUE!</v>
      </c>
      <c r="I26" s="25" t="e">
        <f>VALUE(TEXT(H26,"0.0E+00"))</f>
        <v>#VALUE!</v>
      </c>
    </row>
    <row r="27" spans="1:9" s="17" customFormat="1" ht="15" x14ac:dyDescent="0.25">
      <c r="A27" s="212"/>
      <c r="B27" s="20" t="s">
        <v>72</v>
      </c>
      <c r="C27" s="24" t="e">
        <f>IF(B9=1,F14,IF(B9=2,F18,IF(B9=3,G22,"N/A")))</f>
        <v>#VALUE!</v>
      </c>
      <c r="D27" s="24">
        <f>'TOX and EXPO INPUTS'!D32</f>
        <v>0.33</v>
      </c>
      <c r="E27" s="24">
        <v>5400</v>
      </c>
      <c r="F27" s="26" t="e">
        <f>C27*D27/E27</f>
        <v>#VALUE!</v>
      </c>
      <c r="G27" s="24" t="e">
        <f>F27*'TOX and EXPO INPUTS'!D21/'TOX and EXPO INPUTS'!D27</f>
        <v>#VALUE!</v>
      </c>
      <c r="H27" s="27" t="e">
        <f>'TOX and EXPO INPUTS'!D19/G27</f>
        <v>#VALUE!</v>
      </c>
      <c r="I27" s="25" t="e">
        <f>VALUE(TEXT(H27,"0.0E+00"))</f>
        <v>#VALUE!</v>
      </c>
    </row>
    <row r="28" spans="1:9" s="17" customFormat="1" ht="15" x14ac:dyDescent="0.25"/>
    <row r="29" spans="1:9" s="17" customFormat="1" ht="20.25" x14ac:dyDescent="0.3">
      <c r="A29" s="115" t="s">
        <v>35</v>
      </c>
    </row>
    <row r="30" spans="1:9" s="17" customFormat="1" ht="15" x14ac:dyDescent="0.25">
      <c r="A30" s="19"/>
      <c r="B30" s="17" t="str">
        <f>IF($B$9=1, "Use This One", "Don't Use This One")</f>
        <v>Don't Use This One</v>
      </c>
    </row>
    <row r="31" spans="1:9" s="17" customFormat="1" ht="48" x14ac:dyDescent="0.25">
      <c r="A31" s="212" t="s">
        <v>59</v>
      </c>
      <c r="B31" s="13" t="s">
        <v>66</v>
      </c>
      <c r="C31" s="18" t="s">
        <v>64</v>
      </c>
      <c r="D31" s="13" t="s">
        <v>174</v>
      </c>
      <c r="E31" s="18" t="s">
        <v>32</v>
      </c>
      <c r="F31" s="18" t="s">
        <v>118</v>
      </c>
      <c r="G31" s="18" t="s">
        <v>117</v>
      </c>
    </row>
    <row r="32" spans="1:9" s="17" customFormat="1" ht="15" x14ac:dyDescent="0.25">
      <c r="A32" s="212"/>
      <c r="B32" s="20">
        <f>B5</f>
        <v>0</v>
      </c>
      <c r="C32" s="20" t="e">
        <f>B4/100</f>
        <v>#VALUE!</v>
      </c>
      <c r="D32" s="20">
        <f>1/16</f>
        <v>6.25E-2</v>
      </c>
      <c r="E32" s="20">
        <v>1</v>
      </c>
      <c r="F32" s="20">
        <f>20*20</f>
        <v>400</v>
      </c>
      <c r="G32" s="100" t="e">
        <f>B32*C32*D32*E32/F32</f>
        <v>#VALUE!</v>
      </c>
    </row>
    <row r="33" spans="1:12" s="17" customFormat="1" ht="15" x14ac:dyDescent="0.25">
      <c r="B33" s="21"/>
      <c r="C33" s="21"/>
      <c r="D33" s="21"/>
      <c r="E33" s="21"/>
      <c r="F33" s="21"/>
    </row>
    <row r="34" spans="1:12" s="17" customFormat="1" ht="15" x14ac:dyDescent="0.25">
      <c r="A34" s="19"/>
      <c r="B34" s="17" t="str">
        <f>IF($B$9=2, "Use This One", "Don't Use This One")</f>
        <v>Use This One</v>
      </c>
    </row>
    <row r="35" spans="1:12" s="17" customFormat="1" ht="48" x14ac:dyDescent="0.25">
      <c r="A35" s="212" t="s">
        <v>60</v>
      </c>
      <c r="B35" s="13" t="s">
        <v>67</v>
      </c>
      <c r="C35" s="18" t="s">
        <v>64</v>
      </c>
      <c r="D35" s="13" t="s">
        <v>175</v>
      </c>
      <c r="E35" s="18" t="s">
        <v>32</v>
      </c>
      <c r="F35" s="18" t="s">
        <v>118</v>
      </c>
      <c r="G35" s="18" t="s">
        <v>117</v>
      </c>
    </row>
    <row r="36" spans="1:12" s="17" customFormat="1" ht="15" x14ac:dyDescent="0.25">
      <c r="A36" s="212"/>
      <c r="B36" s="20" t="str">
        <f>B6</f>
        <v>KEY_OASS_amount_of_product_in_can</v>
      </c>
      <c r="C36" s="20" t="e">
        <f>B4/100</f>
        <v>#VALUE!</v>
      </c>
      <c r="D36" s="20">
        <f>1/454</f>
        <v>2.2026431718061676E-3</v>
      </c>
      <c r="E36" s="20">
        <v>1</v>
      </c>
      <c r="F36" s="20">
        <f>20*20</f>
        <v>400</v>
      </c>
      <c r="G36" s="100" t="e">
        <f>B36*C36*D36*E36/F36</f>
        <v>#VALUE!</v>
      </c>
    </row>
    <row r="37" spans="1:12" s="17" customFormat="1" ht="15" x14ac:dyDescent="0.25">
      <c r="A37" s="19"/>
    </row>
    <row r="38" spans="1:12" s="17" customFormat="1" ht="15" x14ac:dyDescent="0.25">
      <c r="B38" s="17" t="str">
        <f>IF($B$9=3, "Use This One", "Don't Use This One")</f>
        <v>Don't Use This One</v>
      </c>
    </row>
    <row r="39" spans="1:12" s="17" customFormat="1" ht="60" x14ac:dyDescent="0.25">
      <c r="A39" s="212" t="s">
        <v>61</v>
      </c>
      <c r="B39" s="13" t="s">
        <v>31</v>
      </c>
      <c r="C39" s="18" t="s">
        <v>65</v>
      </c>
      <c r="D39" s="13" t="s">
        <v>175</v>
      </c>
      <c r="E39" s="18" t="s">
        <v>4</v>
      </c>
      <c r="F39" s="13" t="s">
        <v>32</v>
      </c>
      <c r="G39" s="18" t="s">
        <v>118</v>
      </c>
      <c r="H39" s="18" t="s">
        <v>117</v>
      </c>
    </row>
    <row r="40" spans="1:12" s="17" customFormat="1" ht="15" x14ac:dyDescent="0.25">
      <c r="A40" s="212"/>
      <c r="B40" s="20" t="e">
        <f>B4/100</f>
        <v>#VALUE!</v>
      </c>
      <c r="C40" s="20">
        <f>B7</f>
        <v>0</v>
      </c>
      <c r="D40" s="20">
        <f>1/454</f>
        <v>2.2026431718061676E-3</v>
      </c>
      <c r="E40" s="20">
        <f>B8</f>
        <v>0</v>
      </c>
      <c r="F40" s="20">
        <v>1</v>
      </c>
      <c r="G40" s="20">
        <f>20*20</f>
        <v>400</v>
      </c>
      <c r="H40" s="100" t="e">
        <f>B40*C40*D40*E40*F40/G40</f>
        <v>#VALUE!</v>
      </c>
    </row>
    <row r="41" spans="1:12" s="17" customFormat="1" ht="15" x14ac:dyDescent="0.25"/>
    <row r="42" spans="1:12" s="17" customFormat="1" ht="15" x14ac:dyDescent="0.25">
      <c r="A42" s="19"/>
    </row>
    <row r="43" spans="1:12" s="17" customFormat="1" ht="66" customHeight="1" x14ac:dyDescent="0.25">
      <c r="A43" s="213" t="s">
        <v>115</v>
      </c>
      <c r="B43" s="36" t="s">
        <v>98</v>
      </c>
      <c r="C43" s="105" t="s">
        <v>116</v>
      </c>
      <c r="D43" s="28" t="s">
        <v>2</v>
      </c>
      <c r="E43" s="106" t="s">
        <v>87</v>
      </c>
      <c r="F43" s="104" t="s">
        <v>3</v>
      </c>
      <c r="G43" s="29" t="s">
        <v>5</v>
      </c>
      <c r="H43" s="13" t="s">
        <v>153</v>
      </c>
      <c r="I43" s="30" t="s">
        <v>9</v>
      </c>
      <c r="J43" s="28" t="s">
        <v>121</v>
      </c>
      <c r="K43" s="104" t="s">
        <v>0</v>
      </c>
      <c r="L43" s="106" t="s">
        <v>1</v>
      </c>
    </row>
    <row r="44" spans="1:12" s="17" customFormat="1" ht="15" x14ac:dyDescent="0.25">
      <c r="A44" s="214"/>
      <c r="B44" s="23" t="s">
        <v>103</v>
      </c>
      <c r="C44" s="31" t="e">
        <f>IF(B9=1,G32,IF(B9=2,G36,IF(B9=3,H40,"N/A")))</f>
        <v>#VALUE!</v>
      </c>
      <c r="D44" s="32">
        <v>0.01</v>
      </c>
      <c r="E44" s="33">
        <v>180000</v>
      </c>
      <c r="F44" s="31">
        <v>1.5</v>
      </c>
      <c r="G44" s="34">
        <v>454000</v>
      </c>
      <c r="H44" s="86">
        <f>1/929</f>
        <v>1.076426264800861E-3</v>
      </c>
      <c r="I44" s="87" t="e">
        <f>(C44*D44*E44*F44*G44*H44)</f>
        <v>#VALUE!</v>
      </c>
      <c r="J44" s="31" t="e">
        <f>(I44*'TOX and EXPO INPUTS'!$D$15)/'TOX and EXPO INPUTS'!$D$25</f>
        <v>#VALUE!</v>
      </c>
      <c r="K44" s="35" t="e">
        <f>'TOX and EXPO INPUTS'!$D$13/J44</f>
        <v>#VALUE!</v>
      </c>
      <c r="L44" s="31" t="e">
        <f t="shared" ref="L44:L45" si="0">VALUE(TEXT(K44,"0.0E+00"))</f>
        <v>#VALUE!</v>
      </c>
    </row>
    <row r="45" spans="1:12" s="17" customFormat="1" ht="15" x14ac:dyDescent="0.25">
      <c r="A45" s="215"/>
      <c r="B45" s="20" t="s">
        <v>72</v>
      </c>
      <c r="C45" s="31" t="e">
        <f>IF(B9=1,G32,IF(B9=2,G36,IF(B9=3,H40,"N/A")))</f>
        <v>#VALUE!</v>
      </c>
      <c r="D45" s="32">
        <v>0.01</v>
      </c>
      <c r="E45" s="33">
        <v>49000</v>
      </c>
      <c r="F45" s="31">
        <v>1.5</v>
      </c>
      <c r="G45" s="34">
        <v>454000</v>
      </c>
      <c r="H45" s="86">
        <f>1/929</f>
        <v>1.076426264800861E-3</v>
      </c>
      <c r="I45" s="87" t="e">
        <f>(C45*D45*E45*F45*G45*H45)</f>
        <v>#VALUE!</v>
      </c>
      <c r="J45" s="31" t="e">
        <f>(I45*'TOX and EXPO INPUTS'!$D$15)/'TOX and EXPO INPUTS'!$D$27</f>
        <v>#VALUE!</v>
      </c>
      <c r="K45" s="35" t="e">
        <f>'TOX and EXPO INPUTS'!$D$13/J45</f>
        <v>#VALUE!</v>
      </c>
      <c r="L45" s="31" t="e">
        <f t="shared" si="0"/>
        <v>#VALUE!</v>
      </c>
    </row>
    <row r="46" spans="1:12" s="17" customFormat="1" ht="15" x14ac:dyDescent="0.25"/>
    <row r="47" spans="1:12" s="17" customFormat="1" ht="15" x14ac:dyDescent="0.25"/>
    <row r="48" spans="1:12" s="17" customFormat="1" ht="20.25" x14ac:dyDescent="0.3">
      <c r="A48" s="115" t="s">
        <v>144</v>
      </c>
    </row>
    <row r="49" spans="1:15" s="17" customFormat="1" ht="16.5" x14ac:dyDescent="0.25">
      <c r="A49" s="216" t="s">
        <v>151</v>
      </c>
      <c r="B49" s="219" t="s">
        <v>98</v>
      </c>
      <c r="C49" s="36" t="s">
        <v>88</v>
      </c>
      <c r="D49" s="37" t="s">
        <v>11</v>
      </c>
      <c r="E49" s="37" t="s">
        <v>89</v>
      </c>
      <c r="F49" s="36" t="s">
        <v>12</v>
      </c>
      <c r="G49" s="37" t="s">
        <v>90</v>
      </c>
      <c r="H49" s="37" t="s">
        <v>13</v>
      </c>
      <c r="I49" s="221" t="s">
        <v>21</v>
      </c>
      <c r="J49" s="36" t="s">
        <v>14</v>
      </c>
      <c r="K49" s="36" t="s">
        <v>15</v>
      </c>
      <c r="L49" s="36" t="s">
        <v>16</v>
      </c>
      <c r="M49" s="221" t="s">
        <v>120</v>
      </c>
      <c r="N49" s="221" t="s">
        <v>10</v>
      </c>
      <c r="O49" s="223" t="s">
        <v>25</v>
      </c>
    </row>
    <row r="50" spans="1:15" s="17" customFormat="1" ht="105" x14ac:dyDescent="0.25">
      <c r="A50" s="216"/>
      <c r="B50" s="220"/>
      <c r="C50" s="38" t="s">
        <v>36</v>
      </c>
      <c r="D50" s="38" t="s">
        <v>17</v>
      </c>
      <c r="E50" s="38" t="s">
        <v>137</v>
      </c>
      <c r="F50" s="38" t="s">
        <v>91</v>
      </c>
      <c r="G50" s="39" t="s">
        <v>19</v>
      </c>
      <c r="H50" s="40" t="s">
        <v>20</v>
      </c>
      <c r="I50" s="222"/>
      <c r="J50" s="40" t="s">
        <v>22</v>
      </c>
      <c r="K50" s="38" t="s">
        <v>23</v>
      </c>
      <c r="L50" s="38" t="s">
        <v>24</v>
      </c>
      <c r="M50" s="222"/>
      <c r="N50" s="222"/>
      <c r="O50" s="224"/>
    </row>
    <row r="51" spans="1:15" s="17" customFormat="1" ht="15" x14ac:dyDescent="0.25">
      <c r="A51" s="216"/>
      <c r="B51" s="20" t="s">
        <v>72</v>
      </c>
      <c r="C51" s="32">
        <v>0.06</v>
      </c>
      <c r="D51" s="41" t="e">
        <f>I45</f>
        <v>#VALUE!</v>
      </c>
      <c r="E51" s="42">
        <v>150</v>
      </c>
      <c r="F51" s="82" t="e">
        <f>(C51*D51)/(2*E51)</f>
        <v>#VALUE!</v>
      </c>
      <c r="G51" s="43">
        <v>0.127</v>
      </c>
      <c r="H51" s="31">
        <v>1.5</v>
      </c>
      <c r="I51" s="31">
        <v>15</v>
      </c>
      <c r="J51" s="44">
        <f>60/I51</f>
        <v>4</v>
      </c>
      <c r="K51" s="32">
        <v>0.48</v>
      </c>
      <c r="L51" s="31">
        <v>13.9</v>
      </c>
      <c r="M51" s="31" t="e">
        <f>(((F51*(G51*E51))*(H51*J51)*(1-((1-K51)^(L51/J51))))/'TOX and EXPO INPUTS'!$D$27)</f>
        <v>#VALUE!</v>
      </c>
      <c r="N51" s="35" t="e">
        <f>'TOX and EXPO INPUTS'!$D$10/M51</f>
        <v>#VALUE!</v>
      </c>
      <c r="O51" s="31" t="e">
        <f>VALUE(TEXT(N51,"0.0E+00"))</f>
        <v>#VALUE!</v>
      </c>
    </row>
    <row r="52" spans="1:15" s="17" customFormat="1" ht="15" x14ac:dyDescent="0.25"/>
    <row r="53" spans="1:15" x14ac:dyDescent="0.2">
      <c r="C53" s="110"/>
      <c r="D53" s="110"/>
      <c r="E53" s="110"/>
    </row>
    <row r="54" spans="1:15" x14ac:dyDescent="0.2">
      <c r="C54" s="114"/>
      <c r="D54" s="114"/>
      <c r="E54" s="110"/>
    </row>
  </sheetData>
  <mergeCells count="15">
    <mergeCell ref="B49:B50"/>
    <mergeCell ref="I49:I50"/>
    <mergeCell ref="M49:M50"/>
    <mergeCell ref="N49:N50"/>
    <mergeCell ref="O49:O50"/>
    <mergeCell ref="D3:E3"/>
    <mergeCell ref="A13:A14"/>
    <mergeCell ref="A17:A18"/>
    <mergeCell ref="A21:A22"/>
    <mergeCell ref="A25:A27"/>
    <mergeCell ref="A31:A32"/>
    <mergeCell ref="A35:A36"/>
    <mergeCell ref="A39:A40"/>
    <mergeCell ref="A43:A45"/>
    <mergeCell ref="A49:A51"/>
  </mergeCells>
  <conditionalFormatting sqref="I26:I27">
    <cfRule type="cellIs" dxfId="9" priority="3" operator="lessThan">
      <formula>$E$5</formula>
    </cfRule>
  </conditionalFormatting>
  <conditionalFormatting sqref="L44:L45">
    <cfRule type="cellIs" dxfId="8" priority="2" operator="lessThan">
      <formula>$E$4</formula>
    </cfRule>
  </conditionalFormatting>
  <conditionalFormatting sqref="O51">
    <cfRule type="cellIs" dxfId="7" priority="1" operator="lessThan">
      <formula>$E$6</formula>
    </cfRule>
  </conditionalFormatting>
  <dataValidations disablePrompts="1" count="1">
    <dataValidation type="list" allowBlank="1" showInputMessage="1" showErrorMessage="1" sqref="B9">
      <formula1>$T$2:$T$4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5"/>
  <sheetViews>
    <sheetView zoomScale="90" zoomScaleNormal="90" workbookViewId="0">
      <selection activeCell="B5" sqref="B5"/>
    </sheetView>
  </sheetViews>
  <sheetFormatPr defaultRowHeight="12.75" x14ac:dyDescent="0.2"/>
  <cols>
    <col min="1" max="1" width="37.42578125" style="12" customWidth="1"/>
    <col min="2" max="2" width="20.7109375" style="12" customWidth="1"/>
    <col min="3" max="3" width="11.85546875" style="12" customWidth="1"/>
    <col min="4" max="4" width="11.140625" style="12" customWidth="1"/>
    <col min="5" max="8" width="11" style="12" customWidth="1"/>
    <col min="9" max="9" width="15.140625" style="12" customWidth="1"/>
    <col min="10" max="10" width="11.42578125" style="12" customWidth="1"/>
    <col min="11" max="11" width="10.85546875" style="12" customWidth="1"/>
    <col min="12" max="12" width="10.28515625" style="12" customWidth="1"/>
    <col min="13" max="16384" width="9.140625" style="12"/>
  </cols>
  <sheetData>
    <row r="1" spans="1:16" ht="22.5" x14ac:dyDescent="0.3">
      <c r="A1" s="116" t="s">
        <v>38</v>
      </c>
    </row>
    <row r="2" spans="1:16" ht="15" x14ac:dyDescent="0.25">
      <c r="H2" s="17"/>
      <c r="I2" s="17"/>
      <c r="J2" s="17"/>
      <c r="K2" s="17"/>
      <c r="L2" s="17"/>
      <c r="M2" s="17"/>
      <c r="N2" s="17"/>
      <c r="O2" s="17"/>
      <c r="P2" s="17"/>
    </row>
    <row r="3" spans="1:16" s="17" customFormat="1" ht="15.75" x14ac:dyDescent="0.25">
      <c r="A3" s="13" t="s">
        <v>29</v>
      </c>
      <c r="B3" s="182"/>
      <c r="D3" s="217" t="s">
        <v>75</v>
      </c>
      <c r="E3" s="218"/>
      <c r="H3" s="183" t="s">
        <v>122</v>
      </c>
      <c r="I3" s="185"/>
      <c r="J3" s="185"/>
      <c r="K3" s="95"/>
      <c r="L3" s="95"/>
      <c r="M3" s="95"/>
      <c r="N3" s="95"/>
    </row>
    <row r="4" spans="1:16" s="17" customFormat="1" ht="15" x14ac:dyDescent="0.25">
      <c r="A4" s="13" t="s">
        <v>43</v>
      </c>
      <c r="B4" s="182" t="s">
        <v>194</v>
      </c>
      <c r="D4" s="16" t="s">
        <v>77</v>
      </c>
      <c r="E4" s="16" t="str">
        <f>'TOX and EXPO INPUTS'!D22</f>
        <v>KEY_Inhalation_LOC</v>
      </c>
      <c r="H4" s="95"/>
      <c r="I4" s="95"/>
      <c r="J4" s="95"/>
      <c r="K4" s="95"/>
      <c r="L4" s="95"/>
      <c r="M4" s="95"/>
      <c r="N4" s="95"/>
    </row>
    <row r="5" spans="1:16" s="17" customFormat="1" ht="15" x14ac:dyDescent="0.25">
      <c r="A5" s="13" t="s">
        <v>39</v>
      </c>
      <c r="B5" s="86">
        <v>4</v>
      </c>
    </row>
    <row r="6" spans="1:16" s="17" customFormat="1" ht="15" x14ac:dyDescent="0.25">
      <c r="A6" s="13" t="s">
        <v>40</v>
      </c>
      <c r="B6" s="86">
        <v>100</v>
      </c>
      <c r="F6" s="15"/>
      <c r="G6" s="15"/>
      <c r="H6" s="15"/>
    </row>
    <row r="7" spans="1:16" s="17" customFormat="1" ht="15" x14ac:dyDescent="0.25">
      <c r="A7" s="95"/>
      <c r="F7" s="15"/>
      <c r="G7" s="15"/>
      <c r="H7" s="15"/>
    </row>
    <row r="8" spans="1:16" s="17" customFormat="1" ht="20.25" x14ac:dyDescent="0.25">
      <c r="A8" s="117" t="s">
        <v>27</v>
      </c>
    </row>
    <row r="9" spans="1:16" s="17" customFormat="1" ht="15" x14ac:dyDescent="0.25">
      <c r="A9" s="95"/>
      <c r="F9" s="95"/>
      <c r="G9" s="95"/>
      <c r="H9" s="95"/>
    </row>
    <row r="10" spans="1:16" s="17" customFormat="1" ht="45" x14ac:dyDescent="0.25">
      <c r="A10" s="212" t="s">
        <v>41</v>
      </c>
      <c r="B10" s="13" t="s">
        <v>44</v>
      </c>
      <c r="C10" s="18" t="s">
        <v>42</v>
      </c>
      <c r="D10" s="18" t="s">
        <v>28</v>
      </c>
      <c r="E10" s="18" t="s">
        <v>45</v>
      </c>
      <c r="F10" s="49"/>
      <c r="G10" s="49"/>
      <c r="H10" s="49"/>
    </row>
    <row r="11" spans="1:16" s="17" customFormat="1" ht="15" x14ac:dyDescent="0.25">
      <c r="A11" s="212"/>
      <c r="B11" s="20" t="str">
        <f>B4</f>
        <v>KEY_CCTM_amount_ai_in_product</v>
      </c>
      <c r="C11" s="86">
        <v>1</v>
      </c>
      <c r="D11" s="20">
        <f>B5</f>
        <v>4</v>
      </c>
      <c r="E11" s="20" t="e">
        <f>B11*C11/D11</f>
        <v>#VALUE!</v>
      </c>
      <c r="F11" s="46"/>
      <c r="G11" s="46"/>
      <c r="H11" s="46"/>
    </row>
    <row r="12" spans="1:16" s="17" customFormat="1" ht="15" x14ac:dyDescent="0.25">
      <c r="F12" s="95"/>
      <c r="G12" s="95"/>
      <c r="H12" s="95"/>
    </row>
    <row r="13" spans="1:16" s="17" customFormat="1" ht="48" x14ac:dyDescent="0.25">
      <c r="A13" s="225" t="s">
        <v>114</v>
      </c>
      <c r="B13" s="13" t="s">
        <v>98</v>
      </c>
      <c r="C13" s="18" t="s">
        <v>45</v>
      </c>
      <c r="D13" s="18" t="s">
        <v>113</v>
      </c>
      <c r="E13" s="18" t="s">
        <v>150</v>
      </c>
      <c r="F13" s="18" t="s">
        <v>46</v>
      </c>
      <c r="G13" s="18" t="s">
        <v>47</v>
      </c>
      <c r="H13" s="18" t="s">
        <v>138</v>
      </c>
      <c r="I13" s="18" t="s">
        <v>9</v>
      </c>
      <c r="J13" s="18" t="s">
        <v>120</v>
      </c>
      <c r="K13" s="18" t="s">
        <v>8</v>
      </c>
      <c r="L13" s="22" t="s">
        <v>37</v>
      </c>
    </row>
    <row r="14" spans="1:16" s="17" customFormat="1" ht="15" x14ac:dyDescent="0.25">
      <c r="A14" s="226"/>
      <c r="B14" s="23" t="s">
        <v>103</v>
      </c>
      <c r="C14" s="24" t="e">
        <f>IF(E11="","N/A",IF(E11&gt;0,E11,(“N/A”)))</f>
        <v>#VALUE!</v>
      </c>
      <c r="D14" s="24">
        <f>'TOX and EXPO INPUTS'!D31</f>
        <v>0.64</v>
      </c>
      <c r="E14" s="24">
        <v>4000</v>
      </c>
      <c r="F14" s="24">
        <f>B6/100</f>
        <v>1</v>
      </c>
      <c r="G14" s="24">
        <v>2.2999999999999998</v>
      </c>
      <c r="H14" s="24">
        <v>51</v>
      </c>
      <c r="I14" s="101" t="e">
        <f>((D14*F14*C14)/E14)*(G14-(H14/E14))</f>
        <v>#VALUE!</v>
      </c>
      <c r="J14" s="24" t="e">
        <f>I14*'TOX and EXPO INPUTS'!D21/'TOX and EXPO INPUTS'!D26</f>
        <v>#VALUE!</v>
      </c>
      <c r="K14" s="27" t="e">
        <f>'TOX and EXPO INPUTS'!D19/J14</f>
        <v>#VALUE!</v>
      </c>
      <c r="L14" s="25" t="e">
        <f>VALUE(TEXT(K14,"0.0E+00"))</f>
        <v>#VALUE!</v>
      </c>
    </row>
    <row r="15" spans="1:16" s="17" customFormat="1" ht="15" x14ac:dyDescent="0.25">
      <c r="A15" s="227"/>
      <c r="B15" s="20" t="s">
        <v>72</v>
      </c>
      <c r="C15" s="24" t="e">
        <f>IF($E$11="","N/A",IF(E11&gt;0,E11,(“N/A”)))</f>
        <v>#VALUE!</v>
      </c>
      <c r="D15" s="24">
        <v>0.33</v>
      </c>
      <c r="E15" s="24">
        <v>4000</v>
      </c>
      <c r="F15" s="24">
        <f>B6/100</f>
        <v>1</v>
      </c>
      <c r="G15" s="24">
        <v>2.2999999999999998</v>
      </c>
      <c r="H15" s="24">
        <v>51</v>
      </c>
      <c r="I15" s="101" t="e">
        <f>((D15*F15*C15)/E15)*(G15-(H15/E15))</f>
        <v>#VALUE!</v>
      </c>
      <c r="J15" s="24" t="e">
        <f>I15*'TOX and EXPO INPUTS'!D21/'TOX and EXPO INPUTS'!D27</f>
        <v>#VALUE!</v>
      </c>
      <c r="K15" s="27" t="e">
        <f>'TOX and EXPO INPUTS'!D19/J15</f>
        <v>#VALUE!</v>
      </c>
      <c r="L15" s="25" t="e">
        <f>VALUE(TEXT(K15,"0.0E+00"))</f>
        <v>#VALUE!</v>
      </c>
    </row>
    <row r="22" spans="1:12" x14ac:dyDescent="0.2">
      <c r="A22" s="122"/>
      <c r="I22" s="122"/>
      <c r="L22" s="110"/>
    </row>
    <row r="23" spans="1:12" x14ac:dyDescent="0.2">
      <c r="A23" s="123"/>
      <c r="I23" s="123"/>
      <c r="L23" s="110"/>
    </row>
    <row r="50" spans="1:12" x14ac:dyDescent="0.2">
      <c r="A50" s="122"/>
      <c r="B50" s="122"/>
      <c r="I50" s="122"/>
      <c r="J50" s="122"/>
    </row>
    <row r="52" spans="1:12" x14ac:dyDescent="0.2">
      <c r="L52" s="110"/>
    </row>
    <row r="53" spans="1:12" x14ac:dyDescent="0.2">
      <c r="L53" s="110"/>
    </row>
    <row r="54" spans="1:12" x14ac:dyDescent="0.2">
      <c r="L54" s="110"/>
    </row>
    <row r="55" spans="1:12" x14ac:dyDescent="0.2">
      <c r="L55" s="110"/>
    </row>
  </sheetData>
  <mergeCells count="3">
    <mergeCell ref="A10:A11"/>
    <mergeCell ref="A13:A15"/>
    <mergeCell ref="D3:E3"/>
  </mergeCells>
  <conditionalFormatting sqref="L14:L15">
    <cfRule type="cellIs" dxfId="6" priority="1" operator="lessThan">
      <formula>$E$4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6"/>
  <sheetViews>
    <sheetView zoomScale="90" zoomScaleNormal="90" workbookViewId="0">
      <selection activeCell="C10" sqref="C10"/>
    </sheetView>
  </sheetViews>
  <sheetFormatPr defaultRowHeight="12.75" x14ac:dyDescent="0.2"/>
  <cols>
    <col min="1" max="1" width="36.42578125" style="12" customWidth="1"/>
    <col min="2" max="2" width="19.28515625" style="12" customWidth="1"/>
    <col min="3" max="3" width="14.140625" style="12" customWidth="1"/>
    <col min="4" max="4" width="15.5703125" style="12" customWidth="1"/>
    <col min="5" max="5" width="11.85546875" style="12" customWidth="1"/>
    <col min="6" max="6" width="9.42578125" style="12" customWidth="1"/>
    <col min="7" max="7" width="10.28515625" style="12" customWidth="1"/>
    <col min="8" max="8" width="12.7109375" style="12" bestFit="1" customWidth="1"/>
    <col min="9" max="9" width="10.7109375" style="12" customWidth="1"/>
    <col min="10" max="10" width="12.28515625" style="12" customWidth="1"/>
    <col min="11" max="11" width="10" style="12" customWidth="1"/>
    <col min="12" max="12" width="11.7109375" style="12" customWidth="1"/>
    <col min="13" max="13" width="12.7109375" style="12" customWidth="1"/>
    <col min="14" max="15" width="9.140625" style="12"/>
    <col min="16" max="16" width="12.140625" style="12" customWidth="1"/>
    <col min="17" max="16384" width="9.140625" style="12"/>
  </cols>
  <sheetData>
    <row r="1" spans="1:17" ht="22.5" x14ac:dyDescent="0.3">
      <c r="A1" s="116" t="s">
        <v>49</v>
      </c>
      <c r="Q1" s="12">
        <v>1</v>
      </c>
    </row>
    <row r="2" spans="1:17" x14ac:dyDescent="0.2">
      <c r="Q2" s="12">
        <v>2</v>
      </c>
    </row>
    <row r="3" spans="1:17" s="17" customFormat="1" ht="15.75" x14ac:dyDescent="0.25">
      <c r="A3" s="13" t="s">
        <v>29</v>
      </c>
      <c r="B3" s="182"/>
      <c r="D3" s="217" t="s">
        <v>75</v>
      </c>
      <c r="E3" s="218"/>
      <c r="G3" s="183" t="s">
        <v>122</v>
      </c>
      <c r="H3" s="185"/>
      <c r="I3" s="185"/>
      <c r="J3" s="185"/>
    </row>
    <row r="4" spans="1:17" s="17" customFormat="1" ht="18" x14ac:dyDescent="0.25">
      <c r="A4" s="13" t="s">
        <v>140</v>
      </c>
      <c r="B4" s="182" t="s">
        <v>195</v>
      </c>
      <c r="D4" s="16" t="s">
        <v>78</v>
      </c>
      <c r="E4" s="16" t="str">
        <f>'TOX and EXPO INPUTS'!D11</f>
        <v>KEY_Oral_LOC</v>
      </c>
    </row>
    <row r="5" spans="1:17" s="17" customFormat="1" ht="15" x14ac:dyDescent="0.25">
      <c r="A5" s="13" t="s">
        <v>30</v>
      </c>
      <c r="B5" s="182" t="s">
        <v>197</v>
      </c>
      <c r="D5" s="16" t="s">
        <v>76</v>
      </c>
      <c r="E5" s="16" t="str">
        <f>'TOX and EXPO INPUTS'!D17</f>
        <v>KEY_Dermal_LOC</v>
      </c>
    </row>
    <row r="6" spans="1:17" s="17" customFormat="1" ht="15" x14ac:dyDescent="0.25">
      <c r="A6" s="13" t="s">
        <v>56</v>
      </c>
      <c r="B6" s="14">
        <v>8.34</v>
      </c>
      <c r="D6" s="16" t="s">
        <v>77</v>
      </c>
      <c r="E6" s="16" t="str">
        <f>'TOX and EXPO INPUTS'!D22</f>
        <v>KEY_Inhalation_LOC</v>
      </c>
    </row>
    <row r="7" spans="1:17" s="17" customFormat="1" ht="30" x14ac:dyDescent="0.25">
      <c r="A7" s="118" t="s">
        <v>139</v>
      </c>
      <c r="B7" s="182"/>
    </row>
    <row r="8" spans="1:17" s="17" customFormat="1" ht="15" x14ac:dyDescent="0.25">
      <c r="A8" s="95"/>
    </row>
    <row r="9" spans="1:17" s="17" customFormat="1" ht="20.25" x14ac:dyDescent="0.25">
      <c r="A9" s="117" t="s">
        <v>27</v>
      </c>
    </row>
    <row r="10" spans="1:17" s="17" customFormat="1" ht="20.25" x14ac:dyDescent="0.25">
      <c r="A10" s="117"/>
    </row>
    <row r="11" spans="1:17" s="17" customFormat="1" ht="15" x14ac:dyDescent="0.25">
      <c r="B11" s="71" t="str">
        <f>IF($B$7="No", "Use This One", "Don't Use This One")</f>
        <v>Don't Use This One</v>
      </c>
    </row>
    <row r="12" spans="1:17" s="17" customFormat="1" ht="63" x14ac:dyDescent="0.25">
      <c r="A12" s="216" t="s">
        <v>52</v>
      </c>
      <c r="B12" s="18" t="s">
        <v>51</v>
      </c>
      <c r="C12" s="18" t="s">
        <v>48</v>
      </c>
      <c r="D12" s="18" t="s">
        <v>55</v>
      </c>
      <c r="E12" s="13" t="s">
        <v>53</v>
      </c>
      <c r="F12" s="18" t="s">
        <v>107</v>
      </c>
      <c r="G12" s="18" t="s">
        <v>125</v>
      </c>
      <c r="H12" s="18" t="s">
        <v>109</v>
      </c>
    </row>
    <row r="13" spans="1:17" s="17" customFormat="1" ht="15" x14ac:dyDescent="0.25">
      <c r="A13" s="216"/>
      <c r="B13" s="20" t="e">
        <f>B5/100</f>
        <v>#VALUE!</v>
      </c>
      <c r="C13" s="182" t="s">
        <v>196</v>
      </c>
      <c r="D13" s="54">
        <v>1.4E-2</v>
      </c>
      <c r="E13" s="20">
        <v>1</v>
      </c>
      <c r="F13" s="14">
        <v>8.34</v>
      </c>
      <c r="G13" s="14">
        <v>1000</v>
      </c>
      <c r="H13" s="20" t="e">
        <f>(B13*C13*D13*E13*F13)/(G13)</f>
        <v>#VALUE!</v>
      </c>
    </row>
    <row r="14" spans="1:17" s="17" customFormat="1" ht="15" x14ac:dyDescent="0.25">
      <c r="C14" s="110"/>
      <c r="D14" s="119"/>
      <c r="E14" s="119"/>
      <c r="F14" s="119"/>
    </row>
    <row r="15" spans="1:17" s="17" customFormat="1" ht="15" x14ac:dyDescent="0.25">
      <c r="B15" s="71" t="str">
        <f>IF($B$7="Yes", "Use This One", "Don't Use This One")</f>
        <v>Don't Use This One</v>
      </c>
    </row>
    <row r="16" spans="1:17" s="17" customFormat="1" ht="63" x14ac:dyDescent="0.25">
      <c r="A16" s="216" t="s">
        <v>123</v>
      </c>
      <c r="B16" s="18" t="s">
        <v>124</v>
      </c>
      <c r="C16" s="18" t="s">
        <v>51</v>
      </c>
      <c r="D16" s="13" t="s">
        <v>26</v>
      </c>
      <c r="E16" s="18" t="s">
        <v>107</v>
      </c>
      <c r="F16" s="18" t="s">
        <v>125</v>
      </c>
      <c r="G16" s="18" t="s">
        <v>109</v>
      </c>
    </row>
    <row r="17" spans="1:18" s="17" customFormat="1" ht="15" x14ac:dyDescent="0.25">
      <c r="A17" s="216"/>
      <c r="B17" s="86" t="str">
        <f>B4</f>
        <v>KEY_ORMS_application_rate</v>
      </c>
      <c r="C17" s="86" t="e">
        <f>$B$5/100</f>
        <v>#VALUE!</v>
      </c>
      <c r="D17" s="54">
        <f>(1/128)</f>
        <v>7.8125E-3</v>
      </c>
      <c r="E17" s="20">
        <v>8.34</v>
      </c>
      <c r="F17" s="86">
        <v>1000</v>
      </c>
      <c r="G17" s="20" t="e">
        <f>(B17*C17*D17*E17)/(F17)</f>
        <v>#VALUE!</v>
      </c>
      <c r="H17" s="50"/>
      <c r="I17" s="21"/>
    </row>
    <row r="18" spans="1:18" s="17" customFormat="1" ht="15" x14ac:dyDescent="0.25"/>
    <row r="19" spans="1:18" s="17" customFormat="1" ht="48" x14ac:dyDescent="0.25">
      <c r="A19" s="212" t="s">
        <v>50</v>
      </c>
      <c r="B19" s="18" t="s">
        <v>126</v>
      </c>
      <c r="C19" s="18" t="s">
        <v>5</v>
      </c>
      <c r="D19" s="13" t="s">
        <v>111</v>
      </c>
      <c r="E19" s="13" t="s">
        <v>128</v>
      </c>
    </row>
    <row r="20" spans="1:18" s="17" customFormat="1" ht="15" x14ac:dyDescent="0.25">
      <c r="A20" s="212"/>
      <c r="B20" s="24" t="b">
        <f>IF(B7="Yes",G17,IF(B7="No",H13))</f>
        <v>0</v>
      </c>
      <c r="C20" s="20">
        <f>454000</f>
        <v>454000</v>
      </c>
      <c r="D20" s="51">
        <f>(35.3/1)</f>
        <v>35.299999999999997</v>
      </c>
      <c r="E20" s="20">
        <f>B20*C20*D20</f>
        <v>0</v>
      </c>
      <c r="F20" s="21"/>
      <c r="G20" s="21"/>
    </row>
    <row r="21" spans="1:18" s="17" customFormat="1" ht="15" x14ac:dyDescent="0.25"/>
    <row r="22" spans="1:18" s="17" customFormat="1" ht="30" customHeight="1" x14ac:dyDescent="0.25">
      <c r="A22" s="216" t="s">
        <v>93</v>
      </c>
      <c r="B22" s="18" t="s">
        <v>119</v>
      </c>
      <c r="C22" s="18" t="s">
        <v>79</v>
      </c>
      <c r="D22" s="18" t="s">
        <v>127</v>
      </c>
      <c r="E22" s="18" t="s">
        <v>80</v>
      </c>
    </row>
    <row r="23" spans="1:18" s="17" customFormat="1" ht="15" x14ac:dyDescent="0.25">
      <c r="A23" s="216"/>
      <c r="B23" s="52">
        <v>5400</v>
      </c>
      <c r="C23" s="52">
        <v>1</v>
      </c>
      <c r="D23" s="52">
        <v>90.6</v>
      </c>
      <c r="E23" s="120">
        <f>EXP(-((B23/D23)*C23))</f>
        <v>1.3028620366475727E-26</v>
      </c>
    </row>
    <row r="24" spans="1:18" s="17" customFormat="1" ht="15" x14ac:dyDescent="0.25"/>
    <row r="25" spans="1:18" s="17" customFormat="1" ht="60" x14ac:dyDescent="0.25">
      <c r="A25" s="124" t="s">
        <v>131</v>
      </c>
      <c r="B25" s="18" t="s">
        <v>128</v>
      </c>
      <c r="C25" s="18" t="s">
        <v>119</v>
      </c>
      <c r="D25" s="18" t="s">
        <v>68</v>
      </c>
      <c r="E25" s="18" t="s">
        <v>69</v>
      </c>
      <c r="F25" s="18" t="s">
        <v>127</v>
      </c>
      <c r="G25" s="18" t="s">
        <v>113</v>
      </c>
      <c r="H25" s="18" t="s">
        <v>148</v>
      </c>
      <c r="I25" s="18" t="s">
        <v>130</v>
      </c>
      <c r="J25" s="22" t="s">
        <v>8</v>
      </c>
      <c r="K25" s="22" t="s">
        <v>37</v>
      </c>
    </row>
    <row r="26" spans="1:18" s="17" customFormat="1" ht="15.75" x14ac:dyDescent="0.25">
      <c r="A26" s="125" t="s">
        <v>103</v>
      </c>
      <c r="B26" s="121">
        <f>E20</f>
        <v>0</v>
      </c>
      <c r="C26" s="52">
        <v>5400</v>
      </c>
      <c r="D26" s="52">
        <v>2.2999999999999998</v>
      </c>
      <c r="E26" s="52">
        <v>1</v>
      </c>
      <c r="F26" s="52">
        <v>90.6</v>
      </c>
      <c r="G26" s="80">
        <f>'TOX and EXPO INPUTS'!D31</f>
        <v>0.64</v>
      </c>
      <c r="H26" s="91">
        <f>((G26*B26*F26)/C26)*((INT(D26*E26))+((1-(E23^((D26*E26)-INT(D26*E26))))/(1-E23)))</f>
        <v>0</v>
      </c>
      <c r="I26" s="54" t="e">
        <f>H26*'TOX and EXPO INPUTS'!D21/'TOX and EXPO INPUTS'!D26</f>
        <v>#VALUE!</v>
      </c>
      <c r="J26" s="27" t="e">
        <f>'TOX and EXPO INPUTS'!D19/'ORMS Postapp'!I26</f>
        <v>#VALUE!</v>
      </c>
      <c r="K26" s="25" t="e">
        <f>VALUE(TEXT(J26,"0.0E+00"))</f>
        <v>#VALUE!</v>
      </c>
      <c r="O26" s="3"/>
      <c r="P26" s="12"/>
      <c r="Q26" s="12"/>
    </row>
    <row r="27" spans="1:18" s="17" customFormat="1" ht="15.75" x14ac:dyDescent="0.25">
      <c r="A27" s="125" t="s">
        <v>129</v>
      </c>
      <c r="B27" s="53">
        <f>E20</f>
        <v>0</v>
      </c>
      <c r="C27" s="20">
        <v>5400</v>
      </c>
      <c r="D27" s="20">
        <v>2.2999999999999998</v>
      </c>
      <c r="E27" s="20">
        <v>1</v>
      </c>
      <c r="F27" s="20">
        <v>90.6</v>
      </c>
      <c r="G27" s="86">
        <f>'TOX and EXPO INPUTS'!D32</f>
        <v>0.33</v>
      </c>
      <c r="H27" s="90">
        <f>((G27*B27*F27)/C27)*((INT(D27*E27))+((1-(E23^((D27*E27)-INT(D27*E27))))/(1-E23)))</f>
        <v>0</v>
      </c>
      <c r="I27" s="54" t="e">
        <f>H27*'TOX and EXPO INPUTS'!D21/'TOX and EXPO INPUTS'!D27</f>
        <v>#VALUE!</v>
      </c>
      <c r="J27" s="27" t="e">
        <f>'TOX and EXPO INPUTS'!D19/'ORMS Postapp'!I27</f>
        <v>#VALUE!</v>
      </c>
      <c r="K27" s="25" t="e">
        <f>VALUE(TEXT(J27,"0.0E+00"))</f>
        <v>#VALUE!</v>
      </c>
      <c r="O27" s="12"/>
      <c r="P27" s="12"/>
      <c r="Q27" s="3"/>
    </row>
    <row r="28" spans="1:18" s="17" customFormat="1" ht="15.75" x14ac:dyDescent="0.25">
      <c r="O28" s="3"/>
      <c r="P28" s="12"/>
      <c r="Q28" s="12"/>
    </row>
    <row r="29" spans="1:18" s="17" customFormat="1" ht="15.75" x14ac:dyDescent="0.25">
      <c r="B29" s="131" t="str">
        <f>IF($B$7="Yes", "Use This One", "Don't Use This One")</f>
        <v>Don't Use This One</v>
      </c>
      <c r="O29" s="88"/>
      <c r="P29" s="12"/>
      <c r="Q29" s="88"/>
    </row>
    <row r="30" spans="1:18" s="17" customFormat="1" ht="63" x14ac:dyDescent="0.25">
      <c r="A30" s="216" t="s">
        <v>132</v>
      </c>
      <c r="B30" s="18" t="s">
        <v>134</v>
      </c>
      <c r="C30" s="18" t="s">
        <v>51</v>
      </c>
      <c r="D30" s="18" t="s">
        <v>26</v>
      </c>
      <c r="E30" s="13" t="s">
        <v>107</v>
      </c>
      <c r="F30" s="18" t="s">
        <v>57</v>
      </c>
      <c r="G30" s="18" t="s">
        <v>125</v>
      </c>
      <c r="H30" s="18" t="s">
        <v>135</v>
      </c>
      <c r="O30" s="88"/>
      <c r="P30" s="12"/>
      <c r="Q30" s="88"/>
    </row>
    <row r="31" spans="1:18" s="17" customFormat="1" ht="15.75" x14ac:dyDescent="0.25">
      <c r="A31" s="216"/>
      <c r="B31" s="86" t="str">
        <f>$B$4</f>
        <v>KEY_ORMS_application_rate</v>
      </c>
      <c r="C31" s="86" t="e">
        <f>$B$5/100</f>
        <v>#VALUE!</v>
      </c>
      <c r="D31" s="47">
        <f>1/128</f>
        <v>7.8125E-3</v>
      </c>
      <c r="E31" s="86">
        <f>B6</f>
        <v>8.34</v>
      </c>
      <c r="F31" s="86">
        <v>8</v>
      </c>
      <c r="G31" s="14">
        <v>1000</v>
      </c>
      <c r="H31" s="86" t="e">
        <f>(B31*C31*D31*E31*F31)/(G31)</f>
        <v>#VALUE!</v>
      </c>
      <c r="O31" s="88"/>
      <c r="P31" s="12"/>
      <c r="Q31" s="88"/>
      <c r="R31" s="88"/>
    </row>
    <row r="32" spans="1:18" s="17" customFormat="1" ht="15.75" x14ac:dyDescent="0.25">
      <c r="O32" s="89"/>
      <c r="P32" s="89"/>
      <c r="Q32" s="12"/>
      <c r="R32" s="12"/>
    </row>
    <row r="33" spans="1:18" s="17" customFormat="1" ht="15.75" x14ac:dyDescent="0.25">
      <c r="B33" s="131" t="str">
        <f>IF($B$7="No", "Use This One", "Don't Use This One")</f>
        <v>Don't Use This One</v>
      </c>
      <c r="O33" s="89"/>
      <c r="P33" s="89"/>
      <c r="Q33" s="12"/>
      <c r="R33" s="12"/>
    </row>
    <row r="34" spans="1:18" s="17" customFormat="1" ht="30" x14ac:dyDescent="0.25">
      <c r="A34" s="216" t="s">
        <v>132</v>
      </c>
      <c r="B34" s="18" t="s">
        <v>51</v>
      </c>
      <c r="C34" s="18" t="s">
        <v>48</v>
      </c>
      <c r="D34" s="18" t="s">
        <v>54</v>
      </c>
      <c r="E34" s="13" t="s">
        <v>53</v>
      </c>
      <c r="F34" s="13" t="s">
        <v>107</v>
      </c>
      <c r="G34" s="18" t="s">
        <v>136</v>
      </c>
      <c r="H34" s="18" t="s">
        <v>135</v>
      </c>
      <c r="O34" s="89"/>
      <c r="P34" s="12"/>
      <c r="Q34" s="12"/>
      <c r="R34" s="12"/>
    </row>
    <row r="35" spans="1:18" s="17" customFormat="1" ht="15.75" x14ac:dyDescent="0.25">
      <c r="A35" s="216"/>
      <c r="B35" s="86" t="e">
        <f>$B$5/100</f>
        <v>#VALUE!</v>
      </c>
      <c r="C35" s="182" t="str">
        <f>C13</f>
        <v>KEY_ORMS_dilution_rate</v>
      </c>
      <c r="D35" s="54">
        <v>1.4E-2</v>
      </c>
      <c r="E35" s="20">
        <v>1</v>
      </c>
      <c r="F35" s="14">
        <v>8.34</v>
      </c>
      <c r="G35" s="14">
        <v>125</v>
      </c>
      <c r="H35" s="20" t="e">
        <f>(B35*C35*D35*E35*F35)/(G35)</f>
        <v>#VALUE!</v>
      </c>
      <c r="O35" s="89"/>
      <c r="P35" s="89"/>
      <c r="Q35" s="12"/>
      <c r="R35" s="12"/>
    </row>
    <row r="36" spans="1:18" s="17" customFormat="1" ht="15.75" x14ac:dyDescent="0.25">
      <c r="O36" s="3"/>
      <c r="P36" s="12"/>
      <c r="Q36" s="12"/>
      <c r="R36" s="12"/>
    </row>
    <row r="37" spans="1:18" s="17" customFormat="1" ht="15" x14ac:dyDescent="0.25"/>
    <row r="38" spans="1:18" s="17" customFormat="1" ht="48" x14ac:dyDescent="0.25">
      <c r="A38" s="216" t="s">
        <v>133</v>
      </c>
      <c r="B38" s="36" t="s">
        <v>98</v>
      </c>
      <c r="C38" s="105" t="s">
        <v>116</v>
      </c>
      <c r="D38" s="28" t="s">
        <v>2</v>
      </c>
      <c r="E38" s="106" t="s">
        <v>87</v>
      </c>
      <c r="F38" s="104" t="s">
        <v>3</v>
      </c>
      <c r="G38" s="29" t="s">
        <v>5</v>
      </c>
      <c r="H38" s="18" t="s">
        <v>153</v>
      </c>
      <c r="I38" s="30" t="s">
        <v>9</v>
      </c>
      <c r="J38" s="28" t="s">
        <v>121</v>
      </c>
      <c r="K38" s="104" t="s">
        <v>0</v>
      </c>
      <c r="L38" s="106" t="s">
        <v>1</v>
      </c>
    </row>
    <row r="39" spans="1:18" s="17" customFormat="1" ht="15" x14ac:dyDescent="0.25">
      <c r="A39" s="216"/>
      <c r="B39" s="97" t="s">
        <v>103</v>
      </c>
      <c r="C39" s="180" t="e">
        <f>IF($B$7="Yes", H31, H35)</f>
        <v>#VALUE!</v>
      </c>
      <c r="D39" s="32">
        <v>0.01</v>
      </c>
      <c r="E39" s="33">
        <v>180000</v>
      </c>
      <c r="F39" s="31">
        <v>1.5</v>
      </c>
      <c r="G39" s="34">
        <v>454000</v>
      </c>
      <c r="H39" s="20">
        <f>1/929</f>
        <v>1.076426264800861E-3</v>
      </c>
      <c r="I39" s="55" t="e">
        <f>(C39*D39*E39*F39*G39*H39)</f>
        <v>#VALUE!</v>
      </c>
      <c r="J39" s="31" t="e">
        <f>(I39*'TOX and EXPO INPUTS'!$D$15)/'TOX and EXPO INPUTS'!$D$25</f>
        <v>#VALUE!</v>
      </c>
      <c r="K39" s="35" t="e">
        <f>'TOX and EXPO INPUTS'!$D$13/J39</f>
        <v>#VALUE!</v>
      </c>
      <c r="L39" s="31" t="e">
        <f t="shared" ref="L39:L40" si="0">VALUE(TEXT(K39,"0.0E+00"))</f>
        <v>#VALUE!</v>
      </c>
    </row>
    <row r="40" spans="1:18" s="17" customFormat="1" ht="15" x14ac:dyDescent="0.25">
      <c r="A40" s="216"/>
      <c r="B40" s="20" t="s">
        <v>72</v>
      </c>
      <c r="C40" s="180" t="e">
        <f>IF($B$7="Yes", H31, H35)</f>
        <v>#VALUE!</v>
      </c>
      <c r="D40" s="32">
        <v>0.01</v>
      </c>
      <c r="E40" s="33">
        <v>49000</v>
      </c>
      <c r="F40" s="31">
        <v>1.5</v>
      </c>
      <c r="G40" s="34">
        <v>454000</v>
      </c>
      <c r="H40" s="20">
        <f>1/929</f>
        <v>1.076426264800861E-3</v>
      </c>
      <c r="I40" s="55" t="e">
        <f>(C40*D40*E40*F40*G40*H40)</f>
        <v>#VALUE!</v>
      </c>
      <c r="J40" s="31" t="e">
        <f>(I40*'TOX and EXPO INPUTS'!$D$15)/'TOX and EXPO INPUTS'!$D$27</f>
        <v>#VALUE!</v>
      </c>
      <c r="K40" s="35" t="e">
        <f>'TOX and EXPO INPUTS'!$D$13/J40</f>
        <v>#VALUE!</v>
      </c>
      <c r="L40" s="31" t="e">
        <f t="shared" si="0"/>
        <v>#VALUE!</v>
      </c>
    </row>
    <row r="41" spans="1:18" s="17" customFormat="1" ht="15" x14ac:dyDescent="0.25"/>
    <row r="42" spans="1:18" s="17" customFormat="1" ht="20.25" x14ac:dyDescent="0.25">
      <c r="A42" s="117" t="s">
        <v>144</v>
      </c>
    </row>
    <row r="43" spans="1:18" s="17" customFormat="1" ht="15" x14ac:dyDescent="0.25"/>
    <row r="44" spans="1:18" s="17" customFormat="1" ht="16.5" x14ac:dyDescent="0.25">
      <c r="A44" s="216" t="s">
        <v>145</v>
      </c>
      <c r="B44" s="219" t="s">
        <v>98</v>
      </c>
      <c r="C44" s="36" t="s">
        <v>88</v>
      </c>
      <c r="D44" s="37" t="s">
        <v>11</v>
      </c>
      <c r="E44" s="37" t="s">
        <v>89</v>
      </c>
      <c r="F44" s="36" t="s">
        <v>12</v>
      </c>
      <c r="G44" s="37" t="s">
        <v>90</v>
      </c>
      <c r="H44" s="37" t="s">
        <v>13</v>
      </c>
      <c r="I44" s="221" t="s">
        <v>21</v>
      </c>
      <c r="J44" s="36" t="s">
        <v>14</v>
      </c>
      <c r="K44" s="36" t="s">
        <v>15</v>
      </c>
      <c r="L44" s="36" t="s">
        <v>16</v>
      </c>
      <c r="M44" s="221" t="s">
        <v>120</v>
      </c>
      <c r="N44" s="221" t="s">
        <v>10</v>
      </c>
      <c r="O44" s="223" t="s">
        <v>25</v>
      </c>
    </row>
    <row r="45" spans="1:18" s="17" customFormat="1" ht="105" x14ac:dyDescent="0.25">
      <c r="A45" s="212"/>
      <c r="B45" s="220"/>
      <c r="C45" s="38" t="s">
        <v>36</v>
      </c>
      <c r="D45" s="38" t="s">
        <v>17</v>
      </c>
      <c r="E45" s="38" t="s">
        <v>137</v>
      </c>
      <c r="F45" s="38" t="s">
        <v>91</v>
      </c>
      <c r="G45" s="39" t="s">
        <v>19</v>
      </c>
      <c r="H45" s="40" t="s">
        <v>20</v>
      </c>
      <c r="I45" s="222"/>
      <c r="J45" s="40" t="s">
        <v>22</v>
      </c>
      <c r="K45" s="38" t="s">
        <v>23</v>
      </c>
      <c r="L45" s="38" t="s">
        <v>24</v>
      </c>
      <c r="M45" s="222"/>
      <c r="N45" s="222"/>
      <c r="O45" s="224"/>
    </row>
    <row r="46" spans="1:18" s="17" customFormat="1" ht="15" x14ac:dyDescent="0.25">
      <c r="A46" s="212"/>
      <c r="B46" s="20" t="s">
        <v>72</v>
      </c>
      <c r="C46" s="32">
        <v>0.06</v>
      </c>
      <c r="D46" s="56" t="e">
        <f>I40</f>
        <v>#VALUE!</v>
      </c>
      <c r="E46" s="42">
        <v>150</v>
      </c>
      <c r="F46" s="57" t="e">
        <f>(C46*D46)/(2*E46)</f>
        <v>#VALUE!</v>
      </c>
      <c r="G46" s="43">
        <v>0.127</v>
      </c>
      <c r="H46" s="44">
        <v>1.5</v>
      </c>
      <c r="I46" s="44">
        <v>15</v>
      </c>
      <c r="J46" s="44">
        <f>60/I46</f>
        <v>4</v>
      </c>
      <c r="K46" s="32">
        <v>0.48</v>
      </c>
      <c r="L46" s="44">
        <v>13.9</v>
      </c>
      <c r="M46" s="31" t="e">
        <f>(((F46*(G46*E46))*(H46*J46)*(1-((1-K46)^(L46/J46))))/'TOX and EXPO INPUTS'!$D$27)</f>
        <v>#VALUE!</v>
      </c>
      <c r="N46" s="33" t="e">
        <f>'TOX and EXPO INPUTS'!$D$10/M46</f>
        <v>#VALUE!</v>
      </c>
      <c r="O46" s="31" t="e">
        <f>VALUE(TEXT(N46,"0.0E+00"))</f>
        <v>#VALUE!</v>
      </c>
    </row>
  </sheetData>
  <mergeCells count="14">
    <mergeCell ref="I44:I45"/>
    <mergeCell ref="M44:M45"/>
    <mergeCell ref="N44:N45"/>
    <mergeCell ref="O44:O45"/>
    <mergeCell ref="A30:A31"/>
    <mergeCell ref="A34:A35"/>
    <mergeCell ref="A38:A40"/>
    <mergeCell ref="A44:A46"/>
    <mergeCell ref="B44:B45"/>
    <mergeCell ref="D3:E3"/>
    <mergeCell ref="A12:A13"/>
    <mergeCell ref="A16:A17"/>
    <mergeCell ref="A19:A20"/>
    <mergeCell ref="A22:A23"/>
  </mergeCells>
  <conditionalFormatting sqref="K26:K27">
    <cfRule type="cellIs" dxfId="5" priority="11" operator="lessThan">
      <formula>$E$6</formula>
    </cfRule>
  </conditionalFormatting>
  <conditionalFormatting sqref="L39:L40">
    <cfRule type="cellIs" dxfId="4" priority="10" operator="lessThan">
      <formula>$E$5</formula>
    </cfRule>
  </conditionalFormatting>
  <conditionalFormatting sqref="O46">
    <cfRule type="cellIs" dxfId="3" priority="25" operator="lessThan">
      <formula>$E$4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171"/>
  <sheetViews>
    <sheetView zoomScale="80" zoomScaleNormal="80" workbookViewId="0">
      <selection activeCell="E9" sqref="E9"/>
    </sheetView>
  </sheetViews>
  <sheetFormatPr defaultRowHeight="15.75" x14ac:dyDescent="0.25"/>
  <cols>
    <col min="1" max="1" width="31" style="3" customWidth="1"/>
    <col min="2" max="2" width="19.28515625" style="4" customWidth="1"/>
    <col min="3" max="3" width="18.5703125" style="3" customWidth="1"/>
    <col min="4" max="4" width="19.28515625" style="3" customWidth="1"/>
    <col min="5" max="5" width="16.140625" style="3" customWidth="1"/>
    <col min="6" max="6" width="11.5703125" style="3" customWidth="1"/>
    <col min="7" max="7" width="16.28515625" style="3" bestFit="1" customWidth="1"/>
    <col min="8" max="8" width="18.140625" style="3" customWidth="1"/>
    <col min="9" max="9" width="19.42578125" style="3" customWidth="1"/>
    <col min="10" max="11" width="16.140625" style="3" bestFit="1" customWidth="1"/>
    <col min="12" max="12" width="11.5703125" style="3" customWidth="1"/>
    <col min="13" max="13" width="11.5703125" style="9" customWidth="1"/>
    <col min="14" max="14" width="14" style="6" customWidth="1"/>
    <col min="15" max="19" width="12.42578125" style="6" customWidth="1"/>
    <col min="20" max="20" width="13.42578125" style="6" customWidth="1"/>
    <col min="21" max="21" width="14.7109375" style="6" customWidth="1"/>
    <col min="22" max="22" width="12.42578125" style="6" customWidth="1"/>
    <col min="23" max="23" width="10.7109375" style="5" customWidth="1"/>
    <col min="24" max="24" width="11.42578125" style="3" customWidth="1"/>
    <col min="25" max="16384" width="9.140625" style="3"/>
  </cols>
  <sheetData>
    <row r="1" spans="1:18" ht="18" customHeight="1" x14ac:dyDescent="0.3">
      <c r="A1" s="128" t="s">
        <v>83</v>
      </c>
      <c r="B1" s="10"/>
      <c r="C1" s="10"/>
      <c r="D1" s="2"/>
      <c r="E1" s="2"/>
      <c r="F1" s="10"/>
      <c r="G1" s="10"/>
      <c r="J1" s="11"/>
      <c r="R1" s="6">
        <v>1</v>
      </c>
    </row>
    <row r="2" spans="1:18" ht="18.75" x14ac:dyDescent="0.3">
      <c r="A2" s="7"/>
      <c r="B2" s="3"/>
      <c r="D2" s="2"/>
      <c r="E2" s="2"/>
      <c r="J2" s="11"/>
      <c r="R2" s="6">
        <v>2</v>
      </c>
    </row>
    <row r="3" spans="1:18" s="17" customFormat="1" ht="15" x14ac:dyDescent="0.25">
      <c r="A3" s="13" t="s">
        <v>29</v>
      </c>
      <c r="B3" s="182"/>
      <c r="D3" s="129" t="s">
        <v>75</v>
      </c>
      <c r="E3" s="129"/>
    </row>
    <row r="4" spans="1:18" s="17" customFormat="1" ht="18" x14ac:dyDescent="0.25">
      <c r="A4" s="13" t="s">
        <v>141</v>
      </c>
      <c r="B4" s="182" t="s">
        <v>198</v>
      </c>
      <c r="D4" s="16" t="s">
        <v>78</v>
      </c>
      <c r="E4" s="16" t="str">
        <f>'TOX and EXPO INPUTS'!D11</f>
        <v>KEY_Oral_LOC</v>
      </c>
    </row>
    <row r="5" spans="1:18" s="17" customFormat="1" ht="15" x14ac:dyDescent="0.25">
      <c r="A5" s="13" t="s">
        <v>30</v>
      </c>
      <c r="B5" s="182" t="s">
        <v>200</v>
      </c>
      <c r="D5" s="16" t="s">
        <v>76</v>
      </c>
      <c r="E5" s="16" t="str">
        <f>'TOX and EXPO INPUTS'!D17</f>
        <v>KEY_Dermal_LOC</v>
      </c>
    </row>
    <row r="6" spans="1:18" s="17" customFormat="1" ht="15" x14ac:dyDescent="0.25">
      <c r="A6" s="13" t="s">
        <v>56</v>
      </c>
      <c r="B6" s="14">
        <v>8.34</v>
      </c>
      <c r="D6" s="16" t="s">
        <v>77</v>
      </c>
      <c r="E6" s="16" t="str">
        <f>'TOX and EXPO INPUTS'!D22</f>
        <v>KEY_Inhalation_LOC</v>
      </c>
    </row>
    <row r="7" spans="1:18" s="17" customFormat="1" ht="30" x14ac:dyDescent="0.25">
      <c r="A7" s="92" t="s">
        <v>139</v>
      </c>
      <c r="B7" s="182"/>
    </row>
    <row r="8" spans="1:18" s="17" customFormat="1" ht="15" x14ac:dyDescent="0.25">
      <c r="A8" s="95"/>
    </row>
    <row r="9" spans="1:18" s="17" customFormat="1" ht="20.25" x14ac:dyDescent="0.25">
      <c r="A9" s="130" t="s">
        <v>27</v>
      </c>
    </row>
    <row r="10" spans="1:18" s="17" customFormat="1" ht="20.25" x14ac:dyDescent="0.25">
      <c r="A10" s="130"/>
    </row>
    <row r="11" spans="1:18" s="17" customFormat="1" ht="15" x14ac:dyDescent="0.25">
      <c r="B11" s="71" t="str">
        <f>IF($B$7="No", "Use This One", "Don't Use This One")</f>
        <v>Don't Use This One</v>
      </c>
    </row>
    <row r="12" spans="1:18" s="17" customFormat="1" ht="45" customHeight="1" x14ac:dyDescent="0.25">
      <c r="A12" s="216" t="s">
        <v>52</v>
      </c>
      <c r="B12" s="18" t="s">
        <v>51</v>
      </c>
      <c r="C12" s="18" t="s">
        <v>48</v>
      </c>
      <c r="D12" s="18" t="s">
        <v>55</v>
      </c>
      <c r="E12" s="13" t="s">
        <v>53</v>
      </c>
      <c r="F12" s="18" t="s">
        <v>107</v>
      </c>
      <c r="G12" s="18" t="s">
        <v>125</v>
      </c>
      <c r="H12" s="18" t="s">
        <v>109</v>
      </c>
      <c r="I12" s="17" t="s">
        <v>112</v>
      </c>
    </row>
    <row r="13" spans="1:18" s="17" customFormat="1" ht="15" x14ac:dyDescent="0.25">
      <c r="A13" s="216"/>
      <c r="B13" s="20" t="e">
        <f>$B$5/100</f>
        <v>#VALUE!</v>
      </c>
      <c r="C13" s="186" t="s">
        <v>199</v>
      </c>
      <c r="D13" s="54">
        <v>1.4E-2</v>
      </c>
      <c r="E13" s="20">
        <v>1</v>
      </c>
      <c r="F13" s="14">
        <v>8.34</v>
      </c>
      <c r="G13" s="14">
        <v>1000</v>
      </c>
      <c r="H13" s="20" t="e">
        <f>(B13*C13*D13*E13*F13)/(G13)</f>
        <v>#VALUE!</v>
      </c>
    </row>
    <row r="14" spans="1:18" s="17" customFormat="1" ht="15" x14ac:dyDescent="0.25"/>
    <row r="15" spans="1:18" s="17" customFormat="1" ht="15" x14ac:dyDescent="0.25">
      <c r="B15" s="17" t="str">
        <f>IF($B$7="Yes", "Use This One", "Don't Use This One")</f>
        <v>Don't Use This One</v>
      </c>
    </row>
    <row r="16" spans="1:18" s="17" customFormat="1" ht="75" customHeight="1" x14ac:dyDescent="0.25">
      <c r="A16" s="216" t="s">
        <v>123</v>
      </c>
      <c r="B16" s="18" t="s">
        <v>124</v>
      </c>
      <c r="C16" s="18" t="s">
        <v>51</v>
      </c>
      <c r="D16" s="13" t="s">
        <v>26</v>
      </c>
      <c r="E16" s="18" t="s">
        <v>107</v>
      </c>
      <c r="F16" s="18" t="s">
        <v>125</v>
      </c>
      <c r="G16" s="18" t="s">
        <v>110</v>
      </c>
    </row>
    <row r="17" spans="1:22" s="17" customFormat="1" ht="15" x14ac:dyDescent="0.25">
      <c r="A17" s="216"/>
      <c r="B17" s="14" t="str">
        <f>B4</f>
        <v>KEY_AB_application_rate</v>
      </c>
      <c r="C17" s="20" t="e">
        <f>B5/100</f>
        <v>#VALUE!</v>
      </c>
      <c r="D17" s="47">
        <f>(1/128)</f>
        <v>7.8125E-3</v>
      </c>
      <c r="E17" s="20">
        <v>8.34</v>
      </c>
      <c r="F17" s="14">
        <v>1000</v>
      </c>
      <c r="G17" s="20" t="e">
        <f>(B17*C17*D17*E17)/(F17)</f>
        <v>#VALUE!</v>
      </c>
      <c r="H17" s="50"/>
      <c r="I17" s="21"/>
    </row>
    <row r="18" spans="1:22" s="17" customFormat="1" ht="15" x14ac:dyDescent="0.25">
      <c r="A18" s="15"/>
      <c r="B18" s="48"/>
      <c r="C18" s="21"/>
      <c r="D18" s="50"/>
      <c r="E18" s="21"/>
      <c r="F18" s="48"/>
      <c r="G18" s="21"/>
      <c r="H18" s="50"/>
      <c r="I18" s="21"/>
    </row>
    <row r="19" spans="1:22" s="17" customFormat="1" ht="18" x14ac:dyDescent="0.25">
      <c r="A19" s="225" t="s">
        <v>50</v>
      </c>
      <c r="B19" s="18" t="s">
        <v>110</v>
      </c>
      <c r="C19" s="18" t="s">
        <v>5</v>
      </c>
      <c r="D19" s="18" t="s">
        <v>111</v>
      </c>
      <c r="E19" s="18" t="s">
        <v>149</v>
      </c>
      <c r="F19" s="95"/>
      <c r="G19" s="60"/>
      <c r="H19" s="60"/>
      <c r="I19" s="61"/>
    </row>
    <row r="20" spans="1:22" s="17" customFormat="1" ht="24.75" customHeight="1" x14ac:dyDescent="0.25">
      <c r="A20" s="227"/>
      <c r="B20" s="24" t="b">
        <f>IF(B7="Yes",G17,IF(B7="No",H13))</f>
        <v>0</v>
      </c>
      <c r="C20" s="24">
        <f>(454000)</f>
        <v>454000</v>
      </c>
      <c r="D20" s="63">
        <f>(35.3/1)</f>
        <v>35.299999999999997</v>
      </c>
      <c r="E20" s="85">
        <f>B20*C20*D20</f>
        <v>0</v>
      </c>
      <c r="G20" s="60"/>
      <c r="H20" s="60"/>
      <c r="I20" s="61"/>
      <c r="K20" s="60"/>
      <c r="L20" s="60"/>
      <c r="M20" s="60"/>
      <c r="N20" s="60"/>
      <c r="O20" s="60"/>
      <c r="P20" s="60"/>
      <c r="Q20" s="60"/>
      <c r="R20" s="60"/>
      <c r="S20" s="64"/>
    </row>
    <row r="21" spans="1:22" s="17" customFormat="1" ht="28.5" customHeight="1" x14ac:dyDescent="0.25"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1"/>
    </row>
    <row r="22" spans="1:22" s="17" customFormat="1" ht="42.75" customHeight="1" x14ac:dyDescent="0.25">
      <c r="A22" s="212" t="s">
        <v>74</v>
      </c>
      <c r="B22" s="13" t="s">
        <v>98</v>
      </c>
      <c r="C22" s="18" t="s">
        <v>128</v>
      </c>
      <c r="D22" s="18" t="s">
        <v>113</v>
      </c>
      <c r="E22" s="18" t="s">
        <v>6</v>
      </c>
      <c r="F22" s="18" t="s">
        <v>70</v>
      </c>
      <c r="G22" s="18" t="s">
        <v>7</v>
      </c>
      <c r="H22" s="18" t="s">
        <v>9</v>
      </c>
      <c r="I22" s="18" t="s">
        <v>120</v>
      </c>
      <c r="J22" s="18" t="s">
        <v>8</v>
      </c>
      <c r="K22" s="22" t="s">
        <v>8</v>
      </c>
      <c r="M22" s="65"/>
      <c r="N22" s="65"/>
      <c r="O22" s="65"/>
      <c r="P22" s="65"/>
      <c r="Q22" s="65"/>
      <c r="R22" s="65"/>
    </row>
    <row r="23" spans="1:22" s="17" customFormat="1" ht="15" x14ac:dyDescent="0.25">
      <c r="A23" s="212"/>
      <c r="B23" s="23" t="s">
        <v>103</v>
      </c>
      <c r="C23" s="26">
        <f>E20</f>
        <v>0</v>
      </c>
      <c r="D23" s="24">
        <f>'TOX and EXPO INPUTS'!D31</f>
        <v>0.64</v>
      </c>
      <c r="E23" s="24">
        <v>4</v>
      </c>
      <c r="F23" s="24">
        <v>1</v>
      </c>
      <c r="G23" s="24">
        <v>4</v>
      </c>
      <c r="H23" s="26">
        <f>D23*C23*G23*F23/E23</f>
        <v>0</v>
      </c>
      <c r="I23" s="66" t="e">
        <f>H23*'TOX and EXPO INPUTS'!D21/'TOX and EXPO INPUTS'!D26</f>
        <v>#VALUE!</v>
      </c>
      <c r="J23" s="26" t="e">
        <f>'TOX and EXPO INPUTS'!$D$19/I23</f>
        <v>#VALUE!</v>
      </c>
      <c r="K23" s="25" t="e">
        <f>VALUE(TEXT(J23,"0.0E+00"))</f>
        <v>#VALUE!</v>
      </c>
      <c r="M23" s="65"/>
      <c r="N23" s="65"/>
      <c r="O23" s="65"/>
      <c r="P23" s="65"/>
      <c r="Q23" s="65"/>
      <c r="R23" s="65"/>
    </row>
    <row r="24" spans="1:22" s="17" customFormat="1" ht="15" x14ac:dyDescent="0.25">
      <c r="A24" s="212"/>
      <c r="B24" s="52" t="s">
        <v>73</v>
      </c>
      <c r="C24" s="26">
        <f>E20</f>
        <v>0</v>
      </c>
      <c r="D24" s="24">
        <f>'TOX and EXPO INPUTS'!D33</f>
        <v>0.42</v>
      </c>
      <c r="E24" s="24">
        <v>4</v>
      </c>
      <c r="F24" s="24">
        <v>1</v>
      </c>
      <c r="G24" s="24">
        <v>2</v>
      </c>
      <c r="H24" s="26">
        <f>D24*C24*G24*F24/E24</f>
        <v>0</v>
      </c>
      <c r="I24" s="66" t="e">
        <f>H24*'TOX and EXPO INPUTS'!D21/'TOX and EXPO INPUTS'!D28</f>
        <v>#VALUE!</v>
      </c>
      <c r="J24" s="26" t="e">
        <f>'TOX and EXPO INPUTS'!$D$19/I24</f>
        <v>#VALUE!</v>
      </c>
      <c r="K24" s="25" t="e">
        <f>VALUE(TEXT(J24,"0.0E+00"))</f>
        <v>#VALUE!</v>
      </c>
      <c r="M24" s="60"/>
      <c r="N24" s="60"/>
      <c r="O24" s="60"/>
      <c r="P24" s="60"/>
      <c r="Q24" s="60"/>
      <c r="R24" s="60"/>
      <c r="S24" s="60"/>
      <c r="T24" s="60"/>
      <c r="U24" s="64"/>
    </row>
    <row r="25" spans="1:22" s="17" customFormat="1" ht="15" x14ac:dyDescent="0.25">
      <c r="B25" s="58"/>
      <c r="C25" s="67"/>
      <c r="D25" s="62"/>
      <c r="E25" s="62"/>
      <c r="F25" s="62"/>
      <c r="G25" s="62"/>
      <c r="H25" s="67"/>
      <c r="I25" s="68"/>
      <c r="J25" s="62"/>
      <c r="K25" s="67"/>
      <c r="L25" s="69"/>
      <c r="N25" s="60"/>
      <c r="O25" s="60"/>
      <c r="P25" s="60"/>
      <c r="Q25" s="60"/>
      <c r="R25" s="60"/>
      <c r="S25" s="60"/>
      <c r="T25" s="60"/>
      <c r="U25" s="60"/>
      <c r="V25" s="64"/>
    </row>
    <row r="26" spans="1:22" s="17" customFormat="1" ht="20.25" x14ac:dyDescent="0.25">
      <c r="A26" s="117" t="s">
        <v>35</v>
      </c>
      <c r="B26" s="58"/>
      <c r="C26" s="67"/>
      <c r="D26" s="62"/>
      <c r="E26" s="62"/>
      <c r="F26" s="62"/>
      <c r="G26" s="62"/>
      <c r="H26" s="67"/>
      <c r="I26" s="68"/>
      <c r="J26" s="62"/>
      <c r="K26" s="67"/>
      <c r="L26" s="69"/>
      <c r="N26" s="60"/>
      <c r="O26" s="60"/>
      <c r="P26" s="60"/>
      <c r="Q26" s="60"/>
      <c r="R26" s="60"/>
      <c r="S26" s="60"/>
      <c r="T26" s="60"/>
      <c r="U26" s="60"/>
      <c r="V26" s="64"/>
    </row>
    <row r="27" spans="1:22" s="17" customFormat="1" ht="15" x14ac:dyDescent="0.25">
      <c r="D27" s="126"/>
      <c r="I27" s="126"/>
      <c r="K27" s="67"/>
      <c r="L27" s="69"/>
      <c r="N27" s="60"/>
      <c r="O27" s="60"/>
      <c r="P27" s="60"/>
      <c r="Q27" s="60"/>
      <c r="R27" s="60"/>
      <c r="S27" s="60"/>
      <c r="T27" s="60"/>
      <c r="U27" s="60"/>
      <c r="V27" s="64"/>
    </row>
    <row r="28" spans="1:22" s="17" customFormat="1" ht="15" x14ac:dyDescent="0.25">
      <c r="B28" s="131" t="str">
        <f>IF($B$7="Yes", "Use This One", "Don't Use This One")</f>
        <v>Don't Use This One</v>
      </c>
      <c r="K28" s="67"/>
      <c r="L28" s="69"/>
      <c r="N28" s="60"/>
      <c r="O28" s="60"/>
      <c r="P28" s="60"/>
      <c r="Q28" s="60"/>
      <c r="R28" s="60"/>
      <c r="S28" s="60"/>
      <c r="T28" s="60"/>
      <c r="U28" s="60"/>
      <c r="V28" s="64"/>
    </row>
    <row r="29" spans="1:22" s="17" customFormat="1" ht="33" x14ac:dyDescent="0.25">
      <c r="A29" s="216" t="s">
        <v>132</v>
      </c>
      <c r="B29" s="18" t="s">
        <v>134</v>
      </c>
      <c r="C29" s="18" t="s">
        <v>51</v>
      </c>
      <c r="D29" s="18" t="s">
        <v>26</v>
      </c>
      <c r="E29" s="18" t="s">
        <v>107</v>
      </c>
      <c r="F29" s="18" t="s">
        <v>57</v>
      </c>
      <c r="G29" s="18" t="s">
        <v>125</v>
      </c>
      <c r="H29" s="13" t="s">
        <v>135</v>
      </c>
      <c r="I29" s="18" t="s">
        <v>26</v>
      </c>
      <c r="J29" s="18" t="s">
        <v>108</v>
      </c>
      <c r="K29" s="98" t="s">
        <v>26</v>
      </c>
      <c r="L29" s="22" t="s">
        <v>142</v>
      </c>
      <c r="N29" s="60"/>
      <c r="O29" s="60"/>
      <c r="P29" s="60"/>
      <c r="Q29" s="60"/>
      <c r="R29" s="60"/>
      <c r="S29" s="60"/>
      <c r="T29" s="60"/>
      <c r="U29" s="60"/>
      <c r="V29" s="64"/>
    </row>
    <row r="30" spans="1:22" s="17" customFormat="1" ht="15" x14ac:dyDescent="0.25">
      <c r="A30" s="216"/>
      <c r="B30" s="20" t="str">
        <f>$B$4</f>
        <v>KEY_AB_application_rate</v>
      </c>
      <c r="C30" s="20" t="e">
        <f>B5/100</f>
        <v>#VALUE!</v>
      </c>
      <c r="D30" s="47">
        <f>1/128</f>
        <v>7.8125E-3</v>
      </c>
      <c r="E30" s="86">
        <f>B6</f>
        <v>8.34</v>
      </c>
      <c r="F30" s="14">
        <v>8</v>
      </c>
      <c r="G30" s="14">
        <v>1000</v>
      </c>
      <c r="H30" s="102" t="e">
        <f>(B30*C30*D30*E30*F30)/(G30)</f>
        <v>#VALUE!</v>
      </c>
      <c r="I30" s="127">
        <f>1/929</f>
        <v>1.076426264800861E-3</v>
      </c>
      <c r="J30" s="127" t="e">
        <f>H30*I30</f>
        <v>#VALUE!</v>
      </c>
      <c r="K30" s="99">
        <f>454000000/1</f>
        <v>454000000</v>
      </c>
      <c r="L30" s="84" t="e">
        <f>J30*K30</f>
        <v>#VALUE!</v>
      </c>
      <c r="N30" s="60"/>
      <c r="O30" s="60"/>
      <c r="P30" s="60"/>
      <c r="Q30" s="60"/>
      <c r="R30" s="60"/>
      <c r="S30" s="60"/>
      <c r="T30" s="60"/>
      <c r="U30" s="60"/>
      <c r="V30" s="64"/>
    </row>
    <row r="31" spans="1:22" s="17" customFormat="1" ht="15" x14ac:dyDescent="0.25">
      <c r="K31" s="67"/>
      <c r="L31" s="69"/>
      <c r="N31" s="60"/>
      <c r="O31" s="60"/>
      <c r="P31" s="60"/>
      <c r="Q31" s="60"/>
      <c r="R31" s="60"/>
      <c r="S31" s="60"/>
      <c r="T31" s="60"/>
      <c r="U31" s="60"/>
      <c r="V31" s="64"/>
    </row>
    <row r="32" spans="1:22" s="17" customFormat="1" ht="15" x14ac:dyDescent="0.25">
      <c r="B32" s="131" t="str">
        <f>IF($B$7="No", "Use This One", "Don't Use This One")</f>
        <v>Don't Use This One</v>
      </c>
      <c r="K32" s="67"/>
      <c r="L32" s="69"/>
      <c r="N32" s="60"/>
      <c r="O32" s="60"/>
      <c r="P32" s="60"/>
      <c r="Q32" s="60"/>
      <c r="R32" s="60"/>
      <c r="S32" s="60"/>
      <c r="T32" s="60"/>
      <c r="U32" s="60"/>
      <c r="V32" s="64"/>
    </row>
    <row r="33" spans="1:47" s="17" customFormat="1" ht="33" x14ac:dyDescent="0.25">
      <c r="A33" s="216" t="s">
        <v>132</v>
      </c>
      <c r="B33" s="18" t="s">
        <v>51</v>
      </c>
      <c r="C33" s="18" t="s">
        <v>48</v>
      </c>
      <c r="D33" s="18" t="s">
        <v>54</v>
      </c>
      <c r="E33" s="13" t="s">
        <v>53</v>
      </c>
      <c r="F33" s="13" t="s">
        <v>107</v>
      </c>
      <c r="G33" s="18" t="s">
        <v>136</v>
      </c>
      <c r="H33" s="18" t="s">
        <v>135</v>
      </c>
      <c r="I33" s="18" t="s">
        <v>26</v>
      </c>
      <c r="J33" s="18" t="s">
        <v>108</v>
      </c>
      <c r="K33" s="98" t="s">
        <v>26</v>
      </c>
      <c r="L33" s="22" t="s">
        <v>142</v>
      </c>
      <c r="N33" s="60"/>
      <c r="O33" s="60"/>
      <c r="P33" s="60"/>
      <c r="Q33" s="60"/>
      <c r="R33" s="60"/>
      <c r="S33" s="60"/>
      <c r="T33" s="60"/>
      <c r="U33" s="60"/>
      <c r="V33" s="64"/>
    </row>
    <row r="34" spans="1:47" s="17" customFormat="1" ht="15" x14ac:dyDescent="0.25">
      <c r="A34" s="216"/>
      <c r="B34" s="20" t="e">
        <f>$B$5/100</f>
        <v>#VALUE!</v>
      </c>
      <c r="C34" s="186" t="str">
        <f>C13</f>
        <v>KEY_AB_dilution_rate</v>
      </c>
      <c r="D34" s="54">
        <v>1.4E-2</v>
      </c>
      <c r="E34" s="20">
        <v>1</v>
      </c>
      <c r="F34" s="14">
        <v>8.34</v>
      </c>
      <c r="G34" s="14">
        <v>125</v>
      </c>
      <c r="H34" s="103" t="e">
        <f>(B34*C34*D34*E34*F34)/(G34)</f>
        <v>#VALUE!</v>
      </c>
      <c r="I34" s="16">
        <f>1/929</f>
        <v>1.076426264800861E-3</v>
      </c>
      <c r="J34" s="16" t="e">
        <f>H34*I34</f>
        <v>#VALUE!</v>
      </c>
      <c r="K34" s="26">
        <f>454000000/1</f>
        <v>454000000</v>
      </c>
      <c r="L34" s="84" t="e">
        <f>J34*K34</f>
        <v>#VALUE!</v>
      </c>
      <c r="N34" s="60"/>
      <c r="O34" s="60"/>
      <c r="P34" s="60"/>
      <c r="Q34" s="60"/>
      <c r="R34" s="60"/>
      <c r="S34" s="60"/>
      <c r="T34" s="60"/>
      <c r="U34" s="60"/>
      <c r="V34" s="64"/>
    </row>
    <row r="35" spans="1:47" s="17" customFormat="1" ht="15" x14ac:dyDescent="0.25">
      <c r="K35" s="67"/>
      <c r="L35" s="69"/>
      <c r="N35" s="60"/>
      <c r="O35" s="60"/>
      <c r="P35" s="60"/>
      <c r="Q35" s="60"/>
      <c r="R35" s="60"/>
      <c r="S35" s="60"/>
      <c r="T35" s="60"/>
      <c r="U35" s="60"/>
      <c r="V35" s="64"/>
    </row>
    <row r="36" spans="1:47" s="72" customFormat="1" ht="45" x14ac:dyDescent="0.2">
      <c r="A36" s="229" t="s">
        <v>147</v>
      </c>
      <c r="B36" s="107" t="s">
        <v>92</v>
      </c>
      <c r="C36" s="107" t="s">
        <v>98</v>
      </c>
      <c r="D36" s="108" t="s">
        <v>82</v>
      </c>
      <c r="E36" s="28" t="s">
        <v>2</v>
      </c>
      <c r="F36" s="109" t="s">
        <v>87</v>
      </c>
      <c r="G36" s="107" t="s">
        <v>3</v>
      </c>
      <c r="H36" s="30" t="s">
        <v>152</v>
      </c>
      <c r="I36" s="30" t="s">
        <v>9</v>
      </c>
      <c r="J36" s="28" t="s">
        <v>121</v>
      </c>
      <c r="K36" s="107" t="s">
        <v>0</v>
      </c>
      <c r="L36" s="109" t="s">
        <v>1</v>
      </c>
      <c r="X36" s="73"/>
      <c r="Z36" s="74"/>
      <c r="AA36" s="74"/>
      <c r="AH36" s="75"/>
      <c r="AI36" s="75"/>
      <c r="AQ36" s="75"/>
      <c r="AR36" s="75"/>
    </row>
    <row r="37" spans="1:47" s="72" customFormat="1" ht="15" x14ac:dyDescent="0.2">
      <c r="A37" s="230"/>
      <c r="B37" s="228" t="s">
        <v>85</v>
      </c>
      <c r="C37" s="97" t="s">
        <v>103</v>
      </c>
      <c r="D37" s="32" t="e">
        <f>IF($B$7="Yes", L30, L34)</f>
        <v>#VALUE!</v>
      </c>
      <c r="E37" s="32">
        <v>0.08</v>
      </c>
      <c r="F37" s="33">
        <v>6800</v>
      </c>
      <c r="G37" s="33">
        <v>4</v>
      </c>
      <c r="H37" s="34">
        <v>1E-3</v>
      </c>
      <c r="I37" s="76" t="e">
        <f t="shared" ref="I37:I38" si="0">(D37*E37*F37*G37*H37)</f>
        <v>#VALUE!</v>
      </c>
      <c r="J37" s="31" t="e">
        <f>(D37*E37*F37*G37*H37*'TOX and EXPO INPUTS'!D15)/'TOX and EXPO INPUTS'!D25</f>
        <v>#VALUE!</v>
      </c>
      <c r="K37" s="32" t="e">
        <f>'TOX and EXPO INPUTS'!D13/J37</f>
        <v>#VALUE!</v>
      </c>
      <c r="L37" s="33" t="e">
        <f>VALUE(TEXT(K37,"0.0E+00"))</f>
        <v>#VALUE!</v>
      </c>
      <c r="Z37" s="78"/>
      <c r="AB37" s="74"/>
      <c r="AC37" s="74"/>
      <c r="AD37" s="79"/>
      <c r="AF37" s="74"/>
      <c r="AI37" s="74"/>
      <c r="AJ37" s="74"/>
      <c r="AQ37" s="75"/>
      <c r="AR37" s="75"/>
    </row>
    <row r="38" spans="1:47" s="72" customFormat="1" ht="15" x14ac:dyDescent="0.25">
      <c r="A38" s="231"/>
      <c r="B38" s="228"/>
      <c r="C38" s="80" t="s">
        <v>84</v>
      </c>
      <c r="D38" s="32" t="e">
        <f>IF($B$7="Yes", L30, L34)</f>
        <v>#VALUE!</v>
      </c>
      <c r="E38" s="32">
        <v>0.08</v>
      </c>
      <c r="F38" s="33">
        <v>2700</v>
      </c>
      <c r="G38" s="33">
        <v>2</v>
      </c>
      <c r="H38" s="34">
        <v>1E-3</v>
      </c>
      <c r="I38" s="76" t="e">
        <f t="shared" si="0"/>
        <v>#VALUE!</v>
      </c>
      <c r="J38" s="31" t="e">
        <f>(D38*E38*F38*G38*H38*'TOX and EXPO INPUTS'!D15)/'TOX and EXPO INPUTS'!D28</f>
        <v>#VALUE!</v>
      </c>
      <c r="K38" s="32" t="e">
        <f>'TOX and EXPO INPUTS'!D13/J38</f>
        <v>#VALUE!</v>
      </c>
      <c r="L38" s="33" t="e">
        <f>VALUE(TEXT(K38,"0.0E+00"))</f>
        <v>#VALUE!</v>
      </c>
      <c r="W38" s="74"/>
      <c r="AA38" s="78"/>
      <c r="AC38" s="74"/>
      <c r="AD38" s="74"/>
      <c r="AE38" s="79"/>
      <c r="AG38" s="74"/>
      <c r="AJ38" s="74"/>
      <c r="AK38" s="74"/>
      <c r="AR38" s="75"/>
      <c r="AS38" s="75"/>
    </row>
    <row r="39" spans="1:47" s="72" customFormat="1" ht="15" x14ac:dyDescent="0.25">
      <c r="A39" s="132"/>
      <c r="B39" s="133"/>
      <c r="C39" s="134"/>
      <c r="D39" s="135"/>
      <c r="E39" s="135"/>
      <c r="F39" s="74"/>
      <c r="G39" s="74"/>
      <c r="H39" s="136"/>
      <c r="I39" s="137"/>
      <c r="J39" s="79"/>
      <c r="L39" s="135"/>
      <c r="M39" s="74"/>
      <c r="X39" s="74"/>
      <c r="AB39" s="78"/>
      <c r="AD39" s="74"/>
      <c r="AE39" s="74"/>
      <c r="AF39" s="79"/>
      <c r="AH39" s="74"/>
      <c r="AK39" s="74"/>
      <c r="AL39" s="74"/>
      <c r="AS39" s="75"/>
      <c r="AT39" s="75"/>
    </row>
    <row r="40" spans="1:47" s="72" customFormat="1" ht="20.25" x14ac:dyDescent="0.25">
      <c r="A40" s="117" t="s">
        <v>144</v>
      </c>
      <c r="B40" s="133"/>
      <c r="C40" s="134"/>
      <c r="D40" s="135"/>
      <c r="E40" s="135"/>
      <c r="F40" s="74"/>
      <c r="G40" s="74"/>
      <c r="H40" s="136"/>
      <c r="I40" s="137"/>
      <c r="J40" s="79"/>
      <c r="L40" s="135"/>
      <c r="M40" s="74"/>
      <c r="X40" s="74"/>
      <c r="AB40" s="78"/>
      <c r="AD40" s="74"/>
      <c r="AE40" s="74"/>
      <c r="AF40" s="79"/>
      <c r="AH40" s="74"/>
      <c r="AK40" s="74"/>
      <c r="AL40" s="74"/>
      <c r="AS40" s="75"/>
      <c r="AT40" s="75"/>
    </row>
    <row r="41" spans="1:47" s="72" customFormat="1" ht="15" x14ac:dyDescent="0.25">
      <c r="A41" s="93"/>
      <c r="C41" s="17"/>
      <c r="D41" s="70"/>
      <c r="E41" s="17"/>
      <c r="F41" s="17"/>
      <c r="G41" s="17"/>
      <c r="H41" s="17"/>
      <c r="I41" s="17"/>
      <c r="J41" s="17"/>
      <c r="K41" s="17"/>
      <c r="L41" s="17"/>
      <c r="M41" s="17"/>
      <c r="N41" s="17"/>
      <c r="Y41" s="74"/>
      <c r="AC41" s="78"/>
      <c r="AE41" s="74"/>
      <c r="AF41" s="74"/>
      <c r="AG41" s="79"/>
      <c r="AI41" s="74"/>
      <c r="AL41" s="74"/>
      <c r="AM41" s="74"/>
      <c r="AT41" s="75"/>
      <c r="AU41" s="75"/>
    </row>
    <row r="42" spans="1:47" s="17" customFormat="1" ht="16.5" x14ac:dyDescent="0.25">
      <c r="A42" s="213" t="s">
        <v>146</v>
      </c>
      <c r="B42" s="219" t="s">
        <v>81</v>
      </c>
      <c r="C42" s="219" t="s">
        <v>98</v>
      </c>
      <c r="D42" s="36" t="s">
        <v>88</v>
      </c>
      <c r="E42" s="37" t="s">
        <v>11</v>
      </c>
      <c r="F42" s="37" t="s">
        <v>89</v>
      </c>
      <c r="G42" s="36" t="s">
        <v>12</v>
      </c>
      <c r="H42" s="37" t="s">
        <v>90</v>
      </c>
      <c r="I42" s="37" t="s">
        <v>13</v>
      </c>
      <c r="J42" s="221" t="s">
        <v>21</v>
      </c>
      <c r="K42" s="36" t="s">
        <v>14</v>
      </c>
      <c r="L42" s="36" t="s">
        <v>15</v>
      </c>
      <c r="M42" s="36" t="s">
        <v>16</v>
      </c>
      <c r="N42" s="221" t="s">
        <v>120</v>
      </c>
      <c r="O42" s="221" t="s">
        <v>10</v>
      </c>
      <c r="P42" s="223" t="s">
        <v>25</v>
      </c>
      <c r="Q42" s="60"/>
      <c r="R42" s="60"/>
      <c r="S42" s="60"/>
      <c r="T42" s="60"/>
      <c r="U42" s="60"/>
      <c r="V42" s="60"/>
      <c r="W42" s="64"/>
    </row>
    <row r="43" spans="1:47" s="17" customFormat="1" ht="105" x14ac:dyDescent="0.25">
      <c r="A43" s="214"/>
      <c r="B43" s="220"/>
      <c r="C43" s="220"/>
      <c r="D43" s="38" t="s">
        <v>143</v>
      </c>
      <c r="E43" s="38" t="s">
        <v>17</v>
      </c>
      <c r="F43" s="38" t="s">
        <v>18</v>
      </c>
      <c r="G43" s="38" t="s">
        <v>91</v>
      </c>
      <c r="H43" s="39" t="s">
        <v>19</v>
      </c>
      <c r="I43" s="40" t="s">
        <v>20</v>
      </c>
      <c r="J43" s="222"/>
      <c r="K43" s="40" t="s">
        <v>22</v>
      </c>
      <c r="L43" s="38" t="s">
        <v>23</v>
      </c>
      <c r="M43" s="38" t="s">
        <v>24</v>
      </c>
      <c r="N43" s="222"/>
      <c r="O43" s="222"/>
      <c r="P43" s="224"/>
      <c r="Q43" s="60"/>
      <c r="R43" s="60"/>
      <c r="S43" s="60"/>
      <c r="T43" s="60"/>
      <c r="U43" s="60"/>
      <c r="V43" s="60"/>
      <c r="W43" s="64"/>
    </row>
    <row r="44" spans="1:47" s="17" customFormat="1" ht="30" x14ac:dyDescent="0.25">
      <c r="A44" s="215"/>
      <c r="B44" s="81" t="s">
        <v>86</v>
      </c>
      <c r="C44" s="77" t="s">
        <v>84</v>
      </c>
      <c r="D44" s="32">
        <v>0.15</v>
      </c>
      <c r="E44" s="82" t="e">
        <f>I38</f>
        <v>#VALUE!</v>
      </c>
      <c r="F44" s="35">
        <v>225</v>
      </c>
      <c r="G44" s="83" t="e">
        <f>(D44*E44)/(2*F44)</f>
        <v>#VALUE!</v>
      </c>
      <c r="H44" s="43">
        <v>0.13</v>
      </c>
      <c r="I44" s="44">
        <v>2</v>
      </c>
      <c r="J44" s="44">
        <v>15</v>
      </c>
      <c r="K44" s="44">
        <f>60/J44</f>
        <v>4</v>
      </c>
      <c r="L44" s="32">
        <v>0.48</v>
      </c>
      <c r="M44" s="44">
        <v>14</v>
      </c>
      <c r="N44" s="31" t="e">
        <f>(((G44*(H44*F44))*(I44*K44)*(1-((1-L44)^(M44/K44))))/'TOX and EXPO INPUTS'!D28)</f>
        <v>#VALUE!</v>
      </c>
      <c r="O44" s="77" t="e">
        <f>'TOX and EXPO INPUTS'!D10/N44</f>
        <v>#VALUE!</v>
      </c>
      <c r="P44" s="33" t="e">
        <f>VALUE(TEXT(O44,"0.0E+00"))</f>
        <v>#VALUE!</v>
      </c>
      <c r="Q44" s="60"/>
      <c r="R44" s="60"/>
      <c r="S44" s="60"/>
      <c r="T44" s="60"/>
      <c r="U44" s="60"/>
      <c r="V44" s="60"/>
      <c r="W44" s="64"/>
    </row>
    <row r="45" spans="1:47" s="17" customFormat="1" ht="15" x14ac:dyDescent="0.25">
      <c r="B45" s="70"/>
      <c r="M45" s="59"/>
      <c r="N45" s="60"/>
      <c r="O45" s="60"/>
      <c r="P45" s="60"/>
      <c r="Q45" s="60"/>
      <c r="R45" s="60"/>
      <c r="S45" s="60"/>
      <c r="T45" s="60"/>
      <c r="U45" s="60"/>
      <c r="V45" s="60"/>
      <c r="W45" s="64"/>
    </row>
    <row r="46" spans="1:47" s="17" customFormat="1" ht="15" x14ac:dyDescent="0.25">
      <c r="B46" s="70"/>
      <c r="M46" s="59"/>
      <c r="N46" s="60"/>
      <c r="O46" s="60"/>
      <c r="P46" s="60"/>
      <c r="Q46" s="60"/>
      <c r="R46" s="60"/>
      <c r="S46" s="60"/>
      <c r="T46" s="60"/>
      <c r="U46" s="60"/>
      <c r="V46" s="60"/>
      <c r="W46" s="64"/>
    </row>
    <row r="47" spans="1:47" s="17" customFormat="1" ht="15" x14ac:dyDescent="0.25">
      <c r="B47" s="70"/>
      <c r="M47" s="59"/>
      <c r="N47" s="60"/>
      <c r="O47" s="60"/>
      <c r="P47" s="60"/>
      <c r="Q47" s="60"/>
      <c r="R47" s="60"/>
      <c r="S47" s="60"/>
      <c r="T47" s="60"/>
      <c r="U47" s="60"/>
      <c r="V47" s="60"/>
      <c r="W47" s="64"/>
    </row>
    <row r="48" spans="1:47" s="17" customFormat="1" ht="15" x14ac:dyDescent="0.25">
      <c r="B48" s="70"/>
      <c r="M48" s="59"/>
      <c r="N48" s="60"/>
      <c r="O48" s="60"/>
      <c r="P48" s="60"/>
      <c r="Q48" s="60"/>
      <c r="R48" s="60"/>
      <c r="S48" s="60"/>
      <c r="T48" s="60"/>
      <c r="U48" s="60"/>
      <c r="V48" s="60"/>
      <c r="W48" s="64"/>
    </row>
    <row r="49" spans="2:23" s="17" customFormat="1" ht="15" x14ac:dyDescent="0.25">
      <c r="B49" s="70"/>
      <c r="M49" s="59"/>
      <c r="N49" s="60"/>
      <c r="O49" s="60"/>
      <c r="P49" s="60"/>
      <c r="Q49" s="60"/>
      <c r="R49" s="60"/>
      <c r="S49" s="60"/>
      <c r="T49" s="60"/>
      <c r="U49" s="60"/>
      <c r="V49" s="60"/>
      <c r="W49" s="64"/>
    </row>
    <row r="50" spans="2:23" s="17" customFormat="1" ht="15" x14ac:dyDescent="0.25">
      <c r="B50" s="70"/>
      <c r="M50" s="59"/>
      <c r="N50" s="60"/>
      <c r="O50" s="60"/>
      <c r="P50" s="60"/>
      <c r="Q50" s="60"/>
      <c r="R50" s="60"/>
      <c r="S50" s="60"/>
      <c r="T50" s="60"/>
      <c r="U50" s="60"/>
      <c r="V50" s="60"/>
      <c r="W50" s="64"/>
    </row>
    <row r="51" spans="2:23" s="17" customFormat="1" ht="15" x14ac:dyDescent="0.25">
      <c r="B51" s="70"/>
      <c r="M51" s="59"/>
      <c r="N51" s="60"/>
      <c r="O51" s="60"/>
      <c r="P51" s="60"/>
      <c r="Q51" s="60"/>
      <c r="R51" s="60"/>
      <c r="S51" s="60"/>
      <c r="T51" s="60"/>
      <c r="U51" s="60"/>
      <c r="V51" s="60"/>
      <c r="W51" s="64"/>
    </row>
    <row r="52" spans="2:23" s="17" customFormat="1" ht="15" x14ac:dyDescent="0.25">
      <c r="B52" s="70"/>
      <c r="M52" s="59"/>
      <c r="N52" s="60"/>
      <c r="O52" s="60"/>
      <c r="P52" s="60"/>
      <c r="Q52" s="60"/>
      <c r="R52" s="60"/>
      <c r="S52" s="60"/>
      <c r="T52" s="60"/>
      <c r="U52" s="60"/>
      <c r="V52" s="60"/>
      <c r="W52" s="64"/>
    </row>
    <row r="53" spans="2:23" s="17" customFormat="1" ht="15" x14ac:dyDescent="0.25">
      <c r="B53" s="70"/>
      <c r="M53" s="59"/>
      <c r="N53" s="60"/>
      <c r="O53" s="60"/>
      <c r="P53" s="60"/>
      <c r="Q53" s="60"/>
      <c r="R53" s="60"/>
      <c r="S53" s="60"/>
      <c r="T53" s="60"/>
      <c r="U53" s="60"/>
      <c r="V53" s="60"/>
      <c r="W53" s="64"/>
    </row>
    <row r="54" spans="2:23" s="17" customFormat="1" ht="15" x14ac:dyDescent="0.25">
      <c r="B54" s="70"/>
      <c r="M54" s="59"/>
      <c r="N54" s="60"/>
      <c r="O54" s="60"/>
      <c r="P54" s="60"/>
      <c r="Q54" s="60"/>
      <c r="R54" s="60"/>
      <c r="S54" s="60"/>
      <c r="T54" s="60"/>
      <c r="U54" s="60"/>
      <c r="V54" s="60"/>
      <c r="W54" s="64"/>
    </row>
    <row r="55" spans="2:23" s="17" customFormat="1" ht="15" x14ac:dyDescent="0.25">
      <c r="B55" s="70"/>
      <c r="M55" s="59"/>
      <c r="N55" s="60"/>
      <c r="O55" s="60"/>
      <c r="P55" s="60"/>
      <c r="Q55" s="60"/>
      <c r="R55" s="60"/>
      <c r="S55" s="60"/>
      <c r="T55" s="60"/>
      <c r="U55" s="60"/>
      <c r="V55" s="60"/>
      <c r="W55" s="64"/>
    </row>
    <row r="56" spans="2:23" s="17" customFormat="1" ht="15" x14ac:dyDescent="0.25">
      <c r="B56" s="70"/>
      <c r="M56" s="59"/>
      <c r="N56" s="60"/>
      <c r="O56" s="60"/>
      <c r="P56" s="60"/>
      <c r="Q56" s="60"/>
      <c r="R56" s="60"/>
      <c r="S56" s="60"/>
      <c r="T56" s="60"/>
      <c r="U56" s="60"/>
      <c r="V56" s="60"/>
      <c r="W56" s="64"/>
    </row>
    <row r="57" spans="2:23" s="17" customFormat="1" ht="15" x14ac:dyDescent="0.25">
      <c r="B57" s="70"/>
      <c r="M57" s="59"/>
      <c r="N57" s="60"/>
      <c r="O57" s="60"/>
      <c r="P57" s="60"/>
      <c r="Q57" s="60"/>
      <c r="R57" s="60"/>
      <c r="S57" s="60"/>
      <c r="T57" s="60"/>
      <c r="U57" s="60"/>
      <c r="V57" s="60"/>
      <c r="W57" s="64"/>
    </row>
    <row r="58" spans="2:23" s="17" customFormat="1" ht="15" x14ac:dyDescent="0.25">
      <c r="B58" s="70"/>
      <c r="M58" s="59"/>
      <c r="N58" s="60"/>
      <c r="O58" s="60"/>
      <c r="P58" s="60"/>
      <c r="Q58" s="60"/>
      <c r="R58" s="60"/>
      <c r="S58" s="60"/>
      <c r="T58" s="60"/>
      <c r="U58" s="60"/>
      <c r="V58" s="60"/>
      <c r="W58" s="64"/>
    </row>
    <row r="59" spans="2:23" s="17" customFormat="1" ht="15" x14ac:dyDescent="0.25">
      <c r="B59" s="70"/>
      <c r="M59" s="59"/>
      <c r="N59" s="60"/>
      <c r="O59" s="60"/>
      <c r="P59" s="60"/>
      <c r="Q59" s="60"/>
      <c r="R59" s="60"/>
      <c r="S59" s="60"/>
      <c r="T59" s="60"/>
      <c r="U59" s="60"/>
      <c r="V59" s="60"/>
      <c r="W59" s="64"/>
    </row>
    <row r="60" spans="2:23" s="17" customFormat="1" ht="15" x14ac:dyDescent="0.25">
      <c r="B60" s="70"/>
      <c r="M60" s="59"/>
      <c r="N60" s="60"/>
      <c r="O60" s="60"/>
      <c r="P60" s="60"/>
      <c r="Q60" s="60"/>
      <c r="R60" s="60"/>
      <c r="S60" s="60"/>
      <c r="T60" s="60"/>
      <c r="U60" s="60"/>
      <c r="V60" s="60"/>
      <c r="W60" s="64"/>
    </row>
    <row r="61" spans="2:23" s="17" customFormat="1" ht="15" x14ac:dyDescent="0.25">
      <c r="B61" s="70"/>
      <c r="M61" s="59"/>
      <c r="N61" s="60"/>
      <c r="O61" s="60"/>
      <c r="P61" s="60"/>
      <c r="Q61" s="60"/>
      <c r="R61" s="60"/>
      <c r="S61" s="60"/>
      <c r="T61" s="60"/>
      <c r="U61" s="60"/>
      <c r="V61" s="60"/>
      <c r="W61" s="64"/>
    </row>
    <row r="62" spans="2:23" s="17" customFormat="1" ht="15" x14ac:dyDescent="0.25">
      <c r="B62" s="70"/>
      <c r="M62" s="59"/>
      <c r="N62" s="60"/>
      <c r="O62" s="60"/>
      <c r="P62" s="60"/>
      <c r="Q62" s="60"/>
      <c r="R62" s="60"/>
      <c r="S62" s="60"/>
      <c r="T62" s="60"/>
      <c r="U62" s="60"/>
      <c r="V62" s="60"/>
      <c r="W62" s="64"/>
    </row>
    <row r="63" spans="2:23" s="17" customFormat="1" ht="15" x14ac:dyDescent="0.25">
      <c r="B63" s="70"/>
      <c r="M63" s="59"/>
      <c r="N63" s="60"/>
      <c r="O63" s="60"/>
      <c r="P63" s="60"/>
      <c r="Q63" s="60"/>
      <c r="R63" s="60"/>
      <c r="S63" s="60"/>
      <c r="T63" s="60"/>
      <c r="U63" s="60"/>
      <c r="V63" s="60"/>
      <c r="W63" s="64"/>
    </row>
    <row r="64" spans="2:23" s="17" customFormat="1" ht="15" x14ac:dyDescent="0.25">
      <c r="B64" s="70"/>
      <c r="M64" s="59"/>
      <c r="N64" s="60"/>
      <c r="O64" s="60"/>
      <c r="P64" s="60"/>
      <c r="Q64" s="60"/>
      <c r="R64" s="60"/>
      <c r="S64" s="60"/>
      <c r="T64" s="60"/>
      <c r="U64" s="60"/>
      <c r="V64" s="60"/>
      <c r="W64" s="64"/>
    </row>
    <row r="65" spans="2:23" s="17" customFormat="1" ht="15" x14ac:dyDescent="0.25">
      <c r="B65" s="70"/>
      <c r="M65" s="59"/>
      <c r="N65" s="60"/>
      <c r="O65" s="60"/>
      <c r="P65" s="60"/>
      <c r="Q65" s="60"/>
      <c r="R65" s="60"/>
      <c r="S65" s="60"/>
      <c r="T65" s="60"/>
      <c r="U65" s="60"/>
      <c r="V65" s="60"/>
      <c r="W65" s="64"/>
    </row>
    <row r="66" spans="2:23" s="17" customFormat="1" ht="15" x14ac:dyDescent="0.25">
      <c r="B66" s="70"/>
      <c r="M66" s="59"/>
      <c r="N66" s="60"/>
      <c r="O66" s="60"/>
      <c r="P66" s="60"/>
      <c r="Q66" s="60"/>
      <c r="R66" s="60"/>
      <c r="S66" s="60"/>
      <c r="T66" s="60"/>
      <c r="U66" s="60"/>
      <c r="V66" s="60"/>
      <c r="W66" s="64"/>
    </row>
    <row r="67" spans="2:23" s="17" customFormat="1" ht="15" x14ac:dyDescent="0.25">
      <c r="B67" s="70"/>
      <c r="M67" s="59"/>
      <c r="N67" s="60"/>
      <c r="O67" s="60"/>
      <c r="P67" s="60"/>
      <c r="Q67" s="60"/>
      <c r="R67" s="60"/>
      <c r="S67" s="60"/>
      <c r="T67" s="60"/>
      <c r="U67" s="60"/>
      <c r="V67" s="60"/>
      <c r="W67" s="64"/>
    </row>
    <row r="68" spans="2:23" s="17" customFormat="1" ht="15" x14ac:dyDescent="0.25">
      <c r="B68" s="70"/>
      <c r="M68" s="59"/>
      <c r="N68" s="60"/>
      <c r="O68" s="60"/>
      <c r="P68" s="60"/>
      <c r="Q68" s="60"/>
      <c r="R68" s="60"/>
      <c r="S68" s="60"/>
      <c r="T68" s="60"/>
      <c r="U68" s="60"/>
      <c r="V68" s="60"/>
      <c r="W68" s="64"/>
    </row>
    <row r="69" spans="2:23" s="17" customFormat="1" ht="15" x14ac:dyDescent="0.25">
      <c r="B69" s="70"/>
      <c r="M69" s="59"/>
      <c r="N69" s="60"/>
      <c r="O69" s="60"/>
      <c r="P69" s="60"/>
      <c r="Q69" s="60"/>
      <c r="R69" s="60"/>
      <c r="S69" s="60"/>
      <c r="T69" s="60"/>
      <c r="U69" s="60"/>
      <c r="V69" s="60"/>
      <c r="W69" s="64"/>
    </row>
    <row r="70" spans="2:23" s="17" customFormat="1" ht="15" x14ac:dyDescent="0.25">
      <c r="B70" s="70"/>
      <c r="M70" s="59"/>
      <c r="N70" s="60"/>
      <c r="O70" s="60"/>
      <c r="P70" s="60"/>
      <c r="Q70" s="60"/>
      <c r="R70" s="60"/>
      <c r="S70" s="60"/>
      <c r="T70" s="60"/>
      <c r="U70" s="60"/>
      <c r="V70" s="60"/>
      <c r="W70" s="64"/>
    </row>
    <row r="71" spans="2:23" s="17" customFormat="1" ht="15" x14ac:dyDescent="0.25">
      <c r="B71" s="70"/>
      <c r="M71" s="59"/>
      <c r="N71" s="60"/>
      <c r="O71" s="60"/>
      <c r="P71" s="60"/>
      <c r="Q71" s="60"/>
      <c r="R71" s="60"/>
      <c r="S71" s="60"/>
      <c r="T71" s="60"/>
      <c r="U71" s="60"/>
      <c r="V71" s="60"/>
      <c r="W71" s="64"/>
    </row>
    <row r="72" spans="2:23" s="17" customFormat="1" ht="15" x14ac:dyDescent="0.25">
      <c r="B72" s="70"/>
      <c r="M72" s="59"/>
      <c r="N72" s="60"/>
      <c r="O72" s="60"/>
      <c r="P72" s="60"/>
      <c r="Q72" s="60"/>
      <c r="R72" s="60"/>
      <c r="S72" s="60"/>
      <c r="T72" s="60"/>
      <c r="U72" s="60"/>
      <c r="V72" s="60"/>
      <c r="W72" s="64"/>
    </row>
    <row r="73" spans="2:23" s="17" customFormat="1" ht="15" x14ac:dyDescent="0.25">
      <c r="B73" s="70"/>
      <c r="M73" s="59"/>
      <c r="N73" s="60"/>
      <c r="O73" s="60"/>
      <c r="P73" s="60"/>
      <c r="Q73" s="60"/>
      <c r="R73" s="60"/>
      <c r="S73" s="60"/>
      <c r="T73" s="60"/>
      <c r="U73" s="60"/>
      <c r="V73" s="60"/>
      <c r="W73" s="64"/>
    </row>
    <row r="74" spans="2:23" s="17" customFormat="1" ht="15" x14ac:dyDescent="0.25">
      <c r="B74" s="70"/>
      <c r="M74" s="59"/>
      <c r="N74" s="60"/>
      <c r="O74" s="60"/>
      <c r="P74" s="60"/>
      <c r="Q74" s="60"/>
      <c r="R74" s="60"/>
      <c r="S74" s="60"/>
      <c r="T74" s="60"/>
      <c r="U74" s="60"/>
      <c r="V74" s="60"/>
      <c r="W74" s="64"/>
    </row>
    <row r="75" spans="2:23" s="17" customFormat="1" ht="15" x14ac:dyDescent="0.25">
      <c r="B75" s="70"/>
      <c r="M75" s="59"/>
      <c r="N75" s="60"/>
      <c r="O75" s="60"/>
      <c r="P75" s="60"/>
      <c r="Q75" s="60"/>
      <c r="R75" s="60"/>
      <c r="S75" s="60"/>
      <c r="T75" s="60"/>
      <c r="U75" s="60"/>
      <c r="V75" s="60"/>
      <c r="W75" s="64"/>
    </row>
    <row r="76" spans="2:23" s="17" customFormat="1" ht="15" x14ac:dyDescent="0.25">
      <c r="B76" s="70"/>
      <c r="M76" s="59"/>
      <c r="N76" s="60"/>
      <c r="O76" s="60"/>
      <c r="P76" s="60"/>
      <c r="Q76" s="60"/>
      <c r="R76" s="60"/>
      <c r="S76" s="60"/>
      <c r="T76" s="60"/>
      <c r="U76" s="60"/>
      <c r="V76" s="60"/>
      <c r="W76" s="64"/>
    </row>
    <row r="77" spans="2:23" s="17" customFormat="1" ht="15" x14ac:dyDescent="0.25">
      <c r="B77" s="70"/>
      <c r="M77" s="59"/>
      <c r="N77" s="60"/>
      <c r="O77" s="60"/>
      <c r="P77" s="60"/>
      <c r="Q77" s="60"/>
      <c r="R77" s="60"/>
      <c r="S77" s="60"/>
      <c r="T77" s="60"/>
      <c r="U77" s="60"/>
      <c r="V77" s="60"/>
      <c r="W77" s="64"/>
    </row>
    <row r="78" spans="2:23" s="17" customFormat="1" ht="15" x14ac:dyDescent="0.25">
      <c r="B78" s="70"/>
      <c r="M78" s="59"/>
      <c r="N78" s="60"/>
      <c r="O78" s="60"/>
      <c r="P78" s="60"/>
      <c r="Q78" s="60"/>
      <c r="R78" s="60"/>
      <c r="S78" s="60"/>
      <c r="T78" s="60"/>
      <c r="U78" s="60"/>
      <c r="V78" s="60"/>
      <c r="W78" s="64"/>
    </row>
    <row r="79" spans="2:23" s="17" customFormat="1" ht="15" x14ac:dyDescent="0.25">
      <c r="B79" s="70"/>
      <c r="M79" s="59"/>
      <c r="N79" s="60"/>
      <c r="O79" s="60"/>
      <c r="P79" s="60"/>
      <c r="Q79" s="60"/>
      <c r="R79" s="60"/>
      <c r="S79" s="60"/>
      <c r="T79" s="60"/>
      <c r="U79" s="60"/>
      <c r="V79" s="60"/>
      <c r="W79" s="64"/>
    </row>
    <row r="80" spans="2:23" s="17" customFormat="1" ht="15" x14ac:dyDescent="0.25">
      <c r="B80" s="70"/>
      <c r="M80" s="59"/>
      <c r="N80" s="60"/>
      <c r="O80" s="60"/>
      <c r="P80" s="60"/>
      <c r="Q80" s="60"/>
      <c r="R80" s="60"/>
      <c r="S80" s="60"/>
      <c r="T80" s="60"/>
      <c r="U80" s="60"/>
      <c r="V80" s="60"/>
      <c r="W80" s="64"/>
    </row>
    <row r="81" spans="2:23" s="17" customFormat="1" ht="15" x14ac:dyDescent="0.25">
      <c r="B81" s="70"/>
      <c r="M81" s="59"/>
      <c r="N81" s="60"/>
      <c r="O81" s="60"/>
      <c r="P81" s="60"/>
      <c r="Q81" s="60"/>
      <c r="R81" s="60"/>
      <c r="S81" s="60"/>
      <c r="T81" s="60"/>
      <c r="U81" s="60"/>
      <c r="V81" s="60"/>
      <c r="W81" s="64"/>
    </row>
    <row r="82" spans="2:23" s="17" customFormat="1" ht="15" x14ac:dyDescent="0.25">
      <c r="B82" s="70"/>
      <c r="M82" s="59"/>
      <c r="N82" s="60"/>
      <c r="O82" s="60"/>
      <c r="P82" s="60"/>
      <c r="Q82" s="60"/>
      <c r="R82" s="60"/>
      <c r="S82" s="60"/>
      <c r="T82" s="60"/>
      <c r="U82" s="60"/>
      <c r="V82" s="60"/>
      <c r="W82" s="64"/>
    </row>
    <row r="83" spans="2:23" s="17" customFormat="1" ht="15" x14ac:dyDescent="0.25">
      <c r="B83" s="70"/>
      <c r="M83" s="59"/>
      <c r="N83" s="60"/>
      <c r="O83" s="60"/>
      <c r="P83" s="60"/>
      <c r="Q83" s="60"/>
      <c r="R83" s="60"/>
      <c r="S83" s="60"/>
      <c r="T83" s="60"/>
      <c r="U83" s="60"/>
      <c r="V83" s="60"/>
      <c r="W83" s="64"/>
    </row>
    <row r="84" spans="2:23" s="17" customFormat="1" ht="15" x14ac:dyDescent="0.25">
      <c r="B84" s="70"/>
      <c r="M84" s="59"/>
      <c r="N84" s="60"/>
      <c r="O84" s="60"/>
      <c r="P84" s="60"/>
      <c r="Q84" s="60"/>
      <c r="R84" s="60"/>
      <c r="S84" s="60"/>
      <c r="T84" s="60"/>
      <c r="U84" s="60"/>
      <c r="V84" s="60"/>
      <c r="W84" s="64"/>
    </row>
    <row r="85" spans="2:23" s="17" customFormat="1" ht="15" x14ac:dyDescent="0.25">
      <c r="B85" s="70"/>
      <c r="M85" s="59"/>
      <c r="N85" s="60"/>
      <c r="O85" s="60"/>
      <c r="P85" s="60"/>
      <c r="Q85" s="60"/>
      <c r="R85" s="60"/>
      <c r="S85" s="60"/>
      <c r="T85" s="60"/>
      <c r="U85" s="60"/>
      <c r="V85" s="60"/>
      <c r="W85" s="64"/>
    </row>
    <row r="86" spans="2:23" s="17" customFormat="1" ht="15" x14ac:dyDescent="0.25">
      <c r="B86" s="70"/>
      <c r="M86" s="59"/>
      <c r="N86" s="60"/>
      <c r="O86" s="60"/>
      <c r="P86" s="60"/>
      <c r="Q86" s="60"/>
      <c r="R86" s="60"/>
      <c r="S86" s="60"/>
      <c r="T86" s="60"/>
      <c r="U86" s="60"/>
      <c r="V86" s="60"/>
      <c r="W86" s="64"/>
    </row>
    <row r="87" spans="2:23" s="17" customFormat="1" ht="15" x14ac:dyDescent="0.25">
      <c r="B87" s="70"/>
      <c r="M87" s="59"/>
      <c r="N87" s="60"/>
      <c r="O87" s="60"/>
      <c r="P87" s="60"/>
      <c r="Q87" s="60"/>
      <c r="R87" s="60"/>
      <c r="S87" s="60"/>
      <c r="T87" s="60"/>
      <c r="U87" s="60"/>
      <c r="V87" s="60"/>
      <c r="W87" s="64"/>
    </row>
    <row r="88" spans="2:23" s="17" customFormat="1" ht="15" x14ac:dyDescent="0.25">
      <c r="B88" s="70"/>
      <c r="M88" s="59"/>
      <c r="N88" s="60"/>
      <c r="O88" s="60"/>
      <c r="P88" s="60"/>
      <c r="Q88" s="60"/>
      <c r="R88" s="60"/>
      <c r="S88" s="60"/>
      <c r="T88" s="60"/>
      <c r="U88" s="60"/>
      <c r="V88" s="60"/>
      <c r="W88" s="64"/>
    </row>
    <row r="89" spans="2:23" s="17" customFormat="1" ht="15" x14ac:dyDescent="0.25">
      <c r="B89" s="70"/>
      <c r="M89" s="59"/>
      <c r="N89" s="60"/>
      <c r="O89" s="60"/>
      <c r="P89" s="60"/>
      <c r="Q89" s="60"/>
      <c r="R89" s="60"/>
      <c r="S89" s="60"/>
      <c r="T89" s="60"/>
      <c r="U89" s="60"/>
      <c r="V89" s="60"/>
      <c r="W89" s="64"/>
    </row>
    <row r="90" spans="2:23" s="17" customFormat="1" ht="15" x14ac:dyDescent="0.25">
      <c r="B90" s="70"/>
      <c r="M90" s="59"/>
      <c r="N90" s="60"/>
      <c r="O90" s="60"/>
      <c r="P90" s="60"/>
      <c r="Q90" s="60"/>
      <c r="R90" s="60"/>
      <c r="S90" s="60"/>
      <c r="T90" s="60"/>
      <c r="U90" s="60"/>
      <c r="V90" s="60"/>
      <c r="W90" s="64"/>
    </row>
    <row r="91" spans="2:23" s="17" customFormat="1" ht="15" x14ac:dyDescent="0.25">
      <c r="B91" s="70"/>
      <c r="M91" s="59"/>
      <c r="N91" s="60"/>
      <c r="O91" s="60"/>
      <c r="P91" s="60"/>
      <c r="Q91" s="60"/>
      <c r="R91" s="60"/>
      <c r="S91" s="60"/>
      <c r="T91" s="60"/>
      <c r="U91" s="60"/>
      <c r="V91" s="60"/>
      <c r="W91" s="64"/>
    </row>
    <row r="92" spans="2:23" s="17" customFormat="1" ht="15" x14ac:dyDescent="0.25">
      <c r="B92" s="70"/>
      <c r="M92" s="59"/>
      <c r="N92" s="60"/>
      <c r="O92" s="60"/>
      <c r="P92" s="60"/>
      <c r="Q92" s="60"/>
      <c r="R92" s="60"/>
      <c r="S92" s="60"/>
      <c r="T92" s="60"/>
      <c r="U92" s="60"/>
      <c r="V92" s="60"/>
      <c r="W92" s="64"/>
    </row>
    <row r="93" spans="2:23" s="17" customFormat="1" ht="15" x14ac:dyDescent="0.25">
      <c r="B93" s="70"/>
      <c r="M93" s="59"/>
      <c r="N93" s="60"/>
      <c r="O93" s="60"/>
      <c r="P93" s="60"/>
      <c r="Q93" s="60"/>
      <c r="R93" s="60"/>
      <c r="S93" s="60"/>
      <c r="T93" s="60"/>
      <c r="U93" s="60"/>
      <c r="V93" s="60"/>
      <c r="W93" s="64"/>
    </row>
    <row r="94" spans="2:23" s="17" customFormat="1" ht="15" x14ac:dyDescent="0.25">
      <c r="B94" s="70"/>
      <c r="M94" s="59"/>
      <c r="N94" s="60"/>
      <c r="O94" s="60"/>
      <c r="P94" s="60"/>
      <c r="Q94" s="60"/>
      <c r="R94" s="60"/>
      <c r="S94" s="60"/>
      <c r="T94" s="60"/>
      <c r="U94" s="60"/>
      <c r="V94" s="60"/>
      <c r="W94" s="64"/>
    </row>
    <row r="95" spans="2:23" s="17" customFormat="1" ht="15" x14ac:dyDescent="0.25">
      <c r="B95" s="70"/>
      <c r="M95" s="59"/>
      <c r="N95" s="60"/>
      <c r="O95" s="60"/>
      <c r="P95" s="60"/>
      <c r="Q95" s="60"/>
      <c r="R95" s="60"/>
      <c r="S95" s="60"/>
      <c r="T95" s="60"/>
      <c r="U95" s="60"/>
      <c r="V95" s="60"/>
      <c r="W95" s="64"/>
    </row>
    <row r="96" spans="2:23" s="17" customFormat="1" ht="15" x14ac:dyDescent="0.25">
      <c r="B96" s="70"/>
      <c r="M96" s="59"/>
      <c r="N96" s="60"/>
      <c r="O96" s="60"/>
      <c r="P96" s="60"/>
      <c r="Q96" s="60"/>
      <c r="R96" s="60"/>
      <c r="S96" s="60"/>
      <c r="T96" s="60"/>
      <c r="U96" s="60"/>
      <c r="V96" s="60"/>
      <c r="W96" s="64"/>
    </row>
    <row r="97" spans="2:23" s="17" customFormat="1" ht="15" x14ac:dyDescent="0.25">
      <c r="B97" s="70"/>
      <c r="M97" s="59"/>
      <c r="N97" s="60"/>
      <c r="O97" s="60"/>
      <c r="P97" s="60"/>
      <c r="Q97" s="60"/>
      <c r="R97" s="60"/>
      <c r="S97" s="60"/>
      <c r="T97" s="60"/>
      <c r="U97" s="60"/>
      <c r="V97" s="60"/>
      <c r="W97" s="64"/>
    </row>
    <row r="98" spans="2:23" s="17" customFormat="1" ht="15" x14ac:dyDescent="0.25">
      <c r="B98" s="70"/>
      <c r="M98" s="59"/>
      <c r="N98" s="60"/>
      <c r="O98" s="60"/>
      <c r="P98" s="60"/>
      <c r="Q98" s="60"/>
      <c r="R98" s="60"/>
      <c r="S98" s="60"/>
      <c r="T98" s="60"/>
      <c r="U98" s="60"/>
      <c r="V98" s="60"/>
      <c r="W98" s="64"/>
    </row>
    <row r="99" spans="2:23" s="17" customFormat="1" ht="15" x14ac:dyDescent="0.25">
      <c r="B99" s="70"/>
      <c r="M99" s="59"/>
      <c r="N99" s="60"/>
      <c r="O99" s="60"/>
      <c r="P99" s="60"/>
      <c r="Q99" s="60"/>
      <c r="R99" s="60"/>
      <c r="S99" s="60"/>
      <c r="T99" s="60"/>
      <c r="U99" s="60"/>
      <c r="V99" s="60"/>
      <c r="W99" s="64"/>
    </row>
    <row r="100" spans="2:23" s="17" customFormat="1" ht="15" x14ac:dyDescent="0.25">
      <c r="B100" s="70"/>
      <c r="M100" s="59"/>
      <c r="N100" s="60"/>
      <c r="O100" s="60"/>
      <c r="P100" s="60"/>
      <c r="Q100" s="60"/>
      <c r="R100" s="60"/>
      <c r="S100" s="60"/>
      <c r="T100" s="60"/>
      <c r="U100" s="60"/>
      <c r="V100" s="60"/>
      <c r="W100" s="64"/>
    </row>
    <row r="101" spans="2:23" s="17" customFormat="1" ht="15" x14ac:dyDescent="0.25">
      <c r="B101" s="70"/>
      <c r="M101" s="59"/>
      <c r="N101" s="60"/>
      <c r="O101" s="60"/>
      <c r="P101" s="60"/>
      <c r="Q101" s="60"/>
      <c r="R101" s="60"/>
      <c r="S101" s="60"/>
      <c r="T101" s="60"/>
      <c r="U101" s="60"/>
      <c r="V101" s="60"/>
      <c r="W101" s="64"/>
    </row>
    <row r="102" spans="2:23" s="17" customFormat="1" ht="15" x14ac:dyDescent="0.25">
      <c r="B102" s="70"/>
      <c r="M102" s="59"/>
      <c r="N102" s="60"/>
      <c r="O102" s="60"/>
      <c r="P102" s="60"/>
      <c r="Q102" s="60"/>
      <c r="R102" s="60"/>
      <c r="S102" s="60"/>
      <c r="T102" s="60"/>
      <c r="U102" s="60"/>
      <c r="V102" s="60"/>
      <c r="W102" s="64"/>
    </row>
    <row r="103" spans="2:23" s="17" customFormat="1" ht="15" x14ac:dyDescent="0.25">
      <c r="B103" s="70"/>
      <c r="M103" s="59"/>
      <c r="N103" s="60"/>
      <c r="O103" s="60"/>
      <c r="P103" s="60"/>
      <c r="Q103" s="60"/>
      <c r="R103" s="60"/>
      <c r="S103" s="60"/>
      <c r="T103" s="60"/>
      <c r="U103" s="60"/>
      <c r="V103" s="60"/>
      <c r="W103" s="64"/>
    </row>
    <row r="104" spans="2:23" s="17" customFormat="1" ht="15" x14ac:dyDescent="0.25">
      <c r="B104" s="70"/>
      <c r="M104" s="59"/>
      <c r="N104" s="60"/>
      <c r="O104" s="60"/>
      <c r="P104" s="60"/>
      <c r="Q104" s="60"/>
      <c r="R104" s="60"/>
      <c r="S104" s="60"/>
      <c r="T104" s="60"/>
      <c r="U104" s="60"/>
      <c r="V104" s="60"/>
      <c r="W104" s="64"/>
    </row>
    <row r="105" spans="2:23" s="17" customFormat="1" ht="15" x14ac:dyDescent="0.25">
      <c r="B105" s="70"/>
      <c r="M105" s="59"/>
      <c r="N105" s="60"/>
      <c r="O105" s="60"/>
      <c r="P105" s="60"/>
      <c r="Q105" s="60"/>
      <c r="R105" s="60"/>
      <c r="S105" s="60"/>
      <c r="T105" s="60"/>
      <c r="U105" s="60"/>
      <c r="V105" s="60"/>
      <c r="W105" s="64"/>
    </row>
    <row r="106" spans="2:23" s="17" customFormat="1" ht="15" x14ac:dyDescent="0.25">
      <c r="B106" s="70"/>
      <c r="M106" s="59"/>
      <c r="N106" s="60"/>
      <c r="O106" s="60"/>
      <c r="P106" s="60"/>
      <c r="Q106" s="60"/>
      <c r="R106" s="60"/>
      <c r="S106" s="60"/>
      <c r="T106" s="60"/>
      <c r="U106" s="60"/>
      <c r="V106" s="60"/>
      <c r="W106" s="64"/>
    </row>
    <row r="107" spans="2:23" s="17" customFormat="1" ht="15" x14ac:dyDescent="0.25">
      <c r="B107" s="70"/>
      <c r="M107" s="59"/>
      <c r="N107" s="60"/>
      <c r="O107" s="60"/>
      <c r="P107" s="60"/>
      <c r="Q107" s="60"/>
      <c r="R107" s="60"/>
      <c r="S107" s="60"/>
      <c r="T107" s="60"/>
      <c r="U107" s="60"/>
      <c r="V107" s="60"/>
      <c r="W107" s="64"/>
    </row>
    <row r="108" spans="2:23" s="17" customFormat="1" ht="15" x14ac:dyDescent="0.25">
      <c r="B108" s="70"/>
      <c r="M108" s="59"/>
      <c r="N108" s="60"/>
      <c r="O108" s="60"/>
      <c r="P108" s="60"/>
      <c r="Q108" s="60"/>
      <c r="R108" s="60"/>
      <c r="S108" s="60"/>
      <c r="T108" s="60"/>
      <c r="U108" s="60"/>
      <c r="V108" s="60"/>
      <c r="W108" s="64"/>
    </row>
    <row r="109" spans="2:23" s="17" customFormat="1" ht="15" x14ac:dyDescent="0.25">
      <c r="B109" s="70"/>
      <c r="M109" s="59"/>
      <c r="N109" s="60"/>
      <c r="O109" s="60"/>
      <c r="P109" s="60"/>
      <c r="Q109" s="60"/>
      <c r="R109" s="60"/>
      <c r="S109" s="60"/>
      <c r="T109" s="60"/>
      <c r="U109" s="60"/>
      <c r="V109" s="60"/>
      <c r="W109" s="64"/>
    </row>
    <row r="110" spans="2:23" s="17" customFormat="1" ht="15" x14ac:dyDescent="0.25">
      <c r="B110" s="70"/>
      <c r="M110" s="59"/>
      <c r="N110" s="60"/>
      <c r="O110" s="60"/>
      <c r="P110" s="60"/>
      <c r="Q110" s="60"/>
      <c r="R110" s="60"/>
      <c r="S110" s="60"/>
      <c r="T110" s="60"/>
      <c r="U110" s="60"/>
      <c r="V110" s="60"/>
      <c r="W110" s="64"/>
    </row>
    <row r="111" spans="2:23" s="17" customFormat="1" ht="15" x14ac:dyDescent="0.25">
      <c r="B111" s="70"/>
      <c r="M111" s="59"/>
      <c r="N111" s="60"/>
      <c r="O111" s="60"/>
      <c r="P111" s="60"/>
      <c r="Q111" s="60"/>
      <c r="R111" s="60"/>
      <c r="S111" s="60"/>
      <c r="T111" s="60"/>
      <c r="U111" s="60"/>
      <c r="V111" s="60"/>
      <c r="W111" s="64"/>
    </row>
    <row r="112" spans="2:23" s="17" customFormat="1" ht="15" x14ac:dyDescent="0.25">
      <c r="B112" s="70"/>
      <c r="M112" s="59"/>
      <c r="N112" s="60"/>
      <c r="O112" s="60"/>
      <c r="P112" s="60"/>
      <c r="Q112" s="60"/>
      <c r="R112" s="60"/>
      <c r="S112" s="60"/>
      <c r="T112" s="60"/>
      <c r="U112" s="60"/>
      <c r="V112" s="60"/>
      <c r="W112" s="64"/>
    </row>
    <row r="113" spans="2:23" s="17" customFormat="1" ht="15" x14ac:dyDescent="0.25">
      <c r="B113" s="70"/>
      <c r="M113" s="59"/>
      <c r="N113" s="60"/>
      <c r="O113" s="60"/>
      <c r="P113" s="60"/>
      <c r="Q113" s="60"/>
      <c r="R113" s="60"/>
      <c r="S113" s="60"/>
      <c r="T113" s="60"/>
      <c r="U113" s="60"/>
      <c r="V113" s="60"/>
      <c r="W113" s="64"/>
    </row>
    <row r="114" spans="2:23" s="17" customFormat="1" ht="15" x14ac:dyDescent="0.25">
      <c r="B114" s="70"/>
      <c r="M114" s="59"/>
      <c r="N114" s="60"/>
      <c r="O114" s="60"/>
      <c r="P114" s="60"/>
      <c r="Q114" s="60"/>
      <c r="R114" s="60"/>
      <c r="S114" s="60"/>
      <c r="T114" s="60"/>
      <c r="U114" s="60"/>
      <c r="V114" s="60"/>
      <c r="W114" s="64"/>
    </row>
    <row r="115" spans="2:23" s="17" customFormat="1" ht="15" x14ac:dyDescent="0.25">
      <c r="B115" s="70"/>
      <c r="M115" s="59"/>
      <c r="N115" s="60"/>
      <c r="O115" s="60"/>
      <c r="P115" s="60"/>
      <c r="Q115" s="60"/>
      <c r="R115" s="60"/>
      <c r="S115" s="60"/>
      <c r="T115" s="60"/>
      <c r="U115" s="60"/>
      <c r="V115" s="60"/>
      <c r="W115" s="64"/>
    </row>
    <row r="116" spans="2:23" s="17" customFormat="1" ht="15" x14ac:dyDescent="0.25">
      <c r="B116" s="70"/>
      <c r="M116" s="59"/>
      <c r="N116" s="60"/>
      <c r="O116" s="60"/>
      <c r="P116" s="60"/>
      <c r="Q116" s="60"/>
      <c r="R116" s="60"/>
      <c r="S116" s="60"/>
      <c r="T116" s="60"/>
      <c r="U116" s="60"/>
      <c r="V116" s="60"/>
      <c r="W116" s="64"/>
    </row>
    <row r="117" spans="2:23" s="17" customFormat="1" ht="15" x14ac:dyDescent="0.25">
      <c r="B117" s="70"/>
      <c r="M117" s="59"/>
      <c r="N117" s="60"/>
      <c r="O117" s="60"/>
      <c r="P117" s="60"/>
      <c r="Q117" s="60"/>
      <c r="R117" s="60"/>
      <c r="S117" s="60"/>
      <c r="T117" s="60"/>
      <c r="U117" s="60"/>
      <c r="V117" s="60"/>
      <c r="W117" s="64"/>
    </row>
    <row r="118" spans="2:23" s="17" customFormat="1" ht="15" x14ac:dyDescent="0.25">
      <c r="B118" s="70"/>
      <c r="M118" s="59"/>
      <c r="N118" s="60"/>
      <c r="O118" s="60"/>
      <c r="P118" s="60"/>
      <c r="Q118" s="60"/>
      <c r="R118" s="60"/>
      <c r="S118" s="60"/>
      <c r="T118" s="60"/>
      <c r="U118" s="60"/>
      <c r="V118" s="60"/>
      <c r="W118" s="64"/>
    </row>
    <row r="119" spans="2:23" s="17" customFormat="1" ht="15" x14ac:dyDescent="0.25">
      <c r="B119" s="70"/>
      <c r="M119" s="59"/>
      <c r="N119" s="60"/>
      <c r="O119" s="60"/>
      <c r="P119" s="60"/>
      <c r="Q119" s="60"/>
      <c r="R119" s="60"/>
      <c r="S119" s="60"/>
      <c r="T119" s="60"/>
      <c r="U119" s="60"/>
      <c r="V119" s="60"/>
      <c r="W119" s="64"/>
    </row>
    <row r="120" spans="2:23" s="17" customFormat="1" ht="15" x14ac:dyDescent="0.25">
      <c r="B120" s="70"/>
      <c r="M120" s="59"/>
      <c r="N120" s="60"/>
      <c r="O120" s="60"/>
      <c r="P120" s="60"/>
      <c r="Q120" s="60"/>
      <c r="R120" s="60"/>
      <c r="S120" s="60"/>
      <c r="T120" s="60"/>
      <c r="U120" s="60"/>
      <c r="V120" s="60"/>
      <c r="W120" s="64"/>
    </row>
    <row r="121" spans="2:23" s="17" customFormat="1" ht="15" x14ac:dyDescent="0.25">
      <c r="B121" s="70"/>
      <c r="M121" s="59"/>
      <c r="N121" s="60"/>
      <c r="O121" s="60"/>
      <c r="P121" s="60"/>
      <c r="Q121" s="60"/>
      <c r="R121" s="60"/>
      <c r="S121" s="60"/>
      <c r="T121" s="60"/>
      <c r="U121" s="60"/>
      <c r="V121" s="60"/>
      <c r="W121" s="64"/>
    </row>
    <row r="122" spans="2:23" s="17" customFormat="1" ht="15" x14ac:dyDescent="0.25">
      <c r="B122" s="70"/>
      <c r="M122" s="59"/>
      <c r="N122" s="60"/>
      <c r="O122" s="60"/>
      <c r="P122" s="60"/>
      <c r="Q122" s="60"/>
      <c r="R122" s="60"/>
      <c r="S122" s="60"/>
      <c r="T122" s="60"/>
      <c r="U122" s="60"/>
      <c r="V122" s="60"/>
      <c r="W122" s="64"/>
    </row>
    <row r="123" spans="2:23" s="17" customFormat="1" ht="15" x14ac:dyDescent="0.25">
      <c r="B123" s="70"/>
      <c r="M123" s="59"/>
      <c r="N123" s="60"/>
      <c r="O123" s="60"/>
      <c r="P123" s="60"/>
      <c r="Q123" s="60"/>
      <c r="R123" s="60"/>
      <c r="S123" s="60"/>
      <c r="T123" s="60"/>
      <c r="U123" s="60"/>
      <c r="V123" s="60"/>
      <c r="W123" s="64"/>
    </row>
    <row r="124" spans="2:23" s="17" customFormat="1" ht="15" x14ac:dyDescent="0.25">
      <c r="B124" s="70"/>
      <c r="M124" s="59"/>
      <c r="N124" s="60"/>
      <c r="O124" s="60"/>
      <c r="P124" s="60"/>
      <c r="Q124" s="60"/>
      <c r="R124" s="60"/>
      <c r="S124" s="60"/>
      <c r="T124" s="60"/>
      <c r="U124" s="60"/>
      <c r="V124" s="60"/>
      <c r="W124" s="64"/>
    </row>
    <row r="125" spans="2:23" s="17" customFormat="1" ht="15" x14ac:dyDescent="0.25">
      <c r="B125" s="70"/>
      <c r="M125" s="59"/>
      <c r="N125" s="60"/>
      <c r="O125" s="60"/>
      <c r="P125" s="60"/>
      <c r="Q125" s="60"/>
      <c r="R125" s="60"/>
      <c r="S125" s="60"/>
      <c r="T125" s="60"/>
      <c r="U125" s="60"/>
      <c r="V125" s="60"/>
      <c r="W125" s="64"/>
    </row>
    <row r="126" spans="2:23" s="17" customFormat="1" ht="15" x14ac:dyDescent="0.25">
      <c r="B126" s="70"/>
      <c r="M126" s="59"/>
      <c r="N126" s="60"/>
      <c r="O126" s="60"/>
      <c r="P126" s="60"/>
      <c r="Q126" s="60"/>
      <c r="R126" s="60"/>
      <c r="S126" s="60"/>
      <c r="T126" s="60"/>
      <c r="U126" s="60"/>
      <c r="V126" s="60"/>
      <c r="W126" s="64"/>
    </row>
    <row r="127" spans="2:23" s="17" customFormat="1" ht="15" x14ac:dyDescent="0.25">
      <c r="B127" s="70"/>
      <c r="M127" s="59"/>
      <c r="N127" s="60"/>
      <c r="O127" s="60"/>
      <c r="P127" s="60"/>
      <c r="Q127" s="60"/>
      <c r="R127" s="60"/>
      <c r="S127" s="60"/>
      <c r="T127" s="60"/>
      <c r="U127" s="60"/>
      <c r="V127" s="60"/>
      <c r="W127" s="64"/>
    </row>
    <row r="128" spans="2:23" s="17" customFormat="1" ht="15" x14ac:dyDescent="0.25">
      <c r="B128" s="70"/>
      <c r="M128" s="59"/>
      <c r="N128" s="60"/>
      <c r="O128" s="60"/>
      <c r="P128" s="60"/>
      <c r="Q128" s="60"/>
      <c r="R128" s="60"/>
      <c r="S128" s="60"/>
      <c r="T128" s="60"/>
      <c r="U128" s="60"/>
      <c r="V128" s="60"/>
      <c r="W128" s="64"/>
    </row>
    <row r="129" spans="2:23" s="17" customFormat="1" ht="15" x14ac:dyDescent="0.25">
      <c r="B129" s="70"/>
      <c r="M129" s="59"/>
      <c r="N129" s="60"/>
      <c r="O129" s="60"/>
      <c r="P129" s="60"/>
      <c r="Q129" s="60"/>
      <c r="R129" s="60"/>
      <c r="S129" s="60"/>
      <c r="T129" s="60"/>
      <c r="U129" s="60"/>
      <c r="V129" s="60"/>
      <c r="W129" s="64"/>
    </row>
    <row r="130" spans="2:23" s="17" customFormat="1" ht="15" x14ac:dyDescent="0.25">
      <c r="B130" s="70"/>
      <c r="M130" s="59"/>
      <c r="N130" s="60"/>
      <c r="O130" s="60"/>
      <c r="P130" s="60"/>
      <c r="Q130" s="60"/>
      <c r="R130" s="60"/>
      <c r="S130" s="60"/>
      <c r="T130" s="60"/>
      <c r="U130" s="60"/>
      <c r="V130" s="60"/>
      <c r="W130" s="64"/>
    </row>
    <row r="131" spans="2:23" s="17" customFormat="1" ht="15" x14ac:dyDescent="0.25">
      <c r="B131" s="70"/>
      <c r="M131" s="59"/>
      <c r="N131" s="60"/>
      <c r="O131" s="60"/>
      <c r="P131" s="60"/>
      <c r="Q131" s="60"/>
      <c r="R131" s="60"/>
      <c r="S131" s="60"/>
      <c r="T131" s="60"/>
      <c r="U131" s="60"/>
      <c r="V131" s="60"/>
      <c r="W131" s="64"/>
    </row>
    <row r="132" spans="2:23" s="17" customFormat="1" ht="15" x14ac:dyDescent="0.25">
      <c r="B132" s="70"/>
      <c r="M132" s="59"/>
      <c r="N132" s="60"/>
      <c r="O132" s="60"/>
      <c r="P132" s="60"/>
      <c r="Q132" s="60"/>
      <c r="R132" s="60"/>
      <c r="S132" s="60"/>
      <c r="T132" s="60"/>
      <c r="U132" s="60"/>
      <c r="V132" s="60"/>
      <c r="W132" s="64"/>
    </row>
    <row r="133" spans="2:23" s="17" customFormat="1" ht="15" x14ac:dyDescent="0.25">
      <c r="B133" s="70"/>
      <c r="M133" s="59"/>
      <c r="N133" s="60"/>
      <c r="O133" s="60"/>
      <c r="P133" s="60"/>
      <c r="Q133" s="60"/>
      <c r="R133" s="60"/>
      <c r="S133" s="60"/>
      <c r="T133" s="60"/>
      <c r="U133" s="60"/>
      <c r="V133" s="60"/>
      <c r="W133" s="64"/>
    </row>
    <row r="134" spans="2:23" s="17" customFormat="1" ht="15" x14ac:dyDescent="0.25">
      <c r="B134" s="70"/>
      <c r="M134" s="59"/>
      <c r="N134" s="60"/>
      <c r="O134" s="60"/>
      <c r="P134" s="60"/>
      <c r="Q134" s="60"/>
      <c r="R134" s="60"/>
      <c r="S134" s="60"/>
      <c r="T134" s="60"/>
      <c r="U134" s="60"/>
      <c r="V134" s="60"/>
      <c r="W134" s="64"/>
    </row>
    <row r="135" spans="2:23" s="17" customFormat="1" ht="15" x14ac:dyDescent="0.25">
      <c r="B135" s="70"/>
      <c r="M135" s="59"/>
      <c r="N135" s="60"/>
      <c r="O135" s="60"/>
      <c r="P135" s="60"/>
      <c r="Q135" s="60"/>
      <c r="R135" s="60"/>
      <c r="S135" s="60"/>
      <c r="T135" s="60"/>
      <c r="U135" s="60"/>
      <c r="V135" s="60"/>
      <c r="W135" s="64"/>
    </row>
    <row r="136" spans="2:23" s="17" customFormat="1" ht="15" x14ac:dyDescent="0.25">
      <c r="B136" s="70"/>
      <c r="M136" s="59"/>
      <c r="N136" s="60"/>
      <c r="O136" s="60"/>
      <c r="P136" s="60"/>
      <c r="Q136" s="60"/>
      <c r="R136" s="60"/>
      <c r="S136" s="60"/>
      <c r="T136" s="60"/>
      <c r="U136" s="60"/>
      <c r="V136" s="60"/>
      <c r="W136" s="64"/>
    </row>
    <row r="137" spans="2:23" s="17" customFormat="1" ht="15" x14ac:dyDescent="0.25">
      <c r="B137" s="70"/>
      <c r="M137" s="59"/>
      <c r="N137" s="60"/>
      <c r="O137" s="60"/>
      <c r="P137" s="60"/>
      <c r="Q137" s="60"/>
      <c r="R137" s="60"/>
      <c r="S137" s="60"/>
      <c r="T137" s="60"/>
      <c r="U137" s="60"/>
      <c r="V137" s="60"/>
      <c r="W137" s="64"/>
    </row>
    <row r="138" spans="2:23" s="17" customFormat="1" ht="15" x14ac:dyDescent="0.25">
      <c r="B138" s="70"/>
      <c r="M138" s="59"/>
      <c r="N138" s="60"/>
      <c r="O138" s="60"/>
      <c r="P138" s="60"/>
      <c r="Q138" s="60"/>
      <c r="R138" s="60"/>
      <c r="S138" s="60"/>
      <c r="T138" s="60"/>
      <c r="U138" s="60"/>
      <c r="V138" s="60"/>
      <c r="W138" s="64"/>
    </row>
    <row r="139" spans="2:23" s="17" customFormat="1" ht="15" x14ac:dyDescent="0.25">
      <c r="B139" s="70"/>
      <c r="M139" s="59"/>
      <c r="N139" s="60"/>
      <c r="O139" s="60"/>
      <c r="P139" s="60"/>
      <c r="Q139" s="60"/>
      <c r="R139" s="60"/>
      <c r="S139" s="60"/>
      <c r="T139" s="60"/>
      <c r="U139" s="60"/>
      <c r="V139" s="60"/>
      <c r="W139" s="64"/>
    </row>
    <row r="140" spans="2:23" s="17" customFormat="1" ht="15" x14ac:dyDescent="0.25">
      <c r="B140" s="70"/>
      <c r="M140" s="59"/>
      <c r="N140" s="60"/>
      <c r="O140" s="60"/>
      <c r="P140" s="60"/>
      <c r="Q140" s="60"/>
      <c r="R140" s="60"/>
      <c r="S140" s="60"/>
      <c r="T140" s="60"/>
      <c r="U140" s="60"/>
      <c r="V140" s="60"/>
      <c r="W140" s="64"/>
    </row>
    <row r="141" spans="2:23" s="17" customFormat="1" ht="15" x14ac:dyDescent="0.25">
      <c r="B141" s="70"/>
      <c r="M141" s="59"/>
      <c r="N141" s="60"/>
      <c r="O141" s="60"/>
      <c r="P141" s="60"/>
      <c r="Q141" s="60"/>
      <c r="R141" s="60"/>
      <c r="S141" s="60"/>
      <c r="T141" s="60"/>
      <c r="U141" s="60"/>
      <c r="V141" s="60"/>
      <c r="W141" s="64"/>
    </row>
    <row r="142" spans="2:23" s="17" customFormat="1" ht="15" x14ac:dyDescent="0.25">
      <c r="B142" s="70"/>
      <c r="M142" s="59"/>
      <c r="N142" s="60"/>
      <c r="O142" s="60"/>
      <c r="P142" s="60"/>
      <c r="Q142" s="60"/>
      <c r="R142" s="60"/>
      <c r="S142" s="60"/>
      <c r="T142" s="60"/>
      <c r="U142" s="60"/>
      <c r="V142" s="60"/>
      <c r="W142" s="64"/>
    </row>
    <row r="143" spans="2:23" s="17" customFormat="1" ht="15" x14ac:dyDescent="0.25">
      <c r="B143" s="70"/>
      <c r="M143" s="59"/>
      <c r="N143" s="60"/>
      <c r="O143" s="60"/>
      <c r="P143" s="60"/>
      <c r="Q143" s="60"/>
      <c r="R143" s="60"/>
      <c r="S143" s="60"/>
      <c r="T143" s="60"/>
      <c r="U143" s="60"/>
      <c r="V143" s="60"/>
      <c r="W143" s="64"/>
    </row>
    <row r="144" spans="2:23" s="17" customFormat="1" ht="15" x14ac:dyDescent="0.25">
      <c r="B144" s="70"/>
      <c r="M144" s="59"/>
      <c r="N144" s="60"/>
      <c r="O144" s="60"/>
      <c r="P144" s="60"/>
      <c r="Q144" s="60"/>
      <c r="R144" s="60"/>
      <c r="S144" s="60"/>
      <c r="T144" s="60"/>
      <c r="U144" s="60"/>
      <c r="V144" s="60"/>
      <c r="W144" s="64"/>
    </row>
    <row r="145" spans="2:23" s="17" customFormat="1" ht="15" x14ac:dyDescent="0.25">
      <c r="B145" s="70"/>
      <c r="M145" s="59"/>
      <c r="N145" s="60"/>
      <c r="O145" s="60"/>
      <c r="P145" s="60"/>
      <c r="Q145" s="60"/>
      <c r="R145" s="60"/>
      <c r="S145" s="60"/>
      <c r="T145" s="60"/>
      <c r="U145" s="60"/>
      <c r="V145" s="60"/>
      <c r="W145" s="64"/>
    </row>
    <row r="146" spans="2:23" s="17" customFormat="1" ht="15" x14ac:dyDescent="0.25">
      <c r="B146" s="70"/>
      <c r="M146" s="59"/>
      <c r="N146" s="60"/>
      <c r="O146" s="60"/>
      <c r="P146" s="60"/>
      <c r="Q146" s="60"/>
      <c r="R146" s="60"/>
      <c r="S146" s="60"/>
      <c r="T146" s="60"/>
      <c r="U146" s="60"/>
      <c r="V146" s="60"/>
      <c r="W146" s="64"/>
    </row>
    <row r="147" spans="2:23" s="17" customFormat="1" ht="15" x14ac:dyDescent="0.25">
      <c r="B147" s="70"/>
      <c r="M147" s="59"/>
      <c r="N147" s="60"/>
      <c r="O147" s="60"/>
      <c r="P147" s="60"/>
      <c r="Q147" s="60"/>
      <c r="R147" s="60"/>
      <c r="S147" s="60"/>
      <c r="T147" s="60"/>
      <c r="U147" s="60"/>
      <c r="V147" s="60"/>
      <c r="W147" s="64"/>
    </row>
    <row r="148" spans="2:23" s="17" customFormat="1" ht="15" x14ac:dyDescent="0.25">
      <c r="B148" s="70"/>
      <c r="M148" s="59"/>
      <c r="N148" s="60"/>
      <c r="O148" s="60"/>
      <c r="P148" s="60"/>
      <c r="Q148" s="60"/>
      <c r="R148" s="60"/>
      <c r="S148" s="60"/>
      <c r="T148" s="60"/>
      <c r="U148" s="60"/>
      <c r="V148" s="60"/>
      <c r="W148" s="64"/>
    </row>
    <row r="149" spans="2:23" s="17" customFormat="1" ht="15" x14ac:dyDescent="0.25">
      <c r="B149" s="70"/>
      <c r="M149" s="59"/>
      <c r="N149" s="60"/>
      <c r="O149" s="60"/>
      <c r="P149" s="60"/>
      <c r="Q149" s="60"/>
      <c r="R149" s="60"/>
      <c r="S149" s="60"/>
      <c r="T149" s="60"/>
      <c r="U149" s="60"/>
      <c r="V149" s="60"/>
      <c r="W149" s="64"/>
    </row>
    <row r="150" spans="2:23" s="17" customFormat="1" ht="15" x14ac:dyDescent="0.25">
      <c r="B150" s="70"/>
      <c r="M150" s="59"/>
      <c r="N150" s="60"/>
      <c r="O150" s="60"/>
      <c r="P150" s="60"/>
      <c r="Q150" s="60"/>
      <c r="R150" s="60"/>
      <c r="S150" s="60"/>
      <c r="T150" s="60"/>
      <c r="U150" s="60"/>
      <c r="V150" s="60"/>
      <c r="W150" s="64"/>
    </row>
    <row r="151" spans="2:23" s="17" customFormat="1" ht="15" x14ac:dyDescent="0.25">
      <c r="B151" s="70"/>
      <c r="M151" s="59"/>
      <c r="N151" s="60"/>
      <c r="O151" s="60"/>
      <c r="P151" s="60"/>
      <c r="Q151" s="60"/>
      <c r="R151" s="60"/>
      <c r="S151" s="60"/>
      <c r="T151" s="60"/>
      <c r="U151" s="60"/>
      <c r="V151" s="60"/>
      <c r="W151" s="64"/>
    </row>
    <row r="152" spans="2:23" s="17" customFormat="1" ht="15" x14ac:dyDescent="0.25">
      <c r="B152" s="70"/>
      <c r="M152" s="59"/>
      <c r="N152" s="60"/>
      <c r="O152" s="60"/>
      <c r="P152" s="60"/>
      <c r="Q152" s="60"/>
      <c r="R152" s="60"/>
      <c r="S152" s="60"/>
      <c r="T152" s="60"/>
      <c r="U152" s="60"/>
      <c r="V152" s="60"/>
      <c r="W152" s="64"/>
    </row>
    <row r="153" spans="2:23" s="17" customFormat="1" ht="15" x14ac:dyDescent="0.25">
      <c r="B153" s="70"/>
      <c r="M153" s="59"/>
      <c r="N153" s="60"/>
      <c r="O153" s="60"/>
      <c r="P153" s="60"/>
      <c r="Q153" s="60"/>
      <c r="R153" s="60"/>
      <c r="S153" s="60"/>
      <c r="T153" s="60"/>
      <c r="U153" s="60"/>
      <c r="V153" s="60"/>
      <c r="W153" s="64"/>
    </row>
    <row r="154" spans="2:23" s="17" customFormat="1" ht="15" x14ac:dyDescent="0.25">
      <c r="B154" s="70"/>
      <c r="M154" s="59"/>
      <c r="N154" s="60"/>
      <c r="O154" s="60"/>
      <c r="P154" s="60"/>
      <c r="Q154" s="60"/>
      <c r="R154" s="60"/>
      <c r="S154" s="60"/>
      <c r="T154" s="60"/>
      <c r="U154" s="60"/>
      <c r="V154" s="60"/>
      <c r="W154" s="64"/>
    </row>
    <row r="155" spans="2:23" s="17" customFormat="1" ht="15" x14ac:dyDescent="0.25">
      <c r="B155" s="70"/>
      <c r="M155" s="59"/>
      <c r="N155" s="60"/>
      <c r="O155" s="60"/>
      <c r="P155" s="60"/>
      <c r="Q155" s="60"/>
      <c r="R155" s="60"/>
      <c r="S155" s="60"/>
      <c r="T155" s="60"/>
      <c r="U155" s="60"/>
      <c r="V155" s="60"/>
      <c r="W155" s="64"/>
    </row>
    <row r="156" spans="2:23" s="17" customFormat="1" ht="15" x14ac:dyDescent="0.25">
      <c r="B156" s="70"/>
      <c r="M156" s="59"/>
      <c r="N156" s="60"/>
      <c r="O156" s="60"/>
      <c r="P156" s="60"/>
      <c r="Q156" s="60"/>
      <c r="R156" s="60"/>
      <c r="S156" s="60"/>
      <c r="T156" s="60"/>
      <c r="U156" s="60"/>
      <c r="V156" s="60"/>
      <c r="W156" s="64"/>
    </row>
    <row r="157" spans="2:23" s="17" customFormat="1" ht="15" x14ac:dyDescent="0.25">
      <c r="B157" s="70"/>
      <c r="M157" s="59"/>
      <c r="N157" s="60"/>
      <c r="O157" s="60"/>
      <c r="P157" s="60"/>
      <c r="Q157" s="60"/>
      <c r="R157" s="60"/>
      <c r="S157" s="60"/>
      <c r="T157" s="60"/>
      <c r="U157" s="60"/>
      <c r="V157" s="60"/>
      <c r="W157" s="64"/>
    </row>
    <row r="158" spans="2:23" s="17" customFormat="1" ht="15" x14ac:dyDescent="0.25">
      <c r="B158" s="70"/>
      <c r="M158" s="59"/>
      <c r="N158" s="60"/>
      <c r="O158" s="60"/>
      <c r="P158" s="60"/>
      <c r="Q158" s="60"/>
      <c r="R158" s="60"/>
      <c r="S158" s="60"/>
      <c r="T158" s="60"/>
      <c r="U158" s="60"/>
      <c r="V158" s="60"/>
      <c r="W158" s="64"/>
    </row>
    <row r="159" spans="2:23" s="17" customFormat="1" ht="15" x14ac:dyDescent="0.25">
      <c r="B159" s="70"/>
      <c r="M159" s="59"/>
      <c r="N159" s="60"/>
      <c r="O159" s="60"/>
      <c r="P159" s="60"/>
      <c r="Q159" s="60"/>
      <c r="R159" s="60"/>
      <c r="S159" s="60"/>
      <c r="T159" s="60"/>
      <c r="U159" s="60"/>
      <c r="V159" s="60"/>
      <c r="W159" s="64"/>
    </row>
    <row r="160" spans="2:23" s="17" customFormat="1" ht="15" x14ac:dyDescent="0.25">
      <c r="B160" s="70"/>
      <c r="M160" s="59"/>
      <c r="N160" s="60"/>
      <c r="O160" s="60"/>
      <c r="P160" s="60"/>
      <c r="Q160" s="60"/>
      <c r="R160" s="60"/>
      <c r="S160" s="60"/>
      <c r="T160" s="60"/>
      <c r="U160" s="60"/>
      <c r="V160" s="60"/>
      <c r="W160" s="64"/>
    </row>
    <row r="161" spans="2:23" s="17" customFormat="1" ht="15" x14ac:dyDescent="0.25">
      <c r="B161" s="70"/>
      <c r="M161" s="59"/>
      <c r="N161" s="60"/>
      <c r="O161" s="60"/>
      <c r="P161" s="60"/>
      <c r="Q161" s="60"/>
      <c r="R161" s="60"/>
      <c r="S161" s="60"/>
      <c r="T161" s="60"/>
      <c r="U161" s="60"/>
      <c r="V161" s="60"/>
      <c r="W161" s="64"/>
    </row>
    <row r="162" spans="2:23" s="17" customFormat="1" ht="15" x14ac:dyDescent="0.25">
      <c r="B162" s="70"/>
      <c r="M162" s="59"/>
      <c r="N162" s="60"/>
      <c r="O162" s="60"/>
      <c r="P162" s="60"/>
      <c r="Q162" s="60"/>
      <c r="R162" s="60"/>
      <c r="S162" s="60"/>
      <c r="T162" s="60"/>
      <c r="U162" s="60"/>
      <c r="V162" s="60"/>
      <c r="W162" s="64"/>
    </row>
    <row r="163" spans="2:23" s="17" customFormat="1" ht="15" x14ac:dyDescent="0.25">
      <c r="B163" s="70"/>
      <c r="M163" s="59"/>
      <c r="N163" s="60"/>
      <c r="O163" s="60"/>
      <c r="P163" s="60"/>
      <c r="Q163" s="60"/>
      <c r="R163" s="60"/>
      <c r="S163" s="60"/>
      <c r="T163" s="60"/>
      <c r="U163" s="60"/>
      <c r="V163" s="60"/>
      <c r="W163" s="64"/>
    </row>
    <row r="164" spans="2:23" s="17" customFormat="1" ht="15" x14ac:dyDescent="0.25">
      <c r="B164" s="70"/>
      <c r="M164" s="59"/>
      <c r="N164" s="60"/>
      <c r="O164" s="60"/>
      <c r="P164" s="60"/>
      <c r="Q164" s="60"/>
      <c r="R164" s="60"/>
      <c r="S164" s="60"/>
      <c r="T164" s="60"/>
      <c r="U164" s="60"/>
      <c r="V164" s="60"/>
      <c r="W164" s="64"/>
    </row>
    <row r="165" spans="2:23" s="17" customFormat="1" ht="15" x14ac:dyDescent="0.25">
      <c r="B165" s="70"/>
      <c r="M165" s="59"/>
      <c r="N165" s="60"/>
      <c r="O165" s="60"/>
      <c r="P165" s="60"/>
      <c r="Q165" s="60"/>
      <c r="R165" s="60"/>
      <c r="S165" s="60"/>
      <c r="T165" s="60"/>
      <c r="U165" s="60"/>
      <c r="V165" s="60"/>
      <c r="W165" s="64"/>
    </row>
    <row r="166" spans="2:23" s="17" customFormat="1" ht="15" x14ac:dyDescent="0.25">
      <c r="B166" s="70"/>
      <c r="M166" s="59"/>
      <c r="N166" s="60"/>
      <c r="O166" s="60"/>
      <c r="P166" s="60"/>
      <c r="Q166" s="60"/>
      <c r="R166" s="60"/>
      <c r="S166" s="60"/>
      <c r="T166" s="60"/>
      <c r="U166" s="60"/>
      <c r="V166" s="60"/>
      <c r="W166" s="64"/>
    </row>
    <row r="167" spans="2:23" s="17" customFormat="1" ht="15" x14ac:dyDescent="0.25">
      <c r="B167" s="70"/>
      <c r="M167" s="59"/>
      <c r="N167" s="60"/>
      <c r="O167" s="60"/>
      <c r="P167" s="60"/>
      <c r="Q167" s="60"/>
      <c r="R167" s="60"/>
      <c r="S167" s="60"/>
      <c r="T167" s="60"/>
      <c r="U167" s="60"/>
      <c r="V167" s="60"/>
      <c r="W167" s="64"/>
    </row>
    <row r="168" spans="2:23" s="17" customFormat="1" ht="15" x14ac:dyDescent="0.25">
      <c r="B168" s="70"/>
      <c r="M168" s="59"/>
      <c r="N168" s="60"/>
      <c r="O168" s="60"/>
      <c r="P168" s="60"/>
      <c r="Q168" s="60"/>
      <c r="R168" s="60"/>
      <c r="S168" s="60"/>
      <c r="T168" s="60"/>
      <c r="U168" s="60"/>
      <c r="V168" s="60"/>
      <c r="W168" s="64"/>
    </row>
    <row r="169" spans="2:23" s="17" customFormat="1" ht="15" x14ac:dyDescent="0.25">
      <c r="B169" s="70"/>
      <c r="M169" s="59"/>
      <c r="N169" s="60"/>
      <c r="O169" s="60"/>
      <c r="P169" s="60"/>
      <c r="Q169" s="60"/>
      <c r="R169" s="60"/>
      <c r="S169" s="60"/>
      <c r="T169" s="60"/>
      <c r="U169" s="60"/>
      <c r="V169" s="60"/>
      <c r="W169" s="64"/>
    </row>
    <row r="170" spans="2:23" s="17" customFormat="1" ht="15" x14ac:dyDescent="0.25">
      <c r="B170" s="70"/>
      <c r="M170" s="59"/>
      <c r="N170" s="60"/>
      <c r="O170" s="60"/>
      <c r="P170" s="60"/>
      <c r="Q170" s="60"/>
      <c r="R170" s="60"/>
      <c r="S170" s="60"/>
      <c r="T170" s="60"/>
      <c r="U170" s="60"/>
      <c r="V170" s="60"/>
      <c r="W170" s="64"/>
    </row>
    <row r="171" spans="2:23" s="17" customFormat="1" ht="15" x14ac:dyDescent="0.25">
      <c r="B171" s="70"/>
      <c r="M171" s="59"/>
      <c r="N171" s="60"/>
      <c r="O171" s="60"/>
      <c r="P171" s="60"/>
      <c r="Q171" s="60"/>
      <c r="R171" s="60"/>
      <c r="S171" s="60"/>
      <c r="T171" s="60"/>
      <c r="U171" s="60"/>
      <c r="V171" s="60"/>
      <c r="W171" s="64"/>
    </row>
  </sheetData>
  <mergeCells count="15">
    <mergeCell ref="A12:A13"/>
    <mergeCell ref="A16:A17"/>
    <mergeCell ref="A19:A20"/>
    <mergeCell ref="A22:A24"/>
    <mergeCell ref="A36:A38"/>
    <mergeCell ref="A29:A30"/>
    <mergeCell ref="A33:A34"/>
    <mergeCell ref="A42:A44"/>
    <mergeCell ref="B37:B38"/>
    <mergeCell ref="B42:B43"/>
    <mergeCell ref="P42:P43"/>
    <mergeCell ref="N42:N43"/>
    <mergeCell ref="O42:O43"/>
    <mergeCell ref="C42:C43"/>
    <mergeCell ref="J42:J43"/>
  </mergeCells>
  <phoneticPr fontId="2" type="noConversion"/>
  <conditionalFormatting sqref="K23:K24">
    <cfRule type="cellIs" dxfId="2" priority="4" operator="lessThan">
      <formula>$E$6</formula>
    </cfRule>
  </conditionalFormatting>
  <conditionalFormatting sqref="L37:L38">
    <cfRule type="cellIs" dxfId="1" priority="2" operator="lessThan">
      <formula>$E$5</formula>
    </cfRule>
  </conditionalFormatting>
  <conditionalFormatting sqref="P44">
    <cfRule type="cellIs" dxfId="0" priority="15" operator="lessThan">
      <formula>$E$4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TOX and EXPO INPUTS</vt:lpstr>
      <vt:lpstr>OASS Postapp</vt:lpstr>
      <vt:lpstr>CCTM Postapp</vt:lpstr>
      <vt:lpstr>ORMS Postapp</vt:lpstr>
      <vt:lpstr>Animal Barn Postapp</vt:lpstr>
    </vt:vector>
  </TitlesOfParts>
  <Company>EPA OPP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Lowe</dc:creator>
  <cp:lastModifiedBy>Dev</cp:lastModifiedBy>
  <cp:lastPrinted>2012-01-09T18:53:50Z</cp:lastPrinted>
  <dcterms:created xsi:type="dcterms:W3CDTF">2009-03-03T19:45:35Z</dcterms:created>
  <dcterms:modified xsi:type="dcterms:W3CDTF">2013-06-13T14:00:08Z</dcterms:modified>
</cp:coreProperties>
</file>