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1f16030b3bbcc/Área de Trabalho/Curso_ADF/Material de Apoio/"/>
    </mc:Choice>
  </mc:AlternateContent>
  <xr:revisionPtr revIDLastSave="247" documentId="13_ncr:1_{0CC469BA-55A8-4FCF-939F-9454EEA34A86}" xr6:coauthVersionLast="47" xr6:coauthVersionMax="47" xr10:uidLastSave="{D3795377-4060-4561-BC6D-2E509A2EB60A}"/>
  <bookViews>
    <workbookView xWindow="-108" yWindow="-108" windowWidth="23256" windowHeight="13176" firstSheet="1" activeTab="1" xr2:uid="{19F62905-99A6-47C0-95D8-E84656305A08}"/>
  </bookViews>
  <sheets>
    <sheet name="DADOS_VENDA" sheetId="1" state="hidden" r:id="rId1"/>
    <sheet name="ANALISE_DADOS" sheetId="3" r:id="rId2"/>
    <sheet name="RELATORIO_VENDA" sheetId="2" r:id="rId3"/>
    <sheet name="SCRIPT_INSERT" sheetId="4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  <c r="F46" i="3"/>
  <c r="F45" i="3"/>
  <c r="F44" i="3"/>
  <c r="J3" i="2"/>
  <c r="J4" i="2"/>
  <c r="J5" i="2"/>
  <c r="K5" i="2" s="1"/>
  <c r="J6" i="2"/>
  <c r="K6" i="2" s="1"/>
  <c r="J7" i="2"/>
  <c r="J8" i="2"/>
  <c r="J9" i="2"/>
  <c r="K9" i="2" s="1"/>
  <c r="J10" i="2"/>
  <c r="K10" i="2" s="1"/>
  <c r="J11" i="2"/>
  <c r="J12" i="2"/>
  <c r="J13" i="2"/>
  <c r="K13" i="2" s="1"/>
  <c r="J14" i="2"/>
  <c r="J15" i="2"/>
  <c r="J16" i="2"/>
  <c r="J17" i="2"/>
  <c r="J18" i="2"/>
  <c r="K18" i="2" s="1"/>
  <c r="J19" i="2"/>
  <c r="J20" i="2"/>
  <c r="J21" i="2"/>
  <c r="J22" i="2"/>
  <c r="K22" i="2" s="1"/>
  <c r="J23" i="2"/>
  <c r="J24" i="2"/>
  <c r="K24" i="2" s="1"/>
  <c r="J25" i="2"/>
  <c r="J26" i="2"/>
  <c r="K7" i="2"/>
  <c r="K11" i="2"/>
  <c r="K14" i="2"/>
  <c r="K15" i="2"/>
  <c r="K19" i="2"/>
  <c r="K26" i="2"/>
  <c r="K23" i="2"/>
  <c r="K3" i="2"/>
  <c r="K21" i="2"/>
  <c r="D4" i="2"/>
  <c r="E4" i="2" s="1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D24" i="2"/>
  <c r="E24" i="2" s="1"/>
  <c r="D25" i="2"/>
  <c r="E25" i="2" s="1"/>
  <c r="D26" i="2"/>
  <c r="E26" i="2" s="1"/>
  <c r="D3" i="2"/>
  <c r="E3" i="2" s="1"/>
  <c r="K4" i="2"/>
  <c r="K8" i="2"/>
  <c r="K12" i="2"/>
  <c r="K16" i="2"/>
  <c r="K20" i="2"/>
  <c r="K17" i="2"/>
  <c r="K25" i="2"/>
  <c r="K58" i="4"/>
  <c r="K4" i="4"/>
  <c r="K5" i="4"/>
  <c r="K6" i="4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L3" i="2"/>
  <c r="M3" i="2" s="1"/>
  <c r="L4" i="2"/>
  <c r="M4" i="2" s="1"/>
  <c r="L5" i="2"/>
  <c r="M5" i="2" s="1"/>
  <c r="L6" i="2"/>
  <c r="M6" i="2" s="1"/>
  <c r="O6" i="2" s="1"/>
  <c r="L7" i="2"/>
  <c r="M7" i="2" s="1"/>
  <c r="O7" i="2" s="1"/>
  <c r="L8" i="2"/>
  <c r="M8" i="2" s="1"/>
  <c r="O8" i="2" s="1"/>
  <c r="L9" i="2"/>
  <c r="M9" i="2" s="1"/>
  <c r="L10" i="2"/>
  <c r="M10" i="2" s="1"/>
  <c r="L11" i="2"/>
  <c r="M11" i="2" s="1"/>
  <c r="L12" i="2"/>
  <c r="N12" i="2" s="1"/>
  <c r="L13" i="2"/>
  <c r="M13" i="2" s="1"/>
  <c r="L14" i="2"/>
  <c r="M14" i="2" s="1"/>
  <c r="O14" i="2" s="1"/>
  <c r="L15" i="2"/>
  <c r="M15" i="2" s="1"/>
  <c r="O15" i="2" s="1"/>
  <c r="L16" i="2"/>
  <c r="M16" i="2" s="1"/>
  <c r="O16" i="2" s="1"/>
  <c r="L17" i="2"/>
  <c r="M17" i="2" s="1"/>
  <c r="L18" i="2"/>
  <c r="M18" i="2" s="1"/>
  <c r="L19" i="2"/>
  <c r="M19" i="2" s="1"/>
  <c r="O19" i="2" s="1"/>
  <c r="L20" i="2"/>
  <c r="M20" i="2" s="1"/>
  <c r="L21" i="2"/>
  <c r="M21" i="2" s="1"/>
  <c r="L22" i="2"/>
  <c r="M22" i="2" s="1"/>
  <c r="O22" i="2" s="1"/>
  <c r="L23" i="2"/>
  <c r="M23" i="2" s="1"/>
  <c r="O23" i="2" s="1"/>
  <c r="L24" i="2"/>
  <c r="M24" i="2" s="1"/>
  <c r="O24" i="2" s="1"/>
  <c r="L25" i="2"/>
  <c r="M25" i="2" s="1"/>
  <c r="L26" i="2"/>
  <c r="M26" i="2" s="1"/>
  <c r="F49" i="4"/>
  <c r="K49" i="4" s="1"/>
  <c r="F50" i="4"/>
  <c r="K50" i="4" s="1"/>
  <c r="F51" i="4"/>
  <c r="K51" i="4" s="1"/>
  <c r="F52" i="4"/>
  <c r="K52" i="4" s="1"/>
  <c r="F53" i="4"/>
  <c r="K53" i="4" s="1"/>
  <c r="F54" i="4"/>
  <c r="K54" i="4" s="1"/>
  <c r="F55" i="4"/>
  <c r="K55" i="4" s="1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43" i="4"/>
  <c r="K44" i="4"/>
  <c r="K45" i="4"/>
  <c r="K42" i="4"/>
  <c r="K34" i="4"/>
  <c r="K35" i="4"/>
  <c r="K36" i="4"/>
  <c r="K37" i="4"/>
  <c r="K38" i="4"/>
  <c r="K33" i="4"/>
  <c r="K26" i="4"/>
  <c r="K27" i="4"/>
  <c r="K28" i="4"/>
  <c r="K29" i="4"/>
  <c r="K25" i="4"/>
  <c r="K10" i="4"/>
  <c r="K11" i="4"/>
  <c r="K12" i="4"/>
  <c r="K13" i="4"/>
  <c r="K9" i="4"/>
  <c r="K17" i="4"/>
  <c r="K18" i="4"/>
  <c r="K19" i="4"/>
  <c r="K20" i="4"/>
  <c r="K21" i="4"/>
  <c r="K16" i="4"/>
  <c r="K3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F48" i="4" s="1"/>
  <c r="K48" i="4" s="1"/>
  <c r="E59" i="4"/>
  <c r="E58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H3" i="2"/>
  <c r="I3" i="2" s="1"/>
  <c r="E5" i="2"/>
  <c r="E21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O4" i="1"/>
  <c r="O5" i="1"/>
  <c r="O6" i="1"/>
  <c r="O7" i="1"/>
  <c r="O8" i="1"/>
  <c r="O9" i="1"/>
  <c r="O10" i="1"/>
  <c r="O11" i="1"/>
  <c r="G6" i="1" s="1"/>
  <c r="O12" i="1"/>
  <c r="O13" i="1"/>
  <c r="O14" i="1"/>
  <c r="G7" i="1" s="1"/>
  <c r="O15" i="1"/>
  <c r="O16" i="1"/>
  <c r="O17" i="1"/>
  <c r="O18" i="1"/>
  <c r="O19" i="1"/>
  <c r="O20" i="1"/>
  <c r="O21" i="1"/>
  <c r="O22" i="1"/>
  <c r="G9" i="1" s="1"/>
  <c r="O23" i="1"/>
  <c r="O24" i="1"/>
  <c r="O25" i="1"/>
  <c r="O26" i="1"/>
  <c r="O3" i="1"/>
  <c r="F48" i="3" l="1"/>
  <c r="T11" i="2"/>
  <c r="T21" i="2"/>
  <c r="T14" i="2"/>
  <c r="N4" i="2"/>
  <c r="N20" i="2"/>
  <c r="M12" i="2"/>
  <c r="N11" i="2"/>
  <c r="O3" i="2"/>
  <c r="O26" i="2"/>
  <c r="O18" i="2"/>
  <c r="O10" i="2"/>
  <c r="O25" i="2"/>
  <c r="O17" i="2"/>
  <c r="O9" i="2"/>
  <c r="O5" i="2"/>
  <c r="O21" i="2"/>
  <c r="O13" i="2"/>
  <c r="T16" i="2"/>
  <c r="T15" i="2"/>
  <c r="T22" i="2"/>
  <c r="T13" i="2"/>
  <c r="T12" i="2"/>
  <c r="O4" i="2"/>
  <c r="G4" i="1"/>
  <c r="G8" i="1"/>
  <c r="G10" i="1"/>
  <c r="G5" i="1"/>
  <c r="G3" i="1"/>
  <c r="O20" i="2"/>
  <c r="O12" i="2"/>
  <c r="O11" i="2"/>
  <c r="N26" i="2"/>
  <c r="N19" i="2"/>
  <c r="N18" i="2"/>
  <c r="N10" i="2"/>
  <c r="N3" i="2"/>
  <c r="N25" i="2"/>
  <c r="N17" i="2"/>
  <c r="N9" i="2"/>
  <c r="N24" i="2"/>
  <c r="N16" i="2"/>
  <c r="N8" i="2"/>
  <c r="N23" i="2"/>
  <c r="N15" i="2"/>
  <c r="N7" i="2"/>
  <c r="N22" i="2"/>
  <c r="N14" i="2"/>
  <c r="N6" i="2"/>
  <c r="N21" i="2"/>
  <c r="N13" i="2"/>
  <c r="N5" i="2"/>
  <c r="T6" i="2" l="1"/>
  <c r="T7" i="2"/>
  <c r="T25" i="2"/>
  <c r="T26" i="2"/>
  <c r="T23" i="2"/>
  <c r="T24" i="2"/>
  <c r="T17" i="2"/>
  <c r="T18" i="2"/>
  <c r="T19" i="2"/>
  <c r="T20" i="2"/>
  <c r="T9" i="2"/>
  <c r="T10" i="2"/>
  <c r="T8" i="2"/>
  <c r="T3" i="2"/>
  <c r="T4" i="2"/>
  <c r="T5" i="2"/>
</calcChain>
</file>

<file path=xl/sharedStrings.xml><?xml version="1.0" encoding="utf-8"?>
<sst xmlns="http://schemas.openxmlformats.org/spreadsheetml/2006/main" count="291" uniqueCount="81">
  <si>
    <t>CODIGO_VENDA</t>
  </si>
  <si>
    <t>CODIGO_PRODUTO</t>
  </si>
  <si>
    <t>CODIGO_CLIENTE</t>
  </si>
  <si>
    <t>VALOR_UNITARIO</t>
  </si>
  <si>
    <t>QUANTIDADE</t>
  </si>
  <si>
    <t>VALOR_FINAL</t>
  </si>
  <si>
    <t>NOME_CLIENTE</t>
  </si>
  <si>
    <t>CODIGO_LOJA</t>
  </si>
  <si>
    <t>E-COMMERCE</t>
  </si>
  <si>
    <t>LOJA A</t>
  </si>
  <si>
    <t>LOJA B</t>
  </si>
  <si>
    <t>LOJA C</t>
  </si>
  <si>
    <t>PEDRO ALVARES CABRAL</t>
  </si>
  <si>
    <t>CRISTOVÃO COLOMBO</t>
  </si>
  <si>
    <t>MACHADO DE ASSIS</t>
  </si>
  <si>
    <t>CHICO BUARQUE DE HOLANDA</t>
  </si>
  <si>
    <t>MAURICIO DE SOUZA</t>
  </si>
  <si>
    <t>DESCRICAO_PRODUTO</t>
  </si>
  <si>
    <t>IPHONE 11</t>
  </si>
  <si>
    <t>GELADEIRA FROSTFREE BRASTEMP</t>
  </si>
  <si>
    <t>CAMISA FLUMINENSE 23/23</t>
  </si>
  <si>
    <t>CODIGO_CATEGORIA</t>
  </si>
  <si>
    <t>DECRICAO_CATEGORIA</t>
  </si>
  <si>
    <t>ELETRODOMÉSTICO</t>
  </si>
  <si>
    <t>CELULAR</t>
  </si>
  <si>
    <t>ACESSÓRIO</t>
  </si>
  <si>
    <t>COMPUTADOR</t>
  </si>
  <si>
    <t>VESTUÁRIO</t>
  </si>
  <si>
    <t>LOCALIDADE_LOJA</t>
  </si>
  <si>
    <t>WWW</t>
  </si>
  <si>
    <t>MT</t>
  </si>
  <si>
    <t>RJ</t>
  </si>
  <si>
    <t>CE</t>
  </si>
  <si>
    <t>FOGÃO 5 BOCAS BRASTEMP</t>
  </si>
  <si>
    <t>PENDRIVE SCANDISK CRUZER BLADE 128 GB</t>
  </si>
  <si>
    <t>NOTEBOOK MACBOOK PRO 14 M2</t>
  </si>
  <si>
    <t>CODIGO_VENDEDOR</t>
  </si>
  <si>
    <t>NOME_VENDEDOR</t>
  </si>
  <si>
    <t>JOSÉ ROBERTO</t>
  </si>
  <si>
    <t>MARIA ANTONIETA</t>
  </si>
  <si>
    <t>CLARICE LISPECTOR</t>
  </si>
  <si>
    <t>ALEXANDRE PIRES</t>
  </si>
  <si>
    <t>ZEZÉ DE CAMARGO</t>
  </si>
  <si>
    <t>DATA_VENDA</t>
  </si>
  <si>
    <t>Rótulos de Linha</t>
  </si>
  <si>
    <t>Total Geral</t>
  </si>
  <si>
    <t>Soma de VALOR_FINAL</t>
  </si>
  <si>
    <t>Rótulos de Coluna</t>
  </si>
  <si>
    <t>TIPO_LOJA</t>
  </si>
  <si>
    <t>VIRTUAL</t>
  </si>
  <si>
    <t>FÍSICA</t>
  </si>
  <si>
    <t>FORMA_PAGAMENTO</t>
  </si>
  <si>
    <t>TIPO_PAGAMENTO</t>
  </si>
  <si>
    <t>CODIGO_FORMA_PAGAMENTO</t>
  </si>
  <si>
    <t>DESCRICAO_FORMA_PAGAMENTO</t>
  </si>
  <si>
    <t>CARTÃO CRÉDITO</t>
  </si>
  <si>
    <t>CARTÃO DÉBITO</t>
  </si>
  <si>
    <t>BOLETO</t>
  </si>
  <si>
    <t>PIX</t>
  </si>
  <si>
    <t>A VISTA</t>
  </si>
  <si>
    <t>PARCELADO</t>
  </si>
  <si>
    <t>PAGAMENTO</t>
  </si>
  <si>
    <t>CODIGO_PAGAMENTO</t>
  </si>
  <si>
    <t>INSERT INTO dbo.TB_FORMA_PAGAMENTO (DESCRICAO_FORMA_PAGAMENTO) VALUES ('</t>
  </si>
  <si>
    <t>INSERT INTO dbo.TB_PRODUTO (DESCRICAO_PRODUTO,CODIGO_CATEGORIA) VALUES ('</t>
  </si>
  <si>
    <t>INSERT INTO dbo.TB_CATEGORIA_PRODUTO (DECRICAO_CATEGORIA) VALUES ('</t>
  </si>
  <si>
    <t>INSERT INTO dbo.TB_CLIENTE (NOME_CLIENTE) VALUES ('</t>
  </si>
  <si>
    <t>INSERT INTO dbo.TB_VENDEDOR (NOME_VENDEDOR) VALUES ('</t>
  </si>
  <si>
    <t>2023-07-10</t>
  </si>
  <si>
    <t>2023-07-11</t>
  </si>
  <si>
    <t>2023-07-12</t>
  </si>
  <si>
    <t>2023-07-13</t>
  </si>
  <si>
    <t>NOME_LOJA</t>
  </si>
  <si>
    <t>INSERT INTO dbo.TB_LOJA (NOME_LOJA,LOCALIDADE_LOJA,TIPO_LOJA) VALUES ('</t>
  </si>
  <si>
    <t>INSERT INTO dbo.TB_VENDA (DATA_VENDA,CODIGO_CLIENTE,CODIGO_VENDEDOR,CODIGO_LOJA,VALOR_FINAL,FORMA_PAGAMENTO,TIPO_PAGAMENTO) VALUES ('</t>
  </si>
  <si>
    <t>INSERT INTO dbo.TB_ITEM_VENDA (CODIGO_VENDA,CODIGO_PRODUTO,VALOR_UNITARIO,QUANTIDADE,VALOR_FINAL) VALUES (</t>
  </si>
  <si>
    <t>Ranking de Vendedor</t>
  </si>
  <si>
    <t>Campeões de Venda</t>
  </si>
  <si>
    <t>Vendas de Produto por Vendedor</t>
  </si>
  <si>
    <t>Percentual de Vendas do Grupo</t>
  </si>
  <si>
    <t>Vendas por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</si>
</sst>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;@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5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4" fontId="0" fillId="0" borderId="5" xfId="0" applyNumberFormat="1" applyBorder="1"/>
    <xf numFmtId="4" fontId="0" fillId="0" borderId="1" xfId="0" applyNumberFormat="1" applyBorder="1"/>
    <xf numFmtId="4" fontId="0" fillId="0" borderId="8" xfId="0" applyNumberFormat="1" applyBorder="1"/>
    <xf numFmtId="44" fontId="0" fillId="0" borderId="5" xfId="1" applyFont="1" applyBorder="1"/>
    <xf numFmtId="44" fontId="0" fillId="0" borderId="1" xfId="1" applyFont="1" applyBorder="1"/>
    <xf numFmtId="44" fontId="0" fillId="0" borderId="8" xfId="1" applyFont="1" applyBorder="1"/>
    <xf numFmtId="44" fontId="0" fillId="4" borderId="1" xfId="1" applyFont="1" applyFill="1" applyBorder="1"/>
    <xf numFmtId="44" fontId="0" fillId="2" borderId="1" xfId="1" applyFont="1" applyFill="1" applyBorder="1"/>
    <xf numFmtId="0" fontId="3" fillId="5" borderId="10" xfId="0" applyFont="1" applyFill="1" applyBorder="1"/>
    <xf numFmtId="165" fontId="0" fillId="0" borderId="0" xfId="0" applyNumberFormat="1"/>
    <xf numFmtId="10" fontId="0" fillId="0" borderId="0" xfId="0" applyNumberFormat="1"/>
    <xf numFmtId="10" fontId="3" fillId="5" borderId="11" xfId="0" applyNumberFormat="1" applyFont="1" applyFill="1" applyBorder="1"/>
    <xf numFmtId="0" fontId="3" fillId="5" borderId="11" xfId="0" applyFont="1" applyFill="1" applyBorder="1" applyAlignment="1">
      <alignment horizontal="left"/>
    </xf>
    <xf numFmtId="165" fontId="3" fillId="0" borderId="11" xfId="0" applyNumberFormat="1" applyFont="1" applyBorder="1"/>
    <xf numFmtId="0" fontId="4" fillId="0" borderId="4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4" fontId="4" fillId="0" borderId="0" xfId="0" applyNumberFormat="1" applyFont="1"/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5" fontId="3" fillId="5" borderId="11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[EXEMPLO_CURSO.xlsx]ANALISE_DADOS!Tabela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de Vendedor</a:t>
            </a:r>
          </a:p>
        </c:rich>
      </c:tx>
      <c:layout>
        <c:manualLayout>
          <c:xMode val="edge"/>
          <c:yMode val="edge"/>
          <c:x val="0.4478818283166108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ANALISE_DADOS!$E$15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ANALISE_DADOS!$D$16:$D$22</c:f>
              <c:strCache>
                <c:ptCount val="6"/>
                <c:pt idx="0">
                  <c:v>WWW</c:v>
                </c:pt>
                <c:pt idx="1">
                  <c:v>ZEZÉ DE CAMARGO</c:v>
                </c:pt>
                <c:pt idx="2">
                  <c:v>CLARICE LISPECTOR</c:v>
                </c:pt>
                <c:pt idx="3">
                  <c:v>ALEXANDRE PIRES</c:v>
                </c:pt>
                <c:pt idx="4">
                  <c:v>JOSÉ ROBERTO</c:v>
                </c:pt>
                <c:pt idx="5">
                  <c:v>MARIA ANTONIETA</c:v>
                </c:pt>
              </c:strCache>
            </c:strRef>
          </c:cat>
          <c:val>
            <c:numRef>
              <c:f>ANALISE_DADOS!$E$16:$E$22</c:f>
              <c:numCache>
                <c:formatCode>"R$"\ #,##0.00</c:formatCode>
                <c:ptCount val="6"/>
                <c:pt idx="0">
                  <c:v>59371.200000000004</c:v>
                </c:pt>
                <c:pt idx="1">
                  <c:v>25186.880000000001</c:v>
                </c:pt>
                <c:pt idx="2">
                  <c:v>18232.25</c:v>
                </c:pt>
                <c:pt idx="3">
                  <c:v>15766.850000000002</c:v>
                </c:pt>
                <c:pt idx="4">
                  <c:v>12834.560000000001</c:v>
                </c:pt>
                <c:pt idx="5">
                  <c:v>5873.5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DE9-9E06-586641A20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018207"/>
        <c:axId val="678013887"/>
      </c:barChart>
      <c:catAx>
        <c:axId val="6780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013887"/>
        <c:crosses val="autoZero"/>
        <c:auto val="1"/>
        <c:lblAlgn val="ctr"/>
        <c:lblOffset val="100"/>
        <c:noMultiLvlLbl val="0"/>
      </c:catAx>
      <c:valAx>
        <c:axId val="6780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0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[EXEMPLO_CURSO.xlsx]ANALISE_DADOS!Tabela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Campeões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ANALISE_DADOS!$B$15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ANALISE_DADOS!$A$16:$A$22</c:f>
              <c:strCache>
                <c:ptCount val="6"/>
                <c:pt idx="0">
                  <c:v>NOTEBOOK MACBOOK PRO 14 M2</c:v>
                </c:pt>
                <c:pt idx="1">
                  <c:v>GELADEIRA FROSTFREE BRASTEMP</c:v>
                </c:pt>
                <c:pt idx="2">
                  <c:v>IPHONE 11</c:v>
                </c:pt>
                <c:pt idx="3">
                  <c:v>FOGÃO 5 BOCAS BRASTEMP</c:v>
                </c:pt>
                <c:pt idx="4">
                  <c:v>CAMISA FLUMINENSE 23/23</c:v>
                </c:pt>
                <c:pt idx="5">
                  <c:v>PENDRIVE SCANDISK CRUZER BLADE 128 GB</c:v>
                </c:pt>
              </c:strCache>
            </c:strRef>
          </c:cat>
          <c:val>
            <c:numRef>
              <c:f>ANALISE_DADOS!$B$16:$B$22</c:f>
              <c:numCache>
                <c:formatCode>"R$"\ #,##0.00</c:formatCode>
                <c:ptCount val="6"/>
                <c:pt idx="0">
                  <c:v>65067.96</c:v>
                </c:pt>
                <c:pt idx="1">
                  <c:v>31912.400000000001</c:v>
                </c:pt>
                <c:pt idx="2">
                  <c:v>27899.000000000004</c:v>
                </c:pt>
                <c:pt idx="3">
                  <c:v>9422.25</c:v>
                </c:pt>
                <c:pt idx="4">
                  <c:v>1795.43</c:v>
                </c:pt>
                <c:pt idx="5">
                  <c:v>1168.2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7-4F73-A6B0-9E5752A1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28303"/>
        <c:axId val="665631663"/>
      </c:barChart>
      <c:catAx>
        <c:axId val="6656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631663"/>
        <c:crosses val="autoZero"/>
        <c:auto val="1"/>
        <c:lblAlgn val="ctr"/>
        <c:lblOffset val="100"/>
        <c:noMultiLvlLbl val="0"/>
      </c:catAx>
      <c:valAx>
        <c:axId val="6656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6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[EXEMPLO_CURSO.xlsx]ANALISE_DADOS!Tabela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Loja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ANALISE_DADOS!$B$43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09-48EC-8EC4-3396FE5F7E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09-48EC-8EC4-3396FE5F7E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09-48EC-8EC4-3396FE5F7E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09-48EC-8EC4-3396FE5F7E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ANALISE_DADOS!$A$44:$A$48</c:f>
              <c:strCache>
                <c:ptCount val="4"/>
                <c:pt idx="0">
                  <c:v>E-COMMERCE</c:v>
                </c:pt>
                <c:pt idx="1">
                  <c:v>LOJA A</c:v>
                </c:pt>
                <c:pt idx="2">
                  <c:v>LOJA B</c:v>
                </c:pt>
                <c:pt idx="3">
                  <c:v>LOJA C</c:v>
                </c:pt>
              </c:strCache>
            </c:strRef>
          </c:cat>
          <c:val>
            <c:numRef>
              <c:f>ANALISE_DADOS!$B$44:$B$48</c:f>
              <c:numCache>
                <c:formatCode>"R$"\ #,##0.00</c:formatCode>
                <c:ptCount val="4"/>
                <c:pt idx="0">
                  <c:v>59371.200000000004</c:v>
                </c:pt>
                <c:pt idx="1">
                  <c:v>18708.060000000001</c:v>
                </c:pt>
                <c:pt idx="2">
                  <c:v>25186.880000000001</c:v>
                </c:pt>
                <c:pt idx="3">
                  <c:v>33999.1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4732-A14D-627988DE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ANALISE_DADOS!$F$43</c:f>
              <c:strCache>
                <c:ptCount val="1"/>
                <c:pt idx="0">
                  <c:v>Percentual de Vendas do Grupo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DE-41A2-BC7B-E194C379F4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E-41A2-BC7B-E194C379F4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E-41A2-BC7B-E194C379F4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E-41A2-BC7B-E194C379F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ANALISE_DADOS!$E$44:$E$47</c:f>
              <c:strCache>
                <c:ptCount val="4"/>
                <c:pt idx="0">
                  <c:v>E-COMMERCE</c:v>
                </c:pt>
                <c:pt idx="1">
                  <c:v>LOJA A</c:v>
                </c:pt>
                <c:pt idx="2">
                  <c:v>LOJA B</c:v>
                </c:pt>
                <c:pt idx="3">
                  <c:v>LOJA C</c:v>
                </c:pt>
              </c:strCache>
            </c:strRef>
          </c:cat>
          <c:val>
            <c:numRef>
              <c:f>ANALISE_DADOS!$F$44:$F$47</c:f>
              <c:numCache>
                <c:formatCode>0.00%</c:formatCode>
                <c:ptCount val="4"/>
                <c:pt idx="0">
                  <c:v>0.43252902191406939</c:v>
                </c:pt>
                <c:pt idx="1">
                  <c:v>0.13629131453818896</c:v>
                </c:pt>
                <c:pt idx="2">
                  <c:v>0.18349059091726352</c:v>
                </c:pt>
                <c:pt idx="3">
                  <c:v>0.24768907263047799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C-4090-952C-C8BD466D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</xdr:row>
      <xdr:rowOff>152400</xdr:rowOff>
    </xdr:from>
    <xdr:to>
      <xdr:col>6</xdr:col>
      <xdr:colOff>784860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7B7228-28CF-CEFA-50FB-8B4E6742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2</xdr:col>
      <xdr:colOff>594360</xdr:colOff>
      <xdr:row>37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8F5BA-3FFD-64B7-B7A6-78FA7515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49</xdr:row>
      <xdr:rowOff>15240</xdr:rowOff>
    </xdr:from>
    <xdr:to>
      <xdr:col>2</xdr:col>
      <xdr:colOff>1409700</xdr:colOff>
      <xdr:row>64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1988B-2169-8A9F-D35F-AF1EF9C2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1162050</xdr:colOff>
      <xdr:row>48</xdr:row>
      <xdr:rowOff>171450</xdr:rowOff>
    </xdr:from>
    <xdr:to>
      <xdr:col>7</xdr:col>
      <xdr:colOff>34290</xdr:colOff>
      <xdr:row>63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DACDAF-369A-D0A8-7936-E3017008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Quintella" refreshedDate="45138.980100115739" createdVersion="8" refreshedVersion="8" minRefreshableVersion="3" recordCount="24" xr:uid="{A825C944-28FA-42FB-9166-DFA795C8B85A}">
  <cacheSource type="worksheet">
    <worksheetSource name="Tabela8"/>
  </cacheSource>
  <cacheFields count="19">
    <cacheField name="CODIGO_VENDA" numFmtId="0">
      <sharedItems containsSemiMixedTypes="0" containsString="0" containsNumber="1" containsInteger="1" minValue="1" maxValue="8"/>
    </cacheField>
    <cacheField name="DATA_VENDA" numFmtId="164">
      <sharedItems containsSemiMixedTypes="0" containsNonDate="0" containsDate="1" containsString="0" minDate="2023-07-10T00:00:00" maxDate="2023-07-14T00:00:00"/>
    </cacheField>
    <cacheField name="CODIGO_CLIENTE" numFmtId="0">
      <sharedItems containsSemiMixedTypes="0" containsString="0" containsNumber="1" containsInteger="1" minValue="1" maxValue="5"/>
    </cacheField>
    <cacheField name="NOME_CLIENTE" numFmtId="0">
      <sharedItems/>
    </cacheField>
    <cacheField name="CODIGO_PRODUTO" numFmtId="0">
      <sharedItems containsSemiMixedTypes="0" containsString="0" containsNumber="1" containsInteger="1" minValue="1" maxValue="6"/>
    </cacheField>
    <cacheField name="DESCRICAO_PRODUTO" numFmtId="0">
      <sharedItems count="6">
        <s v="IPHONE 11"/>
        <s v="PENDRIVE SCANDISK CRUZER BLADE 128 GB"/>
        <s v="CAMISA FLUMINENSE 23/23"/>
        <s v="GELADEIRA FROSTFREE BRASTEMP"/>
        <s v="FOGÃO 5 BOCAS BRASTEMP"/>
        <s v="NOTEBOOK MACBOOK PRO 14 M2"/>
      </sharedItems>
    </cacheField>
    <cacheField name="CODIGO_CATEGORIA" numFmtId="0">
      <sharedItems containsSemiMixedTypes="0" containsString="0" containsNumber="1" containsInteger="1" minValue="1" maxValue="5"/>
    </cacheField>
    <cacheField name="DECRICAO_CATEGORIA" numFmtId="0">
      <sharedItems/>
    </cacheField>
    <cacheField name="CODIGO_VENDEDOR" numFmtId="0">
      <sharedItems containsSemiMixedTypes="0" containsString="0" containsNumber="1" containsInteger="1" minValue="1" maxValue="6"/>
    </cacheField>
    <cacheField name="NOME_VENDEDOR" numFmtId="0">
      <sharedItems count="7">
        <s v="JOSÉ ROBERTO"/>
        <s v="MARIA ANTONIETA"/>
        <s v="WWW"/>
        <s v="CLARICE LISPECTOR"/>
        <s v="ZEZÉ DE CAMARGO"/>
        <s v="ALEXANDRE PIRES"/>
        <e v="#N/A" u="1"/>
      </sharedItems>
    </cacheField>
    <cacheField name="CODIGO_LOJA" numFmtId="0">
      <sharedItems containsSemiMixedTypes="0" containsString="0" containsNumber="1" containsInteger="1" minValue="1" maxValue="4"/>
    </cacheField>
    <cacheField name="NOME_LOJA" numFmtId="0">
      <sharedItems count="4">
        <s v="LOJA A"/>
        <s v="E-COMMERCE"/>
        <s v="LOJA C"/>
        <s v="LOJA B"/>
      </sharedItems>
    </cacheField>
    <cacheField name="LOCALIDADE_LOJA" numFmtId="0">
      <sharedItems/>
    </cacheField>
    <cacheField name="TIPO_LOJA" numFmtId="0">
      <sharedItems/>
    </cacheField>
    <cacheField name="VALOR_UNITARIO" numFmtId="0">
      <sharedItems containsSemiMixedTypes="0" containsString="0" containsNumber="1" minValue="64.900000000000006" maxValue="16266.99"/>
    </cacheField>
    <cacheField name="QUANTIDADE" numFmtId="0">
      <sharedItems containsSemiMixedTypes="0" containsString="0" containsNumber="1" containsInteger="1" minValue="1" maxValue="10"/>
    </cacheField>
    <cacheField name="VALOR_FINAL" numFmtId="44">
      <sharedItems containsSemiMixedTypes="0" containsString="0" containsNumber="1" minValue="194.70000000000002" maxValue="32533.98" count="15">
        <n v="11159.6"/>
        <n v="649"/>
        <n v="1025.96"/>
        <n v="3989.05"/>
        <n v="1884.45"/>
        <n v="16266.99"/>
        <n v="512.98"/>
        <n v="8369.7000000000007"/>
        <n v="7978.1"/>
        <n v="256.49"/>
        <n v="194.70000000000002"/>
        <n v="32533.98"/>
        <n v="2789.9"/>
        <n v="5579.8"/>
        <n v="324.5"/>
      </sharedItems>
    </cacheField>
    <cacheField name="CODIGO_PAGAMENTO" numFmtId="0">
      <sharedItems containsSemiMixedTypes="0" containsString="0" containsNumber="1" containsInteger="1" minValue="1" maxValue="4"/>
    </cacheField>
    <cacheField name="PAGA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d v="2023-07-10T00:00:00"/>
    <n v="1"/>
    <s v="CRISTOVÃO COLOMBO"/>
    <n v="1"/>
    <x v="0"/>
    <n v="1"/>
    <s v="CELULAR"/>
    <n v="2"/>
    <x v="0"/>
    <n v="2"/>
    <x v="0"/>
    <s v="MT"/>
    <s v="FÍSICA"/>
    <n v="2789.9"/>
    <n v="4"/>
    <x v="0"/>
    <n v="2"/>
    <s v="CARTÃO DÉBITO"/>
  </r>
  <r>
    <n v="1"/>
    <d v="2023-07-10T00:00:00"/>
    <n v="1"/>
    <s v="CRISTOVÃO COLOMBO"/>
    <n v="4"/>
    <x v="1"/>
    <n v="3"/>
    <s v="ACESSÓRIO"/>
    <n v="2"/>
    <x v="0"/>
    <n v="2"/>
    <x v="0"/>
    <s v="MT"/>
    <s v="FÍSICA"/>
    <n v="64.900000000000006"/>
    <n v="10"/>
    <x v="1"/>
    <n v="2"/>
    <s v="CARTÃO DÉBITO"/>
  </r>
  <r>
    <n v="1"/>
    <d v="2023-07-10T00:00:00"/>
    <n v="1"/>
    <s v="CRISTOVÃO COLOMBO"/>
    <n v="6"/>
    <x v="2"/>
    <n v="5"/>
    <s v="VESTUÁRIO"/>
    <n v="2"/>
    <x v="0"/>
    <n v="2"/>
    <x v="0"/>
    <s v="MT"/>
    <s v="FÍSICA"/>
    <n v="256.49"/>
    <n v="4"/>
    <x v="2"/>
    <n v="2"/>
    <s v="CARTÃO DÉBITO"/>
  </r>
  <r>
    <n v="2"/>
    <d v="2023-07-10T00:00:00"/>
    <n v="4"/>
    <s v="CHICO BUARQUE DE HOLANDA"/>
    <n v="2"/>
    <x v="3"/>
    <n v="2"/>
    <s v="ELETRODOMÉSTICO"/>
    <n v="3"/>
    <x v="1"/>
    <n v="2"/>
    <x v="0"/>
    <s v="MT"/>
    <s v="FÍSICA"/>
    <n v="3989.05"/>
    <n v="1"/>
    <x v="3"/>
    <n v="4"/>
    <s v="PIX"/>
  </r>
  <r>
    <n v="2"/>
    <d v="2023-07-10T00:00:00"/>
    <n v="4"/>
    <s v="CHICO BUARQUE DE HOLANDA"/>
    <n v="3"/>
    <x v="4"/>
    <n v="2"/>
    <s v="ELETRODOMÉSTICO"/>
    <n v="3"/>
    <x v="1"/>
    <n v="2"/>
    <x v="0"/>
    <s v="MT"/>
    <s v="FÍSICA"/>
    <n v="1884.45"/>
    <n v="1"/>
    <x v="4"/>
    <n v="4"/>
    <s v="PIX"/>
  </r>
  <r>
    <n v="3"/>
    <d v="2023-07-11T00:00:00"/>
    <n v="3"/>
    <s v="MACHADO DE ASSIS"/>
    <n v="5"/>
    <x v="5"/>
    <n v="4"/>
    <s v="COMPUTADOR"/>
    <n v="1"/>
    <x v="2"/>
    <n v="1"/>
    <x v="1"/>
    <s v="WWW"/>
    <s v="VIRTUAL"/>
    <n v="16266.99"/>
    <n v="1"/>
    <x v="5"/>
    <n v="1"/>
    <s v="CARTÃO CRÉDITO"/>
  </r>
  <r>
    <n v="3"/>
    <d v="2023-07-11T00:00:00"/>
    <n v="3"/>
    <s v="MACHADO DE ASSIS"/>
    <n v="6"/>
    <x v="2"/>
    <n v="5"/>
    <s v="VESTUÁRIO"/>
    <n v="1"/>
    <x v="2"/>
    <n v="1"/>
    <x v="1"/>
    <s v="WWW"/>
    <s v="VIRTUAL"/>
    <n v="256.49"/>
    <n v="2"/>
    <x v="6"/>
    <n v="1"/>
    <s v="CARTÃO CRÉDITO"/>
  </r>
  <r>
    <n v="3"/>
    <d v="2023-07-11T00:00:00"/>
    <n v="3"/>
    <s v="MACHADO DE ASSIS"/>
    <n v="2"/>
    <x v="3"/>
    <n v="2"/>
    <s v="ELETRODOMÉSTICO"/>
    <n v="1"/>
    <x v="2"/>
    <n v="1"/>
    <x v="1"/>
    <s v="WWW"/>
    <s v="VIRTUAL"/>
    <n v="3989.05"/>
    <n v="1"/>
    <x v="3"/>
    <n v="1"/>
    <s v="CARTÃO CRÉDITO"/>
  </r>
  <r>
    <n v="4"/>
    <d v="2023-07-11T00:00:00"/>
    <n v="1"/>
    <s v="CRISTOVÃO COLOMBO"/>
    <n v="1"/>
    <x v="0"/>
    <n v="1"/>
    <s v="CELULAR"/>
    <n v="4"/>
    <x v="3"/>
    <n v="4"/>
    <x v="2"/>
    <s v="CE"/>
    <s v="FÍSICA"/>
    <n v="2789.9"/>
    <n v="3"/>
    <x v="7"/>
    <n v="2"/>
    <s v="CARTÃO DÉBITO"/>
  </r>
  <r>
    <n v="4"/>
    <d v="2023-07-11T00:00:00"/>
    <n v="1"/>
    <s v="CRISTOVÃO COLOMBO"/>
    <n v="2"/>
    <x v="3"/>
    <n v="2"/>
    <s v="ELETRODOMÉSTICO"/>
    <n v="4"/>
    <x v="3"/>
    <n v="4"/>
    <x v="2"/>
    <s v="CE"/>
    <s v="FÍSICA"/>
    <n v="3989.05"/>
    <n v="2"/>
    <x v="8"/>
    <n v="2"/>
    <s v="CARTÃO DÉBITO"/>
  </r>
  <r>
    <n v="4"/>
    <d v="2023-07-11T00:00:00"/>
    <n v="1"/>
    <s v="CRISTOVÃO COLOMBO"/>
    <n v="3"/>
    <x v="4"/>
    <n v="2"/>
    <s v="ELETRODOMÉSTICO"/>
    <n v="4"/>
    <x v="3"/>
    <n v="4"/>
    <x v="2"/>
    <s v="CE"/>
    <s v="FÍSICA"/>
    <n v="1884.45"/>
    <n v="1"/>
    <x v="4"/>
    <n v="2"/>
    <s v="CARTÃO DÉBITO"/>
  </r>
  <r>
    <n v="5"/>
    <d v="2023-07-12T00:00:00"/>
    <n v="5"/>
    <s v="MAURICIO DE SOUZA"/>
    <n v="5"/>
    <x v="5"/>
    <n v="4"/>
    <s v="COMPUTADOR"/>
    <n v="6"/>
    <x v="4"/>
    <n v="3"/>
    <x v="3"/>
    <s v="RJ"/>
    <s v="FÍSICA"/>
    <n v="16266.99"/>
    <n v="1"/>
    <x v="5"/>
    <n v="1"/>
    <s v="CARTÃO CRÉDITO"/>
  </r>
  <r>
    <n v="5"/>
    <d v="2023-07-12T00:00:00"/>
    <n v="5"/>
    <s v="MAURICIO DE SOUZA"/>
    <n v="6"/>
    <x v="2"/>
    <n v="5"/>
    <s v="VESTUÁRIO"/>
    <n v="6"/>
    <x v="4"/>
    <n v="3"/>
    <x v="3"/>
    <s v="RJ"/>
    <s v="FÍSICA"/>
    <n v="256.49"/>
    <n v="1"/>
    <x v="9"/>
    <n v="1"/>
    <s v="CARTÃO CRÉDITO"/>
  </r>
  <r>
    <n v="5"/>
    <d v="2023-07-12T00:00:00"/>
    <n v="5"/>
    <s v="MAURICIO DE SOUZA"/>
    <n v="3"/>
    <x v="4"/>
    <n v="2"/>
    <s v="ELETRODOMÉSTICO"/>
    <n v="6"/>
    <x v="4"/>
    <n v="3"/>
    <x v="3"/>
    <s v="RJ"/>
    <s v="FÍSICA"/>
    <n v="1884.45"/>
    <n v="1"/>
    <x v="4"/>
    <n v="1"/>
    <s v="CARTÃO CRÉDITO"/>
  </r>
  <r>
    <n v="6"/>
    <d v="2023-07-12T00:00:00"/>
    <n v="3"/>
    <s v="MACHADO DE ASSIS"/>
    <n v="4"/>
    <x v="1"/>
    <n v="3"/>
    <s v="ACESSÓRIO"/>
    <n v="1"/>
    <x v="2"/>
    <n v="1"/>
    <x v="1"/>
    <s v="WWW"/>
    <s v="VIRTUAL"/>
    <n v="64.900000000000006"/>
    <n v="3"/>
    <x v="10"/>
    <n v="3"/>
    <s v="BOLETO"/>
  </r>
  <r>
    <n v="6"/>
    <d v="2023-07-12T00:00:00"/>
    <n v="3"/>
    <s v="MACHADO DE ASSIS"/>
    <n v="3"/>
    <x v="4"/>
    <n v="2"/>
    <s v="ELETRODOMÉSTICO"/>
    <n v="1"/>
    <x v="2"/>
    <n v="1"/>
    <x v="1"/>
    <s v="WWW"/>
    <s v="VIRTUAL"/>
    <n v="1884.45"/>
    <n v="1"/>
    <x v="4"/>
    <n v="3"/>
    <s v="BOLETO"/>
  </r>
  <r>
    <n v="6"/>
    <d v="2023-07-12T00:00:00"/>
    <n v="3"/>
    <s v="MACHADO DE ASSIS"/>
    <n v="5"/>
    <x v="5"/>
    <n v="4"/>
    <s v="COMPUTADOR"/>
    <n v="1"/>
    <x v="2"/>
    <n v="1"/>
    <x v="1"/>
    <s v="WWW"/>
    <s v="VIRTUAL"/>
    <n v="16266.99"/>
    <n v="2"/>
    <x v="11"/>
    <n v="3"/>
    <s v="BOLETO"/>
  </r>
  <r>
    <n v="6"/>
    <d v="2023-07-12T00:00:00"/>
    <n v="3"/>
    <s v="MACHADO DE ASSIS"/>
    <n v="2"/>
    <x v="3"/>
    <n v="2"/>
    <s v="ELETRODOMÉSTICO"/>
    <n v="1"/>
    <x v="2"/>
    <n v="1"/>
    <x v="1"/>
    <s v="WWW"/>
    <s v="VIRTUAL"/>
    <n v="3989.05"/>
    <n v="1"/>
    <x v="3"/>
    <n v="3"/>
    <s v="BOLETO"/>
  </r>
  <r>
    <n v="7"/>
    <d v="2023-07-13T00:00:00"/>
    <n v="4"/>
    <s v="CHICO BUARQUE DE HOLANDA"/>
    <n v="1"/>
    <x v="0"/>
    <n v="1"/>
    <s v="CELULAR"/>
    <n v="6"/>
    <x v="4"/>
    <n v="3"/>
    <x v="3"/>
    <s v="RJ"/>
    <s v="FÍSICA"/>
    <n v="2789.9"/>
    <n v="1"/>
    <x v="12"/>
    <n v="1"/>
    <s v="CARTÃO CRÉDITO"/>
  </r>
  <r>
    <n v="7"/>
    <d v="2023-07-13T00:00:00"/>
    <n v="4"/>
    <s v="CHICO BUARQUE DE HOLANDA"/>
    <n v="2"/>
    <x v="3"/>
    <n v="2"/>
    <s v="ELETRODOMÉSTICO"/>
    <n v="6"/>
    <x v="4"/>
    <n v="3"/>
    <x v="3"/>
    <s v="RJ"/>
    <s v="FÍSICA"/>
    <n v="3989.05"/>
    <n v="1"/>
    <x v="3"/>
    <n v="1"/>
    <s v="CARTÃO CRÉDITO"/>
  </r>
  <r>
    <n v="8"/>
    <d v="2023-07-13T00:00:00"/>
    <n v="2"/>
    <s v="PEDRO ALVARES CABRAL"/>
    <n v="1"/>
    <x v="0"/>
    <n v="1"/>
    <s v="CELULAR"/>
    <n v="5"/>
    <x v="5"/>
    <n v="4"/>
    <x v="2"/>
    <s v="CE"/>
    <s v="FÍSICA"/>
    <n v="2789.9"/>
    <n v="2"/>
    <x v="13"/>
    <n v="4"/>
    <s v="PIX"/>
  </r>
  <r>
    <n v="8"/>
    <d v="2023-07-13T00:00:00"/>
    <n v="2"/>
    <s v="PEDRO ALVARES CABRAL"/>
    <n v="2"/>
    <x v="3"/>
    <n v="2"/>
    <s v="ELETRODOMÉSTICO"/>
    <n v="5"/>
    <x v="5"/>
    <n v="4"/>
    <x v="2"/>
    <s v="CE"/>
    <s v="FÍSICA"/>
    <n v="3989.05"/>
    <n v="2"/>
    <x v="8"/>
    <n v="4"/>
    <s v="PIX"/>
  </r>
  <r>
    <n v="8"/>
    <d v="2023-07-13T00:00:00"/>
    <n v="2"/>
    <s v="PEDRO ALVARES CABRAL"/>
    <n v="3"/>
    <x v="4"/>
    <n v="2"/>
    <s v="ELETRODOMÉSTICO"/>
    <n v="5"/>
    <x v="5"/>
    <n v="4"/>
    <x v="2"/>
    <s v="CE"/>
    <s v="FÍSICA"/>
    <n v="1884.45"/>
    <n v="1"/>
    <x v="4"/>
    <n v="4"/>
    <s v="PIX"/>
  </r>
  <r>
    <n v="8"/>
    <d v="2023-07-13T00:00:00"/>
    <n v="2"/>
    <s v="PEDRO ALVARES CABRAL"/>
    <n v="4"/>
    <x v="1"/>
    <n v="3"/>
    <s v="ACESSÓRIO"/>
    <n v="5"/>
    <x v="5"/>
    <n v="4"/>
    <x v="2"/>
    <s v="CE"/>
    <s v="FÍSICA"/>
    <n v="64.900000000000006"/>
    <n v="5"/>
    <x v="14"/>
    <n v="4"/>
    <s v="PI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2CE53-2E12-470C-83A2-C39A51862FCE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15:E22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5"/>
        <item x="3"/>
        <item x="0"/>
        <item x="1"/>
        <item x="2"/>
        <item x="4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9"/>
  </rowFields>
  <rowItems count="7">
    <i>
      <x v="4"/>
    </i>
    <i>
      <x v="5"/>
    </i>
    <i>
      <x v="1"/>
    </i>
    <i>
      <x/>
    </i>
    <i>
      <x v="2"/>
    </i>
    <i>
      <x v="3"/>
    </i>
    <i t="grand">
      <x/>
    </i>
  </rowItems>
  <colItems count="1">
    <i/>
  </colItems>
  <dataFields count="1">
    <dataField name="Soma de VALOR_FINAL" fld="16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3411-F8D4-4F87-A8C1-2F7E7616EB2D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5:B22" firstHeaderRow="1" firstDataRow="1" firstDataCol="1"/>
  <pivotFields count="19">
    <pivotField showAll="0"/>
    <pivotField numFmtId="164" showAll="0"/>
    <pivotField showAll="0"/>
    <pivotField showAll="0"/>
    <pivotField showAll="0"/>
    <pivotField axis="axisRow" showAll="0" sortType="descending">
      <items count="7">
        <item x="2"/>
        <item x="4"/>
        <item x="3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5"/>
  </rowFields>
  <rowItems count="7">
    <i>
      <x v="4"/>
    </i>
    <i>
      <x v="2"/>
    </i>
    <i>
      <x v="3"/>
    </i>
    <i>
      <x v="1"/>
    </i>
    <i>
      <x/>
    </i>
    <i>
      <x v="5"/>
    </i>
    <i t="grand">
      <x/>
    </i>
  </rowItems>
  <colItems count="1">
    <i/>
  </colItems>
  <dataFields count="1">
    <dataField name="Soma de VALOR_FINAL" fld="16" baseField="0" baseItem="0" numFmtId="165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7964-A422-48D4-BAE8-266DDBD2B720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11" firstHeaderRow="1" firstDataRow="2" firstDataCol="1"/>
  <pivotFields count="19">
    <pivotField showAll="0"/>
    <pivotField numFmtId="164" showAll="0"/>
    <pivotField showAll="0"/>
    <pivotField showAll="0"/>
    <pivotField showAll="0"/>
    <pivotField axis="axisRow" showAll="0" sortType="descending">
      <items count="7">
        <item x="2"/>
        <item x="4"/>
        <item x="3"/>
        <item x="0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8">
        <item x="3"/>
        <item x="0"/>
        <item x="1"/>
        <item x="2"/>
        <item m="1" x="6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5"/>
  </rowFields>
  <rowItems count="7">
    <i>
      <x v="4"/>
    </i>
    <i>
      <x v="2"/>
    </i>
    <i>
      <x v="3"/>
    </i>
    <i>
      <x v="1"/>
    </i>
    <i>
      <x/>
    </i>
    <i>
      <x v="5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oma de VALOR_FINAL" fld="16" baseField="0" baseItem="0" numFmtId="165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EA266-EFA1-4900-9B70-DA5071769A64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3:B48" firstHeaderRow="1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FINAL" fld="16" baseField="0" baseItem="0" numFmtId="165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65120-3FDA-418C-89F3-C9494F8865DA}" name="Tabela1" displayName="Tabela1" ref="B2:I10" totalsRowShown="0" headerRowDxfId="124" headerRowBorderDxfId="123" tableBorderDxfId="122" totalsRowBorderDxfId="121">
  <autoFilter ref="B2:I10" xr:uid="{59465120-3FDA-418C-89F3-C9494F8865DA}"/>
  <tableColumns count="8">
    <tableColumn id="1" xr3:uid="{47D6BA99-9AF3-4239-AB95-E36F0D3DD73F}" name="CODIGO_VENDA" dataDxfId="120"/>
    <tableColumn id="2" xr3:uid="{0DF872F5-CA53-4EAD-95AC-DD3BC1296AF0}" name="DATA_VENDA" dataDxfId="119"/>
    <tableColumn id="3" xr3:uid="{F23A8514-7109-4942-91F2-92F74232E74F}" name="CODIGO_CLIENTE" dataDxfId="118"/>
    <tableColumn id="4" xr3:uid="{7847F0F2-D2C1-4B52-A394-163B79CBDD3C}" name="CODIGO_VENDEDOR" dataDxfId="117"/>
    <tableColumn id="5" xr3:uid="{35EB237F-9821-49BC-AE62-CC162B2DDAB6}" name="CODIGO_LOJA" dataDxfId="116"/>
    <tableColumn id="6" xr3:uid="{08614E36-097C-468B-9E1D-65B710047E63}" name="VALOR_FINAL" dataDxfId="115" dataCellStyle="Moeda">
      <calculatedColumnFormula>SUMIF(K$2:K$26,B3,O$2:O$26)</calculatedColumnFormula>
    </tableColumn>
    <tableColumn id="7" xr3:uid="{A874A735-D464-45E2-8E78-AEAC4F746585}" name="FORMA_PAGAMENTO" dataDxfId="114"/>
    <tableColumn id="8" xr3:uid="{5C7ED61A-CCB6-448A-9B31-2C910F5CF49C}" name="TIPO_PAGAMENTO" dataDxfId="113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FF5D61-E23F-40E7-BAA1-F63AD6D04C83}" name="Tabela113" displayName="Tabela113" ref="A47:H55" totalsRowShown="0" headerRowDxfId="43" headerRowBorderDxfId="42" tableBorderDxfId="41" totalsRowBorderDxfId="40">
  <autoFilter ref="A47:H55" xr:uid="{E7FF5D61-E23F-40E7-BAA1-F63AD6D04C83}"/>
  <tableColumns count="8">
    <tableColumn id="1" xr3:uid="{AC46848A-7181-4CA5-AB7B-EEDCCBF39DF0}" name="CODIGO_VENDA" dataDxfId="39"/>
    <tableColumn id="2" xr3:uid="{CC86BAB1-1025-49CD-B35F-F31288011ED8}" name="DATA_VENDA" dataDxfId="38"/>
    <tableColumn id="3" xr3:uid="{3A154653-B76B-42D8-B3FC-D4F70123DC14}" name="CODIGO_CLIENTE" dataDxfId="37"/>
    <tableColumn id="4" xr3:uid="{DFFED7C0-2FE9-4D67-9FF5-E43D70025E7C}" name="CODIGO_VENDEDOR" dataDxfId="36"/>
    <tableColumn id="5" xr3:uid="{F6CE7C2B-48A8-4289-AA79-40C145478EAF}" name="CODIGO_LOJA" dataDxfId="35"/>
    <tableColumn id="6" xr3:uid="{715C1DCF-4FE6-47E2-B506-300544BE5DD3}" name="VALOR_FINAL" dataDxfId="34">
      <calculatedColumnFormula>SUMIF(A57:A81,A48,E57:E81)</calculatedColumnFormula>
    </tableColumn>
    <tableColumn id="7" xr3:uid="{DC7909CE-69A0-4710-9932-746483878902}" name="FORMA_PAGAMENTO" dataDxfId="33"/>
    <tableColumn id="8" xr3:uid="{6B0290C4-D75B-4113-B50F-606C51B1C5BB}" name="TIPO_PAGAMENTO" dataDxfId="3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F510E-DB7E-4229-B305-7AC34AC69AFE}" name="Tabela214" displayName="Tabela214" ref="A15:C21" totalsRowShown="0" headerRowBorderDxfId="31" tableBorderDxfId="30" totalsRowBorderDxfId="29">
  <autoFilter ref="A15:C21" xr:uid="{836F510E-DB7E-4229-B305-7AC34AC69AFE}"/>
  <tableColumns count="3">
    <tableColumn id="1" xr3:uid="{0206CBB0-3DDA-48A0-91CC-E9379BC7DC05}" name="CODIGO_PRODUTO" dataDxfId="28"/>
    <tableColumn id="2" xr3:uid="{D02E111E-6AEF-41D8-8C47-009CB93F24E3}" name="DESCRICAO_PRODUTO" dataDxfId="27"/>
    <tableColumn id="3" xr3:uid="{F5EC65CA-B5F0-4DA2-B10B-CD8332311534}" name="CODIGO_CATEGORIA" dataDxfId="26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47CA54-6D1F-4A7B-BF0E-D673DDFA0E77}" name="Tabela415" displayName="Tabela415" ref="A8:B13" totalsRowShown="0" headerRowDxfId="25" headerRowBorderDxfId="24" tableBorderDxfId="23" totalsRowBorderDxfId="22">
  <autoFilter ref="A8:B13" xr:uid="{0D47CA54-6D1F-4A7B-BF0E-D673DDFA0E77}"/>
  <tableColumns count="2">
    <tableColumn id="1" xr3:uid="{F709E29C-7CAE-41AA-A378-141E0ECA6C05}" name="CODIGO_CATEGORIA" dataDxfId="21"/>
    <tableColumn id="2" xr3:uid="{F97CF41E-EC76-49B3-B2CE-9583F95FC203}" name="DECRICAO_CATEGORIA" dataDxfId="20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28CC78-22DE-487F-86F9-0BFD423A355B}" name="Tabela516" displayName="Tabela516" ref="A24:B29" totalsRowShown="0" headerRowDxfId="19" headerRowBorderDxfId="18" tableBorderDxfId="17" totalsRowBorderDxfId="16">
  <autoFilter ref="A24:B29" xr:uid="{0128CC78-22DE-487F-86F9-0BFD423A355B}"/>
  <tableColumns count="2">
    <tableColumn id="1" xr3:uid="{CF3EDE8F-4C59-43B4-9782-1538F0C56A0C}" name="CODIGO_CLIENTE" dataDxfId="15"/>
    <tableColumn id="2" xr3:uid="{7AE595F1-09A6-4F33-9E1E-9C5B332A6CAA}" name="NOME_CLIENTE" dataDxfId="14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D673C7-1378-439C-8E7E-D3CE1D97DBF9}" name="Tabela617" displayName="Tabela617" ref="A32:B38" totalsRowShown="0" headerRowDxfId="13" headerRowBorderDxfId="12" tableBorderDxfId="11" totalsRowBorderDxfId="10">
  <autoFilter ref="A32:B38" xr:uid="{25D673C7-1378-439C-8E7E-D3CE1D97DBF9}"/>
  <tableColumns count="2">
    <tableColumn id="1" xr3:uid="{41100028-9243-4698-B5BA-93C996081636}" name="CODIGO_VENDEDOR" dataDxfId="9"/>
    <tableColumn id="2" xr3:uid="{BFD43631-D7E1-4B87-A9D2-895194F692CE}" name="NOME_VENDEDOR" dataDxfId="8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196391-1A7A-437C-ABFF-7BD228997649}" name="Tabela718" displayName="Tabela718" ref="A41:D45" totalsRowShown="0" headerRowDxfId="7" headerRowBorderDxfId="6" tableBorderDxfId="5" totalsRowBorderDxfId="4">
  <autoFilter ref="A41:D45" xr:uid="{39196391-1A7A-437C-ABFF-7BD228997649}"/>
  <tableColumns count="4">
    <tableColumn id="1" xr3:uid="{9E48CB45-26C0-4259-A052-B61ED5B6D60E}" name="CODIGO_LOJA" dataDxfId="3"/>
    <tableColumn id="2" xr3:uid="{43137AE0-7FD9-4506-9753-8DC93BF90175}" name="NOME_LOJA" dataDxfId="2"/>
    <tableColumn id="3" xr3:uid="{20FBBE74-E93D-4D3B-BB0A-180F112FE6E5}" name="LOCALIDADE_LOJA" dataDxfId="1"/>
    <tableColumn id="4" xr3:uid="{B98F847F-7B97-4D8A-BD0E-25C2D2988720}" name="TIPO_LOJA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A94A7-3462-4C5F-A7E2-3BE1BFA7468C}" name="Tabela2" displayName="Tabela2" ref="B13:D19" totalsRowShown="0" headerRowBorderDxfId="112" tableBorderDxfId="111" totalsRowBorderDxfId="110">
  <autoFilter ref="B13:D19" xr:uid="{92FA94A7-3462-4C5F-A7E2-3BE1BFA7468C}"/>
  <tableColumns count="3">
    <tableColumn id="1" xr3:uid="{3D74CC16-7F22-469F-95D8-117CC67638B2}" name="CODIGO_PRODUTO" dataDxfId="109"/>
    <tableColumn id="2" xr3:uid="{FA56E262-BD44-48E6-A1D1-F00B5E2C554C}" name="DESCRICAO_PRODUTO" dataDxfId="108"/>
    <tableColumn id="3" xr3:uid="{80FD5723-7408-40CB-92BC-7017717A47FB}" name="CODIGO_CATEGORIA" dataDxfId="10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4D348-56D3-4E54-B82F-0C8EBD73D64F}" name="Tabela4" displayName="Tabela4" ref="B22:C27" totalsRowShown="0" headerRowDxfId="106" headerRowBorderDxfId="105" tableBorderDxfId="104" totalsRowBorderDxfId="103">
  <autoFilter ref="B22:C27" xr:uid="{6094D348-56D3-4E54-B82F-0C8EBD73D64F}"/>
  <tableColumns count="2">
    <tableColumn id="1" xr3:uid="{328368CB-A030-4F3C-94CD-9D6D0305B5CF}" name="CODIGO_CATEGORIA" dataDxfId="102"/>
    <tableColumn id="2" xr3:uid="{AABE4656-8A67-46C3-89D1-923C68FB9674}" name="DECRICAO_CATEGORIA" dataDxfId="101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F3883C-5225-47CF-9408-44AD88333F6B}" name="Tabela5" displayName="Tabela5" ref="Q2:R7" totalsRowShown="0" headerRowDxfId="100" headerRowBorderDxfId="99" tableBorderDxfId="98" totalsRowBorderDxfId="97">
  <autoFilter ref="Q2:R7" xr:uid="{8FF3883C-5225-47CF-9408-44AD88333F6B}"/>
  <tableColumns count="2">
    <tableColumn id="1" xr3:uid="{19DC9C3F-451E-4DB3-A516-3BF31C35424A}" name="CODIGO_CLIENTE" dataDxfId="96"/>
    <tableColumn id="2" xr3:uid="{6FE099A2-D19E-4265-80CB-96A3E4DBBF9D}" name="NOME_CLIENTE" dataDxfId="95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8D76BC-3E07-4BCF-8FF4-B974B66BFB5A}" name="Tabela6" displayName="Tabela6" ref="Q10:R16" totalsRowShown="0" headerRowDxfId="94" headerRowBorderDxfId="93" tableBorderDxfId="92" totalsRowBorderDxfId="91">
  <autoFilter ref="Q10:R16" xr:uid="{368D76BC-3E07-4BCF-8FF4-B974B66BFB5A}"/>
  <tableColumns count="2">
    <tableColumn id="1" xr3:uid="{C8E251DA-652C-46D8-8D6B-D34F0210707C}" name="CODIGO_VENDEDOR" dataDxfId="90"/>
    <tableColumn id="2" xr3:uid="{FE04067F-1ECC-41D3-828D-0C313553F8CB}" name="NOME_VENDEDOR" dataDxfId="89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6826BF-F740-4AAF-BFC0-D7F29F1EB369}" name="Tabela7" displayName="Tabela7" ref="T2:W6" totalsRowShown="0" headerRowDxfId="88" headerRowBorderDxfId="87" tableBorderDxfId="86" totalsRowBorderDxfId="85">
  <autoFilter ref="T2:W6" xr:uid="{666826BF-F740-4AAF-BFC0-D7F29F1EB369}"/>
  <tableColumns count="4">
    <tableColumn id="1" xr3:uid="{06C90D77-CB13-4155-8AFE-A377012F4BC1}" name="CODIGO_LOJA" dataDxfId="84"/>
    <tableColumn id="2" xr3:uid="{5FCF5D24-543F-49B3-B3E0-2AC5909AFC83}" name="NOME_LOJA" dataDxfId="83"/>
    <tableColumn id="3" xr3:uid="{2400DC46-063A-4B93-81F5-56BD1F935A0A}" name="LOCALIDADE_LOJA" dataDxfId="82"/>
    <tableColumn id="4" xr3:uid="{FF32A834-1039-442B-89A4-15A2B24928D6}" name="TIPO_LOJA" dataDxfId="81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9DD80D-8C68-4D60-A1FA-7B64A6DD2A5F}" name="Tabela10" displayName="Tabela10" ref="B30:C34" totalsRowShown="0" headerRowDxfId="80" headerRowBorderDxfId="79" tableBorderDxfId="78" totalsRowBorderDxfId="77">
  <autoFilter ref="B30:C34" xr:uid="{4B9DD80D-8C68-4D60-A1FA-7B64A6DD2A5F}"/>
  <tableColumns count="2">
    <tableColumn id="1" xr3:uid="{5923989E-5463-424A-82B2-86396DBB8FA7}" name="CODIGO_FORMA_PAGAMENTO" dataDxfId="76"/>
    <tableColumn id="2" xr3:uid="{B96841D2-1039-4DB3-A64D-6FA4AFB63518}" name="DESCRICAO_FORMA_PAGAMENTO" dataDxfId="75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8B479D-9509-4F37-B8C5-AB4879197ACF}" name="Tabela8" displayName="Tabela8" ref="B2:T26" totalsRowShown="0" headerRowDxfId="74" dataDxfId="72" headerRowBorderDxfId="73" tableBorderDxfId="71" totalsRowBorderDxfId="70">
  <tableColumns count="19">
    <tableColumn id="1" xr3:uid="{0FB5815C-A330-45E2-8056-793B57E7DC07}" name="CODIGO_VENDA" dataDxfId="69"/>
    <tableColumn id="2" xr3:uid="{82FE7178-30BA-4958-8F5D-A42AC3CEB51E}" name="DATA_VENDA" dataDxfId="68">
      <calculatedColumnFormula>VLOOKUP(B3,DADOS_VENDA!B$2:G$10,2,0)</calculatedColumnFormula>
    </tableColumn>
    <tableColumn id="3" xr3:uid="{0E5889D6-6BDD-4692-94BE-BA42530D92AA}" name="CODIGO_CLIENTE" dataDxfId="67">
      <calculatedColumnFormula>VLOOKUP(Tabela8[[#This Row],[CODIGO_VENDA]],Tabela1[[#All],[CODIGO_VENDA]:[CODIGO_CLIENTE]],3,0)</calculatedColumnFormula>
    </tableColumn>
    <tableColumn id="4" xr3:uid="{FB6D062F-D7D1-4F44-958A-BFB8E0428C66}" name="NOME_CLIENTE" dataDxfId="66">
      <calculatedColumnFormula>VLOOKUP(D3,DADOS_VENDA!Q$2:R$7,2,0)</calculatedColumnFormula>
    </tableColumn>
    <tableColumn id="5" xr3:uid="{0395B6FE-3DF8-46FE-BC11-1A0B1F0E14C2}" name="CODIGO_PRODUTO" dataDxfId="65"/>
    <tableColumn id="6" xr3:uid="{0A13CFE8-5613-4A0A-9F40-498282920862}" name="DESCRICAO_PRODUTO" dataDxfId="64">
      <calculatedColumnFormula>VLOOKUP(F3,DADOS_VENDA!B$13:D$19,2,0)</calculatedColumnFormula>
    </tableColumn>
    <tableColumn id="7" xr3:uid="{4BE960F3-9338-4AA0-AC17-947077F5FA25}" name="CODIGO_CATEGORIA" dataDxfId="63">
      <calculatedColumnFormula>VLOOKUP(F3,DADOS_VENDA!B$13:D$19,3,0)</calculatedColumnFormula>
    </tableColumn>
    <tableColumn id="8" xr3:uid="{930FFF9C-0DAE-4847-BDF0-71FF7978903E}" name="DECRICAO_CATEGORIA" dataDxfId="62">
      <calculatedColumnFormula>VLOOKUP(H3,DADOS_VENDA!B$22:C$27,2,0)</calculatedColumnFormula>
    </tableColumn>
    <tableColumn id="9" xr3:uid="{485C70DC-C788-40B3-933C-55BB05E5B64C}" name="CODIGO_VENDEDOR" dataDxfId="61">
      <calculatedColumnFormula>VLOOKUP(Tabela8[[#This Row],[CODIGO_VENDA]],DADOS_VENDA!B$2:E$11,4,0)</calculatedColumnFormula>
    </tableColumn>
    <tableColumn id="10" xr3:uid="{FB884F2A-0DAC-45A2-A4F1-B93651A00520}" name="NOME_VENDEDOR" dataDxfId="60">
      <calculatedColumnFormula>VLOOKUP(J3,DADOS_VENDA!Q$10:R$16,2,0)</calculatedColumnFormula>
    </tableColumn>
    <tableColumn id="11" xr3:uid="{9CBA2194-489C-441B-AB3B-67C5EB82AA58}" name="CODIGO_LOJA" dataDxfId="59">
      <calculatedColumnFormula>VLOOKUP(B3,DADOS_VENDA!B$2:G$10,5,0)</calculatedColumnFormula>
    </tableColumn>
    <tableColumn id="12" xr3:uid="{AE2C55BB-1E69-4A42-AD21-5D2DE215F6C0}" name="NOME_LOJA" dataDxfId="58">
      <calculatedColumnFormula>VLOOKUP(Tabela8[[#This Row],[CODIGO_LOJA]],Tabela7[#All],2,0)</calculatedColumnFormula>
    </tableColumn>
    <tableColumn id="13" xr3:uid="{3E8C2C0B-49D2-495C-AD38-8A627D5FA330}" name="LOCALIDADE_LOJA" dataDxfId="57">
      <calculatedColumnFormula>VLOOKUP(L3,DADOS_VENDA!T$2:V$6,3,0)</calculatedColumnFormula>
    </tableColumn>
    <tableColumn id="17" xr3:uid="{5FF904BD-2388-44B8-B65D-490FC00EF020}" name="TIPO_LOJA" dataDxfId="56">
      <calculatedColumnFormula>VLOOKUP(Tabela8[[#This Row],[NOME_LOJA]],Tabela7[[#All],[NOME_LOJA]:[TIPO_LOJA]],3,0)</calculatedColumnFormula>
    </tableColumn>
    <tableColumn id="14" xr3:uid="{0F8B90BD-3BCC-4BA7-B50E-69BCDC91DA18}" name="VALOR_UNITARIO" dataDxfId="55" dataCellStyle="Moeda"/>
    <tableColumn id="15" xr3:uid="{99D7A1B6-44A1-4FAA-86C0-4D65CB88CD6C}" name="QUANTIDADE" dataDxfId="54"/>
    <tableColumn id="16" xr3:uid="{F63B2FF4-DBEB-4D08-BC2C-475554321570}" name="VALOR_FINAL" dataDxfId="53" dataCellStyle="Moeda">
      <calculatedColumnFormula>P3*Q3</calculatedColumnFormula>
    </tableColumn>
    <tableColumn id="18" xr3:uid="{C7194DFC-BE54-48D7-9508-663FDDCDD7E6}" name="CODIGO_PAGAMENTO" dataDxfId="52">
      <calculatedColumnFormula>VLOOKUP(Tabela8[[#This Row],[CODIGO_VENDA]],Tabela1[#All],7,0)</calculatedColumnFormula>
    </tableColumn>
    <tableColumn id="19" xr3:uid="{2A83598E-B56E-4268-9ACD-873E9A74F9B9}" name="PAGAMENTO" dataDxfId="51">
      <calculatedColumnFormula>VLOOKUP(Tabela8[[#This Row],[CODIGO_PAGAMENTO]],Tabela10[#All],2,0)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0A019D-FA05-452F-8A05-8E7481767AFA}" name="Tabela1012" displayName="Tabela1012" ref="A2:B6" totalsRowShown="0" headerRowDxfId="49" headerRowBorderDxfId="48" tableBorderDxfId="47" totalsRowBorderDxfId="46">
  <autoFilter ref="A2:B6" xr:uid="{C00A019D-FA05-452F-8A05-8E7481767AFA}"/>
  <tableColumns count="2">
    <tableColumn id="1" xr3:uid="{CB2D3846-7395-43C7-BF8C-E7A8FA6094EE}" name="CODIGO_FORMA_PAGAMENTO" dataDxfId="45"/>
    <tableColumn id="2" xr3:uid="{0A349937-91DB-4859-BDDE-A76FD997C8E8}" name="DESCRICAO_FORMA_PAGAMENTO" dataDxfId="4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BCC1-EDBE-4FD5-BFB4-A46063A2ED44}">
  <dimension ref="B2:W34"/>
  <sheetViews>
    <sheetView showGridLines="0" topLeftCell="H1" zoomScale="85" zoomScaleNormal="85" workbookViewId="0">
      <selection activeCell="K36" sqref="K36"/>
    </sheetView>
  </sheetViews>
  <sheetFormatPr defaultRowHeight="14.4" x14ac:dyDescent="0.3"/>
  <cols>
    <col min="2" max="2" width="30" bestFit="1" customWidth="1"/>
    <col min="3" max="3" width="37.5546875" bestFit="1" customWidth="1"/>
    <col min="4" max="4" width="21" bestFit="1" customWidth="1"/>
    <col min="5" max="5" width="21.21875" bestFit="1" customWidth="1"/>
    <col min="6" max="6" width="15.21875" customWidth="1"/>
    <col min="7" max="7" width="22" bestFit="1" customWidth="1"/>
    <col min="8" max="8" width="22.109375" bestFit="1" customWidth="1"/>
    <col min="9" max="9" width="19.6640625" customWidth="1"/>
    <col min="10" max="10" width="3.6640625" customWidth="1"/>
    <col min="11" max="11" width="14.88671875" bestFit="1" customWidth="1"/>
    <col min="12" max="12" width="17.44140625" bestFit="1" customWidth="1"/>
    <col min="13" max="13" width="16.33203125" bestFit="1" customWidth="1"/>
    <col min="14" max="14" width="12.44140625" bestFit="1" customWidth="1"/>
    <col min="15" max="15" width="13.33203125" bestFit="1" customWidth="1"/>
    <col min="17" max="17" width="20.6640625" bestFit="1" customWidth="1"/>
    <col min="18" max="18" width="26.88671875" bestFit="1" customWidth="1"/>
    <col min="20" max="20" width="15.109375" bestFit="1" customWidth="1"/>
    <col min="21" max="21" width="16.6640625" bestFit="1" customWidth="1"/>
    <col min="22" max="22" width="19.109375" bestFit="1" customWidth="1"/>
    <col min="23" max="23" width="12.33203125" bestFit="1" customWidth="1"/>
  </cols>
  <sheetData>
    <row r="2" spans="2:23" x14ac:dyDescent="0.3">
      <c r="B2" s="5" t="s">
        <v>0</v>
      </c>
      <c r="C2" s="6" t="s">
        <v>43</v>
      </c>
      <c r="D2" s="11" t="s">
        <v>2</v>
      </c>
      <c r="E2" s="6" t="s">
        <v>36</v>
      </c>
      <c r="F2" s="6" t="s">
        <v>7</v>
      </c>
      <c r="G2" s="6" t="s">
        <v>5</v>
      </c>
      <c r="H2" s="18" t="s">
        <v>51</v>
      </c>
      <c r="I2" s="18" t="s">
        <v>52</v>
      </c>
      <c r="K2" s="11" t="s">
        <v>0</v>
      </c>
      <c r="L2" s="11" t="s">
        <v>1</v>
      </c>
      <c r="M2" s="11" t="s">
        <v>3</v>
      </c>
      <c r="N2" s="11" t="s">
        <v>4</v>
      </c>
      <c r="O2" s="11" t="s">
        <v>5</v>
      </c>
      <c r="Q2" s="5" t="s">
        <v>2</v>
      </c>
      <c r="R2" s="7" t="s">
        <v>6</v>
      </c>
      <c r="T2" s="5" t="s">
        <v>7</v>
      </c>
      <c r="U2" s="6" t="s">
        <v>72</v>
      </c>
      <c r="V2" s="6" t="s">
        <v>28</v>
      </c>
      <c r="W2" s="7" t="s">
        <v>48</v>
      </c>
    </row>
    <row r="3" spans="2:23" x14ac:dyDescent="0.3">
      <c r="B3" s="3">
        <v>1</v>
      </c>
      <c r="C3" s="14">
        <v>45117</v>
      </c>
      <c r="D3" s="6">
        <v>1</v>
      </c>
      <c r="E3" s="6">
        <v>2</v>
      </c>
      <c r="F3" s="6">
        <v>2</v>
      </c>
      <c r="G3" s="24">
        <f t="shared" ref="G3:G10" si="0">SUMIF(K$2:K$26,B3,O$2:O$26)</f>
        <v>12834.560000000001</v>
      </c>
      <c r="H3" s="6">
        <v>2</v>
      </c>
      <c r="I3" s="6" t="s">
        <v>59</v>
      </c>
      <c r="K3" s="12">
        <v>1</v>
      </c>
      <c r="L3" s="12">
        <v>1</v>
      </c>
      <c r="M3" s="27">
        <v>2789.9</v>
      </c>
      <c r="N3" s="12">
        <v>4</v>
      </c>
      <c r="O3" s="27">
        <f>M3*N3</f>
        <v>11159.6</v>
      </c>
      <c r="Q3" s="3">
        <v>1</v>
      </c>
      <c r="R3" s="4" t="s">
        <v>13</v>
      </c>
      <c r="T3" s="3">
        <v>1</v>
      </c>
      <c r="U3" s="2" t="s">
        <v>8</v>
      </c>
      <c r="V3" s="2" t="s">
        <v>29</v>
      </c>
      <c r="W3" s="4" t="s">
        <v>49</v>
      </c>
    </row>
    <row r="4" spans="2:23" x14ac:dyDescent="0.3">
      <c r="B4" s="3">
        <v>2</v>
      </c>
      <c r="C4" s="14">
        <v>45117</v>
      </c>
      <c r="D4" s="2">
        <v>4</v>
      </c>
      <c r="E4" s="2">
        <v>3</v>
      </c>
      <c r="F4" s="2">
        <v>2</v>
      </c>
      <c r="G4" s="25">
        <f t="shared" si="0"/>
        <v>5873.5</v>
      </c>
      <c r="H4" s="2">
        <v>4</v>
      </c>
      <c r="I4" s="2" t="s">
        <v>59</v>
      </c>
      <c r="K4" s="12">
        <v>1</v>
      </c>
      <c r="L4" s="12">
        <v>4</v>
      </c>
      <c r="M4" s="27">
        <v>64.900000000000006</v>
      </c>
      <c r="N4" s="12">
        <v>10</v>
      </c>
      <c r="O4" s="27">
        <f t="shared" ref="O4:O26" si="1">M4*N4</f>
        <v>649</v>
      </c>
      <c r="Q4" s="3">
        <v>2</v>
      </c>
      <c r="R4" s="4" t="s">
        <v>12</v>
      </c>
      <c r="T4" s="3">
        <v>2</v>
      </c>
      <c r="U4" s="2" t="s">
        <v>9</v>
      </c>
      <c r="V4" s="2" t="s">
        <v>30</v>
      </c>
      <c r="W4" s="4" t="s">
        <v>50</v>
      </c>
    </row>
    <row r="5" spans="2:23" x14ac:dyDescent="0.3">
      <c r="B5" s="3">
        <v>3</v>
      </c>
      <c r="C5" s="14">
        <v>45118</v>
      </c>
      <c r="D5" s="2">
        <v>3</v>
      </c>
      <c r="E5" s="2">
        <v>1</v>
      </c>
      <c r="F5" s="2">
        <v>1</v>
      </c>
      <c r="G5" s="25">
        <f t="shared" si="0"/>
        <v>20769.02</v>
      </c>
      <c r="H5" s="2">
        <v>1</v>
      </c>
      <c r="I5" s="2" t="s">
        <v>60</v>
      </c>
      <c r="K5" s="12">
        <v>1</v>
      </c>
      <c r="L5" s="12">
        <v>6</v>
      </c>
      <c r="M5" s="27">
        <v>256.49</v>
      </c>
      <c r="N5" s="12">
        <v>4</v>
      </c>
      <c r="O5" s="27">
        <f t="shared" si="1"/>
        <v>1025.96</v>
      </c>
      <c r="Q5" s="3">
        <v>3</v>
      </c>
      <c r="R5" s="4" t="s">
        <v>14</v>
      </c>
      <c r="T5" s="3">
        <v>3</v>
      </c>
      <c r="U5" s="2" t="s">
        <v>10</v>
      </c>
      <c r="V5" s="2" t="s">
        <v>31</v>
      </c>
      <c r="W5" s="4" t="s">
        <v>50</v>
      </c>
    </row>
    <row r="6" spans="2:23" x14ac:dyDescent="0.3">
      <c r="B6" s="3">
        <v>4</v>
      </c>
      <c r="C6" s="14">
        <v>45118</v>
      </c>
      <c r="D6" s="2">
        <v>1</v>
      </c>
      <c r="E6" s="2">
        <v>4</v>
      </c>
      <c r="F6" s="2">
        <v>4</v>
      </c>
      <c r="G6" s="25">
        <f t="shared" si="0"/>
        <v>18232.25</v>
      </c>
      <c r="H6" s="2">
        <v>2</v>
      </c>
      <c r="I6" s="2" t="s">
        <v>59</v>
      </c>
      <c r="K6" s="13">
        <v>2</v>
      </c>
      <c r="L6" s="13">
        <v>2</v>
      </c>
      <c r="M6" s="28">
        <v>3989.05</v>
      </c>
      <c r="N6" s="13">
        <v>1</v>
      </c>
      <c r="O6" s="28">
        <f t="shared" si="1"/>
        <v>3989.05</v>
      </c>
      <c r="Q6" s="3">
        <v>4</v>
      </c>
      <c r="R6" s="4" t="s">
        <v>15</v>
      </c>
      <c r="T6" s="8">
        <v>4</v>
      </c>
      <c r="U6" s="9" t="s">
        <v>11</v>
      </c>
      <c r="V6" s="9" t="s">
        <v>32</v>
      </c>
      <c r="W6" s="10" t="s">
        <v>50</v>
      </c>
    </row>
    <row r="7" spans="2:23" x14ac:dyDescent="0.3">
      <c r="B7" s="3">
        <v>5</v>
      </c>
      <c r="C7" s="14">
        <v>45119</v>
      </c>
      <c r="D7" s="2">
        <v>5</v>
      </c>
      <c r="E7" s="2">
        <v>6</v>
      </c>
      <c r="F7" s="2">
        <v>3</v>
      </c>
      <c r="G7" s="25">
        <f t="shared" si="0"/>
        <v>18407.93</v>
      </c>
      <c r="H7" s="2">
        <v>1</v>
      </c>
      <c r="I7" s="2" t="s">
        <v>60</v>
      </c>
      <c r="K7" s="13">
        <v>2</v>
      </c>
      <c r="L7" s="13">
        <v>3</v>
      </c>
      <c r="M7" s="28">
        <v>1884.45</v>
      </c>
      <c r="N7" s="13">
        <v>1</v>
      </c>
      <c r="O7" s="28">
        <f t="shared" si="1"/>
        <v>1884.45</v>
      </c>
      <c r="Q7" s="8">
        <v>5</v>
      </c>
      <c r="R7" s="10" t="s">
        <v>16</v>
      </c>
    </row>
    <row r="8" spans="2:23" x14ac:dyDescent="0.3">
      <c r="B8" s="3">
        <v>6</v>
      </c>
      <c r="C8" s="14">
        <v>45119</v>
      </c>
      <c r="D8" s="2">
        <v>3</v>
      </c>
      <c r="E8" s="2">
        <v>1</v>
      </c>
      <c r="F8" s="2">
        <v>1</v>
      </c>
      <c r="G8" s="25">
        <f t="shared" si="0"/>
        <v>38602.18</v>
      </c>
      <c r="H8" s="2">
        <v>3</v>
      </c>
      <c r="I8" s="2" t="s">
        <v>59</v>
      </c>
      <c r="K8" s="12">
        <v>3</v>
      </c>
      <c r="L8" s="12">
        <v>5</v>
      </c>
      <c r="M8" s="27">
        <v>16266.99</v>
      </c>
      <c r="N8" s="12">
        <v>1</v>
      </c>
      <c r="O8" s="27">
        <f t="shared" si="1"/>
        <v>16266.99</v>
      </c>
    </row>
    <row r="9" spans="2:23" x14ac:dyDescent="0.3">
      <c r="B9" s="3">
        <v>7</v>
      </c>
      <c r="C9" s="14">
        <v>45120</v>
      </c>
      <c r="D9" s="2">
        <v>4</v>
      </c>
      <c r="E9" s="2">
        <v>6</v>
      </c>
      <c r="F9" s="2">
        <v>3</v>
      </c>
      <c r="G9" s="25">
        <f t="shared" si="0"/>
        <v>6778.9500000000007</v>
      </c>
      <c r="H9" s="2">
        <v>1</v>
      </c>
      <c r="I9" s="2" t="s">
        <v>60</v>
      </c>
      <c r="K9" s="12">
        <v>3</v>
      </c>
      <c r="L9" s="12">
        <v>6</v>
      </c>
      <c r="M9" s="27">
        <v>256.49</v>
      </c>
      <c r="N9" s="12">
        <v>2</v>
      </c>
      <c r="O9" s="27">
        <f t="shared" si="1"/>
        <v>512.98</v>
      </c>
    </row>
    <row r="10" spans="2:23" x14ac:dyDescent="0.3">
      <c r="B10" s="8">
        <v>8</v>
      </c>
      <c r="C10" s="15">
        <v>45120</v>
      </c>
      <c r="D10" s="9">
        <v>2</v>
      </c>
      <c r="E10" s="9">
        <v>5</v>
      </c>
      <c r="F10" s="9">
        <v>4</v>
      </c>
      <c r="G10" s="26">
        <f t="shared" si="0"/>
        <v>15766.850000000002</v>
      </c>
      <c r="H10" s="9">
        <v>4</v>
      </c>
      <c r="I10" s="9" t="s">
        <v>59</v>
      </c>
      <c r="K10" s="12">
        <v>3</v>
      </c>
      <c r="L10" s="12">
        <v>2</v>
      </c>
      <c r="M10" s="27">
        <v>3989.05</v>
      </c>
      <c r="N10" s="12">
        <v>1</v>
      </c>
      <c r="O10" s="27">
        <f t="shared" si="1"/>
        <v>3989.05</v>
      </c>
      <c r="Q10" s="5" t="s">
        <v>36</v>
      </c>
      <c r="R10" s="7" t="s">
        <v>37</v>
      </c>
    </row>
    <row r="11" spans="2:23" x14ac:dyDescent="0.3">
      <c r="B11" s="1"/>
      <c r="K11" s="13">
        <v>4</v>
      </c>
      <c r="L11" s="13">
        <v>1</v>
      </c>
      <c r="M11" s="28">
        <v>2789.9</v>
      </c>
      <c r="N11" s="13">
        <v>3</v>
      </c>
      <c r="O11" s="28">
        <f t="shared" si="1"/>
        <v>8369.7000000000007</v>
      </c>
      <c r="Q11" s="3">
        <v>1</v>
      </c>
      <c r="R11" s="4" t="s">
        <v>29</v>
      </c>
    </row>
    <row r="12" spans="2:23" x14ac:dyDescent="0.3">
      <c r="B12" s="1"/>
      <c r="K12" s="13">
        <v>4</v>
      </c>
      <c r="L12" s="13">
        <v>2</v>
      </c>
      <c r="M12" s="28">
        <v>3989.05</v>
      </c>
      <c r="N12" s="13">
        <v>2</v>
      </c>
      <c r="O12" s="28">
        <f t="shared" si="1"/>
        <v>7978.1</v>
      </c>
      <c r="Q12" s="3">
        <v>2</v>
      </c>
      <c r="R12" s="4" t="s">
        <v>38</v>
      </c>
    </row>
    <row r="13" spans="2:23" x14ac:dyDescent="0.3">
      <c r="B13" s="5" t="s">
        <v>1</v>
      </c>
      <c r="C13" s="6" t="s">
        <v>17</v>
      </c>
      <c r="D13" s="7" t="s">
        <v>21</v>
      </c>
      <c r="K13" s="13">
        <v>4</v>
      </c>
      <c r="L13" s="13">
        <v>3</v>
      </c>
      <c r="M13" s="28">
        <v>1884.45</v>
      </c>
      <c r="N13" s="13">
        <v>1</v>
      </c>
      <c r="O13" s="28">
        <f t="shared" si="1"/>
        <v>1884.45</v>
      </c>
      <c r="Q13" s="3">
        <v>3</v>
      </c>
      <c r="R13" s="4" t="s">
        <v>39</v>
      </c>
    </row>
    <row r="14" spans="2:23" x14ac:dyDescent="0.3">
      <c r="B14" s="3">
        <v>1</v>
      </c>
      <c r="C14" s="2" t="s">
        <v>18</v>
      </c>
      <c r="D14" s="4">
        <v>1</v>
      </c>
      <c r="K14" s="12">
        <v>5</v>
      </c>
      <c r="L14" s="12">
        <v>5</v>
      </c>
      <c r="M14" s="27">
        <v>16266.99</v>
      </c>
      <c r="N14" s="12">
        <v>1</v>
      </c>
      <c r="O14" s="27">
        <f t="shared" si="1"/>
        <v>16266.99</v>
      </c>
      <c r="Q14" s="3">
        <v>4</v>
      </c>
      <c r="R14" s="4" t="s">
        <v>40</v>
      </c>
    </row>
    <row r="15" spans="2:23" x14ac:dyDescent="0.3">
      <c r="B15" s="3">
        <v>2</v>
      </c>
      <c r="C15" s="2" t="s">
        <v>19</v>
      </c>
      <c r="D15" s="4">
        <v>2</v>
      </c>
      <c r="K15" s="12">
        <v>5</v>
      </c>
      <c r="L15" s="12">
        <v>6</v>
      </c>
      <c r="M15" s="27">
        <v>256.49</v>
      </c>
      <c r="N15" s="12">
        <v>1</v>
      </c>
      <c r="O15" s="27">
        <f t="shared" si="1"/>
        <v>256.49</v>
      </c>
      <c r="Q15" s="3">
        <v>5</v>
      </c>
      <c r="R15" s="4" t="s">
        <v>41</v>
      </c>
    </row>
    <row r="16" spans="2:23" x14ac:dyDescent="0.3">
      <c r="B16" s="3">
        <v>3</v>
      </c>
      <c r="C16" s="2" t="s">
        <v>33</v>
      </c>
      <c r="D16" s="4">
        <v>2</v>
      </c>
      <c r="K16" s="12">
        <v>5</v>
      </c>
      <c r="L16" s="12">
        <v>3</v>
      </c>
      <c r="M16" s="27">
        <v>1884.45</v>
      </c>
      <c r="N16" s="12">
        <v>1</v>
      </c>
      <c r="O16" s="27">
        <f t="shared" si="1"/>
        <v>1884.45</v>
      </c>
      <c r="Q16" s="8">
        <v>6</v>
      </c>
      <c r="R16" s="10" t="s">
        <v>42</v>
      </c>
    </row>
    <row r="17" spans="2:15" x14ac:dyDescent="0.3">
      <c r="B17" s="3">
        <v>4</v>
      </c>
      <c r="C17" s="2" t="s">
        <v>34</v>
      </c>
      <c r="D17" s="4">
        <v>3</v>
      </c>
      <c r="K17" s="13">
        <v>6</v>
      </c>
      <c r="L17" s="13">
        <v>4</v>
      </c>
      <c r="M17" s="28">
        <v>64.900000000000006</v>
      </c>
      <c r="N17" s="13">
        <v>3</v>
      </c>
      <c r="O17" s="28">
        <f t="shared" si="1"/>
        <v>194.70000000000002</v>
      </c>
    </row>
    <row r="18" spans="2:15" x14ac:dyDescent="0.3">
      <c r="B18" s="3">
        <v>5</v>
      </c>
      <c r="C18" s="2" t="s">
        <v>35</v>
      </c>
      <c r="D18" s="4">
        <v>4</v>
      </c>
      <c r="K18" s="13">
        <v>6</v>
      </c>
      <c r="L18" s="13">
        <v>3</v>
      </c>
      <c r="M18" s="28">
        <v>1884.45</v>
      </c>
      <c r="N18" s="13">
        <v>1</v>
      </c>
      <c r="O18" s="28">
        <f t="shared" si="1"/>
        <v>1884.45</v>
      </c>
    </row>
    <row r="19" spans="2:15" x14ac:dyDescent="0.3">
      <c r="B19" s="8">
        <v>6</v>
      </c>
      <c r="C19" s="9" t="s">
        <v>20</v>
      </c>
      <c r="D19" s="10">
        <v>5</v>
      </c>
      <c r="K19" s="13">
        <v>6</v>
      </c>
      <c r="L19" s="13">
        <v>5</v>
      </c>
      <c r="M19" s="28">
        <v>16266.99</v>
      </c>
      <c r="N19" s="13">
        <v>2</v>
      </c>
      <c r="O19" s="28">
        <f t="shared" si="1"/>
        <v>32533.98</v>
      </c>
    </row>
    <row r="20" spans="2:15" x14ac:dyDescent="0.3">
      <c r="K20" s="13">
        <v>6</v>
      </c>
      <c r="L20" s="13">
        <v>2</v>
      </c>
      <c r="M20" s="28">
        <v>3989.05</v>
      </c>
      <c r="N20" s="13">
        <v>1</v>
      </c>
      <c r="O20" s="28">
        <f t="shared" si="1"/>
        <v>3989.05</v>
      </c>
    </row>
    <row r="21" spans="2:15" x14ac:dyDescent="0.3">
      <c r="K21" s="12">
        <v>7</v>
      </c>
      <c r="L21" s="12">
        <v>1</v>
      </c>
      <c r="M21" s="27">
        <v>2789.9</v>
      </c>
      <c r="N21" s="12">
        <v>1</v>
      </c>
      <c r="O21" s="27">
        <f t="shared" si="1"/>
        <v>2789.9</v>
      </c>
    </row>
    <row r="22" spans="2:15" x14ac:dyDescent="0.3">
      <c r="B22" s="5" t="s">
        <v>21</v>
      </c>
      <c r="C22" s="7" t="s">
        <v>22</v>
      </c>
      <c r="K22" s="12">
        <v>7</v>
      </c>
      <c r="L22" s="12">
        <v>2</v>
      </c>
      <c r="M22" s="27">
        <v>3989.05</v>
      </c>
      <c r="N22" s="12">
        <v>1</v>
      </c>
      <c r="O22" s="27">
        <f t="shared" si="1"/>
        <v>3989.05</v>
      </c>
    </row>
    <row r="23" spans="2:15" x14ac:dyDescent="0.3">
      <c r="B23" s="3">
        <v>1</v>
      </c>
      <c r="C23" s="4" t="s">
        <v>24</v>
      </c>
      <c r="K23" s="13">
        <v>8</v>
      </c>
      <c r="L23" s="13">
        <v>1</v>
      </c>
      <c r="M23" s="28">
        <v>2789.9</v>
      </c>
      <c r="N23" s="13">
        <v>2</v>
      </c>
      <c r="O23" s="28">
        <f t="shared" si="1"/>
        <v>5579.8</v>
      </c>
    </row>
    <row r="24" spans="2:15" x14ac:dyDescent="0.3">
      <c r="B24" s="3">
        <v>2</v>
      </c>
      <c r="C24" s="4" t="s">
        <v>23</v>
      </c>
      <c r="K24" s="13">
        <v>8</v>
      </c>
      <c r="L24" s="13">
        <v>2</v>
      </c>
      <c r="M24" s="28">
        <v>3989.05</v>
      </c>
      <c r="N24" s="13">
        <v>2</v>
      </c>
      <c r="O24" s="28">
        <f t="shared" si="1"/>
        <v>7978.1</v>
      </c>
    </row>
    <row r="25" spans="2:15" x14ac:dyDescent="0.3">
      <c r="B25" s="3">
        <v>3</v>
      </c>
      <c r="C25" s="4" t="s">
        <v>25</v>
      </c>
      <c r="K25" s="13">
        <v>8</v>
      </c>
      <c r="L25" s="13">
        <v>3</v>
      </c>
      <c r="M25" s="28">
        <v>1884.45</v>
      </c>
      <c r="N25" s="13">
        <v>1</v>
      </c>
      <c r="O25" s="28">
        <f t="shared" si="1"/>
        <v>1884.45</v>
      </c>
    </row>
    <row r="26" spans="2:15" x14ac:dyDescent="0.3">
      <c r="B26" s="3">
        <v>4</v>
      </c>
      <c r="C26" s="4" t="s">
        <v>26</v>
      </c>
      <c r="K26" s="13">
        <v>8</v>
      </c>
      <c r="L26" s="13">
        <v>4</v>
      </c>
      <c r="M26" s="28">
        <v>64.900000000000006</v>
      </c>
      <c r="N26" s="13">
        <v>5</v>
      </c>
      <c r="O26" s="28">
        <f t="shared" si="1"/>
        <v>324.5</v>
      </c>
    </row>
    <row r="27" spans="2:15" x14ac:dyDescent="0.3">
      <c r="B27" s="8">
        <v>5</v>
      </c>
      <c r="C27" s="10" t="s">
        <v>27</v>
      </c>
    </row>
    <row r="30" spans="2:15" x14ac:dyDescent="0.3">
      <c r="B30" s="5" t="s">
        <v>53</v>
      </c>
      <c r="C30" s="7" t="s">
        <v>54</v>
      </c>
    </row>
    <row r="31" spans="2:15" x14ac:dyDescent="0.3">
      <c r="B31" s="3">
        <v>1</v>
      </c>
      <c r="C31" s="4" t="s">
        <v>55</v>
      </c>
    </row>
    <row r="32" spans="2:15" x14ac:dyDescent="0.3">
      <c r="B32" s="3">
        <v>2</v>
      </c>
      <c r="C32" s="4" t="s">
        <v>56</v>
      </c>
    </row>
    <row r="33" spans="2:3" x14ac:dyDescent="0.3">
      <c r="B33" s="3">
        <v>3</v>
      </c>
      <c r="C33" s="4" t="s">
        <v>57</v>
      </c>
    </row>
    <row r="34" spans="2:3" x14ac:dyDescent="0.3">
      <c r="B34" s="8">
        <v>4</v>
      </c>
      <c r="C34" s="10" t="s">
        <v>58</v>
      </c>
    </row>
  </sheetData>
  <sortState xmlns:xlrd2="http://schemas.microsoft.com/office/spreadsheetml/2017/richdata2" ref="Q11:Q18">
    <sortCondition ref="Q10:Q18"/>
  </sortState>
  <pageMargins left="0.511811024" right="0.511811024" top="0.78740157499999996" bottom="0.78740157499999996" header="0.31496062000000002" footer="0.31496062000000002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4000-CFC9-48EA-B331-B1D6AB1F9708}">
  <dimension ref="A1:H48"/>
  <sheetViews>
    <sheetView showGridLines="0" tabSelected="1" topLeftCell="A31" workbookViewId="0">
      <selection activeCell="D45" sqref="D45"/>
    </sheetView>
  </sheetViews>
  <sheetFormatPr defaultRowHeight="14.4" x14ac:dyDescent="0.3"/>
  <cols>
    <col min="1" max="1" width="37.5546875" bestFit="1" customWidth="1"/>
    <col min="2" max="2" width="20.6640625" bestFit="1" customWidth="1"/>
    <col min="3" max="3" width="13.5546875" bestFit="1" customWidth="1"/>
    <col min="4" max="4" width="17.44140625" bestFit="1" customWidth="1"/>
    <col min="5" max="5" width="20.6640625" bestFit="1" customWidth="1"/>
    <col min="6" max="6" width="28" bestFit="1" customWidth="1"/>
    <col min="7" max="7" width="16.44140625" bestFit="1" customWidth="1"/>
    <col min="8" max="8" width="12.6640625" bestFit="1" customWidth="1"/>
    <col min="9" max="9" width="17.21875" bestFit="1" customWidth="1"/>
    <col min="10" max="10" width="20.6640625" bestFit="1" customWidth="1"/>
    <col min="11" max="11" width="26.88671875" bestFit="1" customWidth="1"/>
  </cols>
  <sheetData>
    <row r="1" spans="1:8" x14ac:dyDescent="0.3">
      <c r="A1" s="45" t="s">
        <v>78</v>
      </c>
      <c r="B1" s="45"/>
      <c r="C1" s="45"/>
      <c r="D1" s="45"/>
      <c r="E1" s="45"/>
      <c r="F1" s="45"/>
      <c r="G1" s="45"/>
      <c r="H1" s="45"/>
    </row>
    <row r="2" spans="1:8" hidden="1" x14ac:dyDescent="0.3"/>
    <row r="3" spans="1:8" x14ac:dyDescent="0.3">
      <c r="A3" s="16" t="s">
        <v>46</v>
      </c>
      <c r="B3" s="16" t="s">
        <v>47</v>
      </c>
    </row>
    <row r="4" spans="1:8" x14ac:dyDescent="0.3">
      <c r="A4" s="16" t="s">
        <v>44</v>
      </c>
      <c r="B4" t="s">
        <v>40</v>
      </c>
      <c r="C4" t="s">
        <v>38</v>
      </c>
      <c r="D4" t="s">
        <v>39</v>
      </c>
      <c r="E4" t="s">
        <v>29</v>
      </c>
      <c r="F4" t="s">
        <v>42</v>
      </c>
      <c r="G4" t="s">
        <v>41</v>
      </c>
      <c r="H4" t="s">
        <v>45</v>
      </c>
    </row>
    <row r="5" spans="1:8" x14ac:dyDescent="0.3">
      <c r="A5" s="17" t="s">
        <v>35</v>
      </c>
      <c r="B5" s="30"/>
      <c r="C5" s="30"/>
      <c r="D5" s="30"/>
      <c r="E5" s="30">
        <v>48800.97</v>
      </c>
      <c r="F5" s="30">
        <v>16266.99</v>
      </c>
      <c r="G5" s="30"/>
      <c r="H5" s="30">
        <v>65067.96</v>
      </c>
    </row>
    <row r="6" spans="1:8" x14ac:dyDescent="0.3">
      <c r="A6" s="17" t="s">
        <v>19</v>
      </c>
      <c r="B6" s="30">
        <v>7978.1</v>
      </c>
      <c r="C6" s="30"/>
      <c r="D6" s="30">
        <v>3989.05</v>
      </c>
      <c r="E6" s="30">
        <v>7978.1</v>
      </c>
      <c r="F6" s="30">
        <v>3989.05</v>
      </c>
      <c r="G6" s="30">
        <v>7978.1</v>
      </c>
      <c r="H6" s="30">
        <v>31912.400000000001</v>
      </c>
    </row>
    <row r="7" spans="1:8" x14ac:dyDescent="0.3">
      <c r="A7" s="17" t="s">
        <v>18</v>
      </c>
      <c r="B7" s="30">
        <v>8369.7000000000007</v>
      </c>
      <c r="C7" s="30">
        <v>11159.6</v>
      </c>
      <c r="D7" s="30"/>
      <c r="E7" s="30"/>
      <c r="F7" s="30">
        <v>2789.9</v>
      </c>
      <c r="G7" s="30">
        <v>5579.8</v>
      </c>
      <c r="H7" s="30">
        <v>27899.000000000004</v>
      </c>
    </row>
    <row r="8" spans="1:8" x14ac:dyDescent="0.3">
      <c r="A8" s="17" t="s">
        <v>33</v>
      </c>
      <c r="B8" s="30">
        <v>1884.45</v>
      </c>
      <c r="C8" s="30"/>
      <c r="D8" s="30">
        <v>1884.45</v>
      </c>
      <c r="E8" s="30">
        <v>1884.45</v>
      </c>
      <c r="F8" s="30">
        <v>1884.45</v>
      </c>
      <c r="G8" s="30">
        <v>1884.45</v>
      </c>
      <c r="H8" s="30">
        <v>9422.25</v>
      </c>
    </row>
    <row r="9" spans="1:8" x14ac:dyDescent="0.3">
      <c r="A9" s="17" t="s">
        <v>20</v>
      </c>
      <c r="B9" s="30"/>
      <c r="C9" s="30">
        <v>1025.96</v>
      </c>
      <c r="D9" s="30"/>
      <c r="E9" s="30">
        <v>512.98</v>
      </c>
      <c r="F9" s="30">
        <v>256.49</v>
      </c>
      <c r="G9" s="30"/>
      <c r="H9" s="30">
        <v>1795.43</v>
      </c>
    </row>
    <row r="10" spans="1:8" x14ac:dyDescent="0.3">
      <c r="A10" s="17" t="s">
        <v>34</v>
      </c>
      <c r="B10" s="30"/>
      <c r="C10" s="30">
        <v>649</v>
      </c>
      <c r="D10" s="30"/>
      <c r="E10" s="30">
        <v>194.70000000000002</v>
      </c>
      <c r="F10" s="30"/>
      <c r="G10" s="30">
        <v>324.5</v>
      </c>
      <c r="H10" s="30">
        <v>1168.2</v>
      </c>
    </row>
    <row r="11" spans="1:8" x14ac:dyDescent="0.3">
      <c r="A11" s="17" t="s">
        <v>45</v>
      </c>
      <c r="B11" s="30">
        <v>18232.25</v>
      </c>
      <c r="C11" s="30">
        <v>12834.560000000001</v>
      </c>
      <c r="D11" s="30">
        <v>5873.5</v>
      </c>
      <c r="E11" s="30">
        <v>59371.199999999997</v>
      </c>
      <c r="F11" s="30">
        <v>25186.879999999997</v>
      </c>
      <c r="G11" s="30">
        <v>15766.850000000002</v>
      </c>
      <c r="H11" s="30">
        <v>137265.24000000002</v>
      </c>
    </row>
    <row r="13" spans="1:8" x14ac:dyDescent="0.3">
      <c r="A13" s="44" t="s">
        <v>77</v>
      </c>
      <c r="B13" s="44"/>
      <c r="D13" s="44" t="s">
        <v>76</v>
      </c>
      <c r="E13" s="44"/>
    </row>
    <row r="14" spans="1:8" hidden="1" x14ac:dyDescent="0.3"/>
    <row r="15" spans="1:8" x14ac:dyDescent="0.3">
      <c r="A15" s="16" t="s">
        <v>44</v>
      </c>
      <c r="B15" t="s">
        <v>46</v>
      </c>
      <c r="D15" s="16" t="s">
        <v>44</v>
      </c>
      <c r="E15" t="s">
        <v>46</v>
      </c>
    </row>
    <row r="16" spans="1:8" x14ac:dyDescent="0.3">
      <c r="A16" s="17" t="s">
        <v>35</v>
      </c>
      <c r="B16" s="30">
        <v>65067.96</v>
      </c>
      <c r="D16" s="17" t="s">
        <v>29</v>
      </c>
      <c r="E16" s="30">
        <v>59371.200000000004</v>
      </c>
    </row>
    <row r="17" spans="1:5" x14ac:dyDescent="0.3">
      <c r="A17" s="17" t="s">
        <v>19</v>
      </c>
      <c r="B17" s="30">
        <v>31912.400000000001</v>
      </c>
      <c r="D17" s="17" t="s">
        <v>42</v>
      </c>
      <c r="E17" s="30">
        <v>25186.880000000001</v>
      </c>
    </row>
    <row r="18" spans="1:5" x14ac:dyDescent="0.3">
      <c r="A18" s="17" t="s">
        <v>18</v>
      </c>
      <c r="B18" s="30">
        <v>27899.000000000004</v>
      </c>
      <c r="D18" s="17" t="s">
        <v>40</v>
      </c>
      <c r="E18" s="30">
        <v>18232.25</v>
      </c>
    </row>
    <row r="19" spans="1:5" x14ac:dyDescent="0.3">
      <c r="A19" s="17" t="s">
        <v>33</v>
      </c>
      <c r="B19" s="30">
        <v>9422.25</v>
      </c>
      <c r="D19" s="17" t="s">
        <v>41</v>
      </c>
      <c r="E19" s="30">
        <v>15766.850000000002</v>
      </c>
    </row>
    <row r="20" spans="1:5" x14ac:dyDescent="0.3">
      <c r="A20" s="17" t="s">
        <v>20</v>
      </c>
      <c r="B20" s="30">
        <v>1795.43</v>
      </c>
      <c r="D20" s="17" t="s">
        <v>38</v>
      </c>
      <c r="E20" s="30">
        <v>12834.560000000001</v>
      </c>
    </row>
    <row r="21" spans="1:5" x14ac:dyDescent="0.3">
      <c r="A21" s="17" t="s">
        <v>34</v>
      </c>
      <c r="B21" s="30">
        <v>1168.2</v>
      </c>
      <c r="D21" s="17" t="s">
        <v>39</v>
      </c>
      <c r="E21" s="30">
        <v>5873.5</v>
      </c>
    </row>
    <row r="22" spans="1:5" x14ac:dyDescent="0.3">
      <c r="A22" s="17" t="s">
        <v>45</v>
      </c>
      <c r="B22" s="30">
        <v>137265.24000000002</v>
      </c>
      <c r="D22" s="17" t="s">
        <v>45</v>
      </c>
      <c r="E22" s="30">
        <v>137265.24000000002</v>
      </c>
    </row>
    <row r="41" spans="1:6" x14ac:dyDescent="0.3">
      <c r="A41" s="46" t="s">
        <v>80</v>
      </c>
      <c r="B41" s="46"/>
      <c r="C41" s="34"/>
      <c r="E41" s="46" t="s">
        <v>79</v>
      </c>
      <c r="F41" s="46"/>
    </row>
    <row r="42" spans="1:6" hidden="1" x14ac:dyDescent="0.3"/>
    <row r="43" spans="1:6" x14ac:dyDescent="0.3">
      <c r="A43" s="16" t="s">
        <v>44</v>
      </c>
      <c r="B43" t="s">
        <v>46</v>
      </c>
      <c r="E43" s="29" t="s">
        <v>44</v>
      </c>
      <c r="F43" s="29" t="s">
        <v>79</v>
      </c>
    </row>
    <row r="44" spans="1:6" x14ac:dyDescent="0.3">
      <c r="A44" s="17" t="s">
        <v>8</v>
      </c>
      <c r="B44" s="30">
        <v>59371.200000000004</v>
      </c>
      <c r="E44" s="17" t="s">
        <v>8</v>
      </c>
      <c r="F44" s="31">
        <f>B44/B48</f>
        <v>0.43252902191406939</v>
      </c>
    </row>
    <row r="45" spans="1:6" x14ac:dyDescent="0.3">
      <c r="A45" s="17" t="s">
        <v>9</v>
      </c>
      <c r="B45" s="30">
        <v>18708.060000000001</v>
      </c>
      <c r="E45" s="17" t="s">
        <v>9</v>
      </c>
      <c r="F45" s="31">
        <f>B45/B48</f>
        <v>0.13629131453818896</v>
      </c>
    </row>
    <row r="46" spans="1:6" x14ac:dyDescent="0.3">
      <c r="A46" s="17" t="s">
        <v>10</v>
      </c>
      <c r="B46" s="30">
        <v>25186.880000000001</v>
      </c>
      <c r="E46" s="17" t="s">
        <v>10</v>
      </c>
      <c r="F46" s="31">
        <f>B46/B48</f>
        <v>0.18349059091726352</v>
      </c>
    </row>
    <row r="47" spans="1:6" x14ac:dyDescent="0.3">
      <c r="A47" s="17" t="s">
        <v>11</v>
      </c>
      <c r="B47" s="30">
        <v>33999.1</v>
      </c>
      <c r="E47" s="17" t="s">
        <v>11</v>
      </c>
      <c r="F47" s="31">
        <f>B47/B48</f>
        <v>0.24768907263047799</v>
      </c>
    </row>
    <row r="48" spans="1:6" x14ac:dyDescent="0.3">
      <c r="A48" s="17" t="s">
        <v>45</v>
      </c>
      <c r="B48" s="30">
        <v>137265.24000000002</v>
      </c>
      <c r="E48" s="33" t="s">
        <v>45</v>
      </c>
      <c r="F48" s="32">
        <f>SUM(F44:F47)</f>
        <v>0.99999999999999989</v>
      </c>
    </row>
  </sheetData>
  <mergeCells count="5">
    <mergeCell ref="D13:E13"/>
    <mergeCell ref="A13:B13"/>
    <mergeCell ref="A1:H1"/>
    <mergeCell ref="A41:B41"/>
    <mergeCell ref="E41:F41"/>
  </mergeCells>
  <pageMargins left="0.511811024" right="0.511811024" top="0.78740157499999996" bottom="0.78740157499999996" header="0.31496062000000002" footer="0.31496062000000002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0F97-1F11-4F82-BAF4-A60DD60A4947}">
  <dimension ref="B2:T26"/>
  <sheetViews>
    <sheetView showGridLines="0" zoomScale="85" zoomScaleNormal="85" workbookViewId="0">
      <selection activeCell="I23" sqref="I23"/>
    </sheetView>
  </sheetViews>
  <sheetFormatPr defaultRowHeight="13.8" x14ac:dyDescent="0.3"/>
  <cols>
    <col min="1" max="1" width="8.88671875" style="39"/>
    <col min="2" max="2" width="14.88671875" style="39" bestFit="1" customWidth="1"/>
    <col min="3" max="3" width="12.6640625" style="43" bestFit="1" customWidth="1"/>
    <col min="4" max="4" width="15.77734375" style="39" hidden="1" customWidth="1"/>
    <col min="5" max="5" width="27.33203125" style="39" bestFit="1" customWidth="1"/>
    <col min="6" max="6" width="17.44140625" style="39" hidden="1" customWidth="1"/>
    <col min="7" max="7" width="38.88671875" style="39" bestFit="1" customWidth="1"/>
    <col min="8" max="8" width="18.77734375" style="39" hidden="1" customWidth="1"/>
    <col min="9" max="9" width="20.6640625" style="39" bestFit="1" customWidth="1"/>
    <col min="10" max="10" width="18.5546875" style="39" hidden="1" customWidth="1"/>
    <col min="11" max="11" width="17.44140625" style="39" bestFit="1" customWidth="1"/>
    <col min="12" max="12" width="12.88671875" style="39" hidden="1" customWidth="1"/>
    <col min="13" max="13" width="12.6640625" style="39" bestFit="1" customWidth="1"/>
    <col min="14" max="14" width="16.88671875" style="39" bestFit="1" customWidth="1"/>
    <col min="15" max="15" width="10.109375" style="39" bestFit="1" customWidth="1"/>
    <col min="16" max="16" width="16.33203125" style="39" bestFit="1" customWidth="1"/>
    <col min="17" max="17" width="12.44140625" style="39" bestFit="1" customWidth="1"/>
    <col min="18" max="18" width="13" style="39" bestFit="1" customWidth="1"/>
    <col min="19" max="19" width="20.21875" style="39" hidden="1" customWidth="1"/>
    <col min="20" max="20" width="15.77734375" style="39" bestFit="1" customWidth="1"/>
    <col min="21" max="16384" width="8.88671875" style="39"/>
  </cols>
  <sheetData>
    <row r="2" spans="2:20" x14ac:dyDescent="0.3">
      <c r="B2" s="35" t="s">
        <v>0</v>
      </c>
      <c r="C2" s="36" t="s">
        <v>43</v>
      </c>
      <c r="D2" s="37" t="s">
        <v>2</v>
      </c>
      <c r="E2" s="37" t="s">
        <v>6</v>
      </c>
      <c r="F2" s="37" t="s">
        <v>1</v>
      </c>
      <c r="G2" s="37" t="s">
        <v>17</v>
      </c>
      <c r="H2" s="37" t="s">
        <v>21</v>
      </c>
      <c r="I2" s="37" t="s">
        <v>22</v>
      </c>
      <c r="J2" s="37" t="s">
        <v>36</v>
      </c>
      <c r="K2" s="37" t="s">
        <v>37</v>
      </c>
      <c r="L2" s="37" t="s">
        <v>7</v>
      </c>
      <c r="M2" s="37" t="s">
        <v>72</v>
      </c>
      <c r="N2" s="37" t="s">
        <v>28</v>
      </c>
      <c r="O2" s="37" t="s">
        <v>48</v>
      </c>
      <c r="P2" s="37" t="s">
        <v>3</v>
      </c>
      <c r="Q2" s="37" t="s">
        <v>4</v>
      </c>
      <c r="R2" s="38" t="s">
        <v>5</v>
      </c>
      <c r="S2" s="37" t="s">
        <v>62</v>
      </c>
      <c r="T2" s="37" t="s">
        <v>61</v>
      </c>
    </row>
    <row r="3" spans="2:20" x14ac:dyDescent="0.3">
      <c r="B3" s="40">
        <v>1</v>
      </c>
      <c r="C3" s="41">
        <f>VLOOKUP(B3,DADOS_VENDA!B$2:G$10,2,0)</f>
        <v>45117</v>
      </c>
      <c r="D3" s="40">
        <f>VLOOKUP(Tabela8[[#This Row],[CODIGO_VENDA]],Tabela1[[#All],[CODIGO_VENDA]:[CODIGO_CLIENTE]],3,0)</f>
        <v>1</v>
      </c>
      <c r="E3" s="40" t="str">
        <f>VLOOKUP(D3,DADOS_VENDA!Q$2:R$7,2,0)</f>
        <v>CRISTOVÃO COLOMBO</v>
      </c>
      <c r="F3" s="40">
        <v>1</v>
      </c>
      <c r="G3" s="40" t="str">
        <f>VLOOKUP(F3,DADOS_VENDA!B$13:D$19,2,0)</f>
        <v>IPHONE 11</v>
      </c>
      <c r="H3" s="40">
        <f>VLOOKUP(F3,DADOS_VENDA!B$13:D$19,3,0)</f>
        <v>1</v>
      </c>
      <c r="I3" s="40" t="str">
        <f>VLOOKUP(H3,DADOS_VENDA!B$22:C$27,2,0)</f>
        <v>CELULAR</v>
      </c>
      <c r="J3" s="40">
        <f>VLOOKUP(Tabela8[[#This Row],[CODIGO_VENDA]],DADOS_VENDA!B$2:E$11,4,0)</f>
        <v>2</v>
      </c>
      <c r="K3" s="40" t="str">
        <f>VLOOKUP(J3,DADOS_VENDA!Q$10:R$16,2,0)</f>
        <v>JOSÉ ROBERTO</v>
      </c>
      <c r="L3" s="40">
        <f>VLOOKUP(B3,DADOS_VENDA!B$2:G$10,5,0)</f>
        <v>2</v>
      </c>
      <c r="M3" s="40" t="str">
        <f>VLOOKUP(Tabela8[[#This Row],[CODIGO_LOJA]],Tabela7[#All],2,0)</f>
        <v>LOJA A</v>
      </c>
      <c r="N3" s="40" t="str">
        <f>VLOOKUP(L3,DADOS_VENDA!T$2:V$6,3,0)</f>
        <v>MT</v>
      </c>
      <c r="O3" s="40" t="str">
        <f>VLOOKUP(Tabela8[[#This Row],[NOME_LOJA]],Tabela7[[#All],[NOME_LOJA]:[TIPO_LOJA]],3,0)</f>
        <v>FÍSICA</v>
      </c>
      <c r="P3" s="42">
        <v>2789.9</v>
      </c>
      <c r="Q3" s="40">
        <v>4</v>
      </c>
      <c r="R3" s="42">
        <f>P3*Q3</f>
        <v>11159.6</v>
      </c>
      <c r="S3" s="40">
        <f>VLOOKUP(Tabela8[[#This Row],[CODIGO_VENDA]],Tabela1[#All],7,0)</f>
        <v>2</v>
      </c>
      <c r="T3" s="40" t="str">
        <f>VLOOKUP(Tabela8[[#This Row],[CODIGO_PAGAMENTO]],Tabela10[#All],2,0)</f>
        <v>CARTÃO DÉBITO</v>
      </c>
    </row>
    <row r="4" spans="2:20" x14ac:dyDescent="0.3">
      <c r="B4" s="40">
        <v>1</v>
      </c>
      <c r="C4" s="41">
        <f>VLOOKUP(B4,DADOS_VENDA!B$2:G$10,2,0)</f>
        <v>45117</v>
      </c>
      <c r="D4" s="40">
        <f>VLOOKUP(Tabela8[[#This Row],[CODIGO_VENDA]],Tabela1[[#All],[CODIGO_VENDA]:[CODIGO_CLIENTE]],3,0)</f>
        <v>1</v>
      </c>
      <c r="E4" s="40" t="str">
        <f>VLOOKUP(D4,DADOS_VENDA!Q$2:R$7,2,0)</f>
        <v>CRISTOVÃO COLOMBO</v>
      </c>
      <c r="F4" s="40">
        <v>4</v>
      </c>
      <c r="G4" s="40" t="str">
        <f>VLOOKUP(F4,DADOS_VENDA!B$13:D$19,2,0)</f>
        <v>PENDRIVE SCANDISK CRUZER BLADE 128 GB</v>
      </c>
      <c r="H4" s="40">
        <f>VLOOKUP(F4,DADOS_VENDA!B$13:D$19,3,0)</f>
        <v>3</v>
      </c>
      <c r="I4" s="40" t="str">
        <f>VLOOKUP(H4,DADOS_VENDA!B$22:C$27,2,0)</f>
        <v>ACESSÓRIO</v>
      </c>
      <c r="J4" s="40">
        <f>VLOOKUP(Tabela8[[#This Row],[CODIGO_VENDA]],DADOS_VENDA!B$2:E$11,4,0)</f>
        <v>2</v>
      </c>
      <c r="K4" s="40" t="str">
        <f>VLOOKUP(J4,DADOS_VENDA!Q$10:R$16,2,0)</f>
        <v>JOSÉ ROBERTO</v>
      </c>
      <c r="L4" s="40">
        <f>VLOOKUP(B4,DADOS_VENDA!B$2:G$10,5,0)</f>
        <v>2</v>
      </c>
      <c r="M4" s="40" t="str">
        <f>VLOOKUP(Tabela8[[#This Row],[CODIGO_LOJA]],Tabela7[#All],2,0)</f>
        <v>LOJA A</v>
      </c>
      <c r="N4" s="40" t="str">
        <f>VLOOKUP(L4,DADOS_VENDA!T$2:V$6,3,0)</f>
        <v>MT</v>
      </c>
      <c r="O4" s="40" t="str">
        <f>VLOOKUP(Tabela8[[#This Row],[NOME_LOJA]],Tabela7[[#All],[NOME_LOJA]:[TIPO_LOJA]],3,0)</f>
        <v>FÍSICA</v>
      </c>
      <c r="P4" s="42">
        <v>64.900000000000006</v>
      </c>
      <c r="Q4" s="40">
        <v>10</v>
      </c>
      <c r="R4" s="42">
        <f t="shared" ref="R4:R26" si="0">P4*Q4</f>
        <v>649</v>
      </c>
      <c r="S4" s="40">
        <f>VLOOKUP(Tabela8[[#This Row],[CODIGO_VENDA]],Tabela1[#All],7,0)</f>
        <v>2</v>
      </c>
      <c r="T4" s="40" t="str">
        <f>VLOOKUP(Tabela8[[#This Row],[CODIGO_PAGAMENTO]],Tabela10[#All],2,0)</f>
        <v>CARTÃO DÉBITO</v>
      </c>
    </row>
    <row r="5" spans="2:20" x14ac:dyDescent="0.3">
      <c r="B5" s="40">
        <v>1</v>
      </c>
      <c r="C5" s="41">
        <f>VLOOKUP(B5,DADOS_VENDA!B$2:G$10,2,0)</f>
        <v>45117</v>
      </c>
      <c r="D5" s="40">
        <f>VLOOKUP(Tabela8[[#This Row],[CODIGO_VENDA]],Tabela1[[#All],[CODIGO_VENDA]:[CODIGO_CLIENTE]],3,0)</f>
        <v>1</v>
      </c>
      <c r="E5" s="40" t="str">
        <f>VLOOKUP(D5,DADOS_VENDA!Q$2:R$7,2,0)</f>
        <v>CRISTOVÃO COLOMBO</v>
      </c>
      <c r="F5" s="40">
        <v>6</v>
      </c>
      <c r="G5" s="40" t="str">
        <f>VLOOKUP(F5,DADOS_VENDA!B$13:D$19,2,0)</f>
        <v>CAMISA FLUMINENSE 23/23</v>
      </c>
      <c r="H5" s="40">
        <f>VLOOKUP(F5,DADOS_VENDA!B$13:D$19,3,0)</f>
        <v>5</v>
      </c>
      <c r="I5" s="40" t="str">
        <f>VLOOKUP(H5,DADOS_VENDA!B$22:C$27,2,0)</f>
        <v>VESTUÁRIO</v>
      </c>
      <c r="J5" s="40">
        <f>VLOOKUP(Tabela8[[#This Row],[CODIGO_VENDA]],DADOS_VENDA!B$2:E$11,4,0)</f>
        <v>2</v>
      </c>
      <c r="K5" s="40" t="str">
        <f>VLOOKUP(J5,DADOS_VENDA!Q$10:R$16,2,0)</f>
        <v>JOSÉ ROBERTO</v>
      </c>
      <c r="L5" s="40">
        <f>VLOOKUP(B5,DADOS_VENDA!B$2:G$10,5,0)</f>
        <v>2</v>
      </c>
      <c r="M5" s="40" t="str">
        <f>VLOOKUP(Tabela8[[#This Row],[CODIGO_LOJA]],Tabela7[#All],2,0)</f>
        <v>LOJA A</v>
      </c>
      <c r="N5" s="40" t="str">
        <f>VLOOKUP(L5,DADOS_VENDA!T$2:V$6,3,0)</f>
        <v>MT</v>
      </c>
      <c r="O5" s="40" t="str">
        <f>VLOOKUP(Tabela8[[#This Row],[NOME_LOJA]],Tabela7[[#All],[NOME_LOJA]:[TIPO_LOJA]],3,0)</f>
        <v>FÍSICA</v>
      </c>
      <c r="P5" s="42">
        <v>256.49</v>
      </c>
      <c r="Q5" s="40">
        <v>4</v>
      </c>
      <c r="R5" s="42">
        <f t="shared" si="0"/>
        <v>1025.96</v>
      </c>
      <c r="S5" s="40">
        <f>VLOOKUP(Tabela8[[#This Row],[CODIGO_VENDA]],Tabela1[#All],7,0)</f>
        <v>2</v>
      </c>
      <c r="T5" s="40" t="str">
        <f>VLOOKUP(Tabela8[[#This Row],[CODIGO_PAGAMENTO]],Tabela10[#All],2,0)</f>
        <v>CARTÃO DÉBITO</v>
      </c>
    </row>
    <row r="6" spans="2:20" x14ac:dyDescent="0.3">
      <c r="B6" s="40">
        <v>2</v>
      </c>
      <c r="C6" s="41">
        <f>VLOOKUP(B6,DADOS_VENDA!B$2:G$10,2,0)</f>
        <v>45117</v>
      </c>
      <c r="D6" s="40">
        <f>VLOOKUP(Tabela8[[#This Row],[CODIGO_VENDA]],Tabela1[[#All],[CODIGO_VENDA]:[CODIGO_CLIENTE]],3,0)</f>
        <v>4</v>
      </c>
      <c r="E6" s="40" t="str">
        <f>VLOOKUP(D6,DADOS_VENDA!Q$2:R$7,2,0)</f>
        <v>CHICO BUARQUE DE HOLANDA</v>
      </c>
      <c r="F6" s="40">
        <v>2</v>
      </c>
      <c r="G6" s="40" t="str">
        <f>VLOOKUP(F6,DADOS_VENDA!B$13:D$19,2,0)</f>
        <v>GELADEIRA FROSTFREE BRASTEMP</v>
      </c>
      <c r="H6" s="40">
        <f>VLOOKUP(F6,DADOS_VENDA!B$13:D$19,3,0)</f>
        <v>2</v>
      </c>
      <c r="I6" s="40" t="str">
        <f>VLOOKUP(H6,DADOS_VENDA!B$22:C$27,2,0)</f>
        <v>ELETRODOMÉSTICO</v>
      </c>
      <c r="J6" s="40">
        <f>VLOOKUP(Tabela8[[#This Row],[CODIGO_VENDA]],DADOS_VENDA!B$2:E$11,4,0)</f>
        <v>3</v>
      </c>
      <c r="K6" s="40" t="str">
        <f>VLOOKUP(J6,DADOS_VENDA!Q$10:R$16,2,0)</f>
        <v>MARIA ANTONIETA</v>
      </c>
      <c r="L6" s="40">
        <f>VLOOKUP(B6,DADOS_VENDA!B$2:G$10,5,0)</f>
        <v>2</v>
      </c>
      <c r="M6" s="40" t="str">
        <f>VLOOKUP(Tabela8[[#This Row],[CODIGO_LOJA]],Tabela7[#All],2,0)</f>
        <v>LOJA A</v>
      </c>
      <c r="N6" s="40" t="str">
        <f>VLOOKUP(L6,DADOS_VENDA!T$2:V$6,3,0)</f>
        <v>MT</v>
      </c>
      <c r="O6" s="40" t="str">
        <f>VLOOKUP(Tabela8[[#This Row],[NOME_LOJA]],Tabela7[[#All],[NOME_LOJA]:[TIPO_LOJA]],3,0)</f>
        <v>FÍSICA</v>
      </c>
      <c r="P6" s="42">
        <v>3989.05</v>
      </c>
      <c r="Q6" s="40">
        <v>1</v>
      </c>
      <c r="R6" s="42">
        <f t="shared" si="0"/>
        <v>3989.05</v>
      </c>
      <c r="S6" s="40">
        <f>VLOOKUP(Tabela8[[#This Row],[CODIGO_VENDA]],Tabela1[#All],7,0)</f>
        <v>4</v>
      </c>
      <c r="T6" s="40" t="str">
        <f>VLOOKUP(Tabela8[[#This Row],[CODIGO_PAGAMENTO]],Tabela10[#All],2,0)</f>
        <v>PIX</v>
      </c>
    </row>
    <row r="7" spans="2:20" x14ac:dyDescent="0.3">
      <c r="B7" s="40">
        <v>2</v>
      </c>
      <c r="C7" s="41">
        <f>VLOOKUP(B7,DADOS_VENDA!B$2:G$10,2,0)</f>
        <v>45117</v>
      </c>
      <c r="D7" s="40">
        <f>VLOOKUP(Tabela8[[#This Row],[CODIGO_VENDA]],Tabela1[[#All],[CODIGO_VENDA]:[CODIGO_CLIENTE]],3,0)</f>
        <v>4</v>
      </c>
      <c r="E7" s="40" t="str">
        <f>VLOOKUP(D7,DADOS_VENDA!Q$2:R$7,2,0)</f>
        <v>CHICO BUARQUE DE HOLANDA</v>
      </c>
      <c r="F7" s="40">
        <v>3</v>
      </c>
      <c r="G7" s="40" t="str">
        <f>VLOOKUP(F7,DADOS_VENDA!B$13:D$19,2,0)</f>
        <v>FOGÃO 5 BOCAS BRASTEMP</v>
      </c>
      <c r="H7" s="40">
        <f>VLOOKUP(F7,DADOS_VENDA!B$13:D$19,3,0)</f>
        <v>2</v>
      </c>
      <c r="I7" s="40" t="str">
        <f>VLOOKUP(H7,DADOS_VENDA!B$22:C$27,2,0)</f>
        <v>ELETRODOMÉSTICO</v>
      </c>
      <c r="J7" s="40">
        <f>VLOOKUP(Tabela8[[#This Row],[CODIGO_VENDA]],DADOS_VENDA!B$2:E$11,4,0)</f>
        <v>3</v>
      </c>
      <c r="K7" s="40" t="str">
        <f>VLOOKUP(J7,DADOS_VENDA!Q$10:R$16,2,0)</f>
        <v>MARIA ANTONIETA</v>
      </c>
      <c r="L7" s="40">
        <f>VLOOKUP(B7,DADOS_VENDA!B$2:G$10,5,0)</f>
        <v>2</v>
      </c>
      <c r="M7" s="40" t="str">
        <f>VLOOKUP(Tabela8[[#This Row],[CODIGO_LOJA]],Tabela7[#All],2,0)</f>
        <v>LOJA A</v>
      </c>
      <c r="N7" s="40" t="str">
        <f>VLOOKUP(L7,DADOS_VENDA!T$2:V$6,3,0)</f>
        <v>MT</v>
      </c>
      <c r="O7" s="40" t="str">
        <f>VLOOKUP(Tabela8[[#This Row],[NOME_LOJA]],Tabela7[[#All],[NOME_LOJA]:[TIPO_LOJA]],3,0)</f>
        <v>FÍSICA</v>
      </c>
      <c r="P7" s="42">
        <v>1884.45</v>
      </c>
      <c r="Q7" s="40">
        <v>1</v>
      </c>
      <c r="R7" s="42">
        <f t="shared" si="0"/>
        <v>1884.45</v>
      </c>
      <c r="S7" s="40">
        <f>VLOOKUP(Tabela8[[#This Row],[CODIGO_VENDA]],Tabela1[#All],7,0)</f>
        <v>4</v>
      </c>
      <c r="T7" s="40" t="str">
        <f>VLOOKUP(Tabela8[[#This Row],[CODIGO_PAGAMENTO]],Tabela10[#All],2,0)</f>
        <v>PIX</v>
      </c>
    </row>
    <row r="8" spans="2:20" x14ac:dyDescent="0.3">
      <c r="B8" s="40">
        <v>3</v>
      </c>
      <c r="C8" s="41">
        <f>VLOOKUP(B8,DADOS_VENDA!B$2:G$10,2,0)</f>
        <v>45118</v>
      </c>
      <c r="D8" s="40">
        <f>VLOOKUP(Tabela8[[#This Row],[CODIGO_VENDA]],Tabela1[[#All],[CODIGO_VENDA]:[CODIGO_CLIENTE]],3,0)</f>
        <v>3</v>
      </c>
      <c r="E8" s="40" t="str">
        <f>VLOOKUP(D8,DADOS_VENDA!Q$2:R$7,2,0)</f>
        <v>MACHADO DE ASSIS</v>
      </c>
      <c r="F8" s="40">
        <v>5</v>
      </c>
      <c r="G8" s="40" t="str">
        <f>VLOOKUP(F8,DADOS_VENDA!B$13:D$19,2,0)</f>
        <v>NOTEBOOK MACBOOK PRO 14 M2</v>
      </c>
      <c r="H8" s="40">
        <f>VLOOKUP(F8,DADOS_VENDA!B$13:D$19,3,0)</f>
        <v>4</v>
      </c>
      <c r="I8" s="40" t="str">
        <f>VLOOKUP(H8,DADOS_VENDA!B$22:C$27,2,0)</f>
        <v>COMPUTADOR</v>
      </c>
      <c r="J8" s="40">
        <f>VLOOKUP(Tabela8[[#This Row],[CODIGO_VENDA]],DADOS_VENDA!B$2:E$11,4,0)</f>
        <v>1</v>
      </c>
      <c r="K8" s="40" t="str">
        <f>VLOOKUP(J8,DADOS_VENDA!Q$10:R$16,2,0)</f>
        <v>WWW</v>
      </c>
      <c r="L8" s="40">
        <f>VLOOKUP(B8,DADOS_VENDA!B$2:G$10,5,0)</f>
        <v>1</v>
      </c>
      <c r="M8" s="40" t="str">
        <f>VLOOKUP(Tabela8[[#This Row],[CODIGO_LOJA]],Tabela7[#All],2,0)</f>
        <v>E-COMMERCE</v>
      </c>
      <c r="N8" s="40" t="str">
        <f>VLOOKUP(L8,DADOS_VENDA!T$2:V$6,3,0)</f>
        <v>WWW</v>
      </c>
      <c r="O8" s="40" t="str">
        <f>VLOOKUP(Tabela8[[#This Row],[NOME_LOJA]],Tabela7[[#All],[NOME_LOJA]:[TIPO_LOJA]],3,0)</f>
        <v>VIRTUAL</v>
      </c>
      <c r="P8" s="42">
        <v>16266.99</v>
      </c>
      <c r="Q8" s="40">
        <v>1</v>
      </c>
      <c r="R8" s="42">
        <f t="shared" si="0"/>
        <v>16266.99</v>
      </c>
      <c r="S8" s="40">
        <f>VLOOKUP(Tabela8[[#This Row],[CODIGO_VENDA]],Tabela1[#All],7,0)</f>
        <v>1</v>
      </c>
      <c r="T8" s="40" t="str">
        <f>VLOOKUP(Tabela8[[#This Row],[CODIGO_PAGAMENTO]],Tabela10[#All],2,0)</f>
        <v>CARTÃO CRÉDITO</v>
      </c>
    </row>
    <row r="9" spans="2:20" x14ac:dyDescent="0.3">
      <c r="B9" s="40">
        <v>3</v>
      </c>
      <c r="C9" s="41">
        <f>VLOOKUP(B9,DADOS_VENDA!B$2:G$10,2,0)</f>
        <v>45118</v>
      </c>
      <c r="D9" s="40">
        <f>VLOOKUP(Tabela8[[#This Row],[CODIGO_VENDA]],Tabela1[[#All],[CODIGO_VENDA]:[CODIGO_CLIENTE]],3,0)</f>
        <v>3</v>
      </c>
      <c r="E9" s="40" t="str">
        <f>VLOOKUP(D9,DADOS_VENDA!Q$2:R$7,2,0)</f>
        <v>MACHADO DE ASSIS</v>
      </c>
      <c r="F9" s="40">
        <v>6</v>
      </c>
      <c r="G9" s="40" t="str">
        <f>VLOOKUP(F9,DADOS_VENDA!B$13:D$19,2,0)</f>
        <v>CAMISA FLUMINENSE 23/23</v>
      </c>
      <c r="H9" s="40">
        <f>VLOOKUP(F9,DADOS_VENDA!B$13:D$19,3,0)</f>
        <v>5</v>
      </c>
      <c r="I9" s="40" t="str">
        <f>VLOOKUP(H9,DADOS_VENDA!B$22:C$27,2,0)</f>
        <v>VESTUÁRIO</v>
      </c>
      <c r="J9" s="40">
        <f>VLOOKUP(Tabela8[[#This Row],[CODIGO_VENDA]],DADOS_VENDA!B$2:E$11,4,0)</f>
        <v>1</v>
      </c>
      <c r="K9" s="40" t="str">
        <f>VLOOKUP(J9,DADOS_VENDA!Q$10:R$16,2,0)</f>
        <v>WWW</v>
      </c>
      <c r="L9" s="40">
        <f>VLOOKUP(B9,DADOS_VENDA!B$2:G$10,5,0)</f>
        <v>1</v>
      </c>
      <c r="M9" s="40" t="str">
        <f>VLOOKUP(Tabela8[[#This Row],[CODIGO_LOJA]],Tabela7[#All],2,0)</f>
        <v>E-COMMERCE</v>
      </c>
      <c r="N9" s="40" t="str">
        <f>VLOOKUP(L9,DADOS_VENDA!T$2:V$6,3,0)</f>
        <v>WWW</v>
      </c>
      <c r="O9" s="40" t="str">
        <f>VLOOKUP(Tabela8[[#This Row],[NOME_LOJA]],Tabela7[[#All],[NOME_LOJA]:[TIPO_LOJA]],3,0)</f>
        <v>VIRTUAL</v>
      </c>
      <c r="P9" s="42">
        <v>256.49</v>
      </c>
      <c r="Q9" s="40">
        <v>2</v>
      </c>
      <c r="R9" s="42">
        <f t="shared" si="0"/>
        <v>512.98</v>
      </c>
      <c r="S9" s="40">
        <f>VLOOKUP(Tabela8[[#This Row],[CODIGO_VENDA]],Tabela1[#All],7,0)</f>
        <v>1</v>
      </c>
      <c r="T9" s="40" t="str">
        <f>VLOOKUP(Tabela8[[#This Row],[CODIGO_PAGAMENTO]],Tabela10[#All],2,0)</f>
        <v>CARTÃO CRÉDITO</v>
      </c>
    </row>
    <row r="10" spans="2:20" x14ac:dyDescent="0.3">
      <c r="B10" s="40">
        <v>3</v>
      </c>
      <c r="C10" s="41">
        <f>VLOOKUP(B10,DADOS_VENDA!B$2:G$10,2,0)</f>
        <v>45118</v>
      </c>
      <c r="D10" s="40">
        <f>VLOOKUP(Tabela8[[#This Row],[CODIGO_VENDA]],Tabela1[[#All],[CODIGO_VENDA]:[CODIGO_CLIENTE]],3,0)</f>
        <v>3</v>
      </c>
      <c r="E10" s="40" t="str">
        <f>VLOOKUP(D10,DADOS_VENDA!Q$2:R$7,2,0)</f>
        <v>MACHADO DE ASSIS</v>
      </c>
      <c r="F10" s="40">
        <v>2</v>
      </c>
      <c r="G10" s="40" t="str">
        <f>VLOOKUP(F10,DADOS_VENDA!B$13:D$19,2,0)</f>
        <v>GELADEIRA FROSTFREE BRASTEMP</v>
      </c>
      <c r="H10" s="40">
        <f>VLOOKUP(F10,DADOS_VENDA!B$13:D$19,3,0)</f>
        <v>2</v>
      </c>
      <c r="I10" s="40" t="str">
        <f>VLOOKUP(H10,DADOS_VENDA!B$22:C$27,2,0)</f>
        <v>ELETRODOMÉSTICO</v>
      </c>
      <c r="J10" s="40">
        <f>VLOOKUP(Tabela8[[#This Row],[CODIGO_VENDA]],DADOS_VENDA!B$2:E$11,4,0)</f>
        <v>1</v>
      </c>
      <c r="K10" s="40" t="str">
        <f>VLOOKUP(J10,DADOS_VENDA!Q$10:R$16,2,0)</f>
        <v>WWW</v>
      </c>
      <c r="L10" s="40">
        <f>VLOOKUP(B10,DADOS_VENDA!B$2:G$10,5,0)</f>
        <v>1</v>
      </c>
      <c r="M10" s="40" t="str">
        <f>VLOOKUP(Tabela8[[#This Row],[CODIGO_LOJA]],Tabela7[#All],2,0)</f>
        <v>E-COMMERCE</v>
      </c>
      <c r="N10" s="40" t="str">
        <f>VLOOKUP(L10,DADOS_VENDA!T$2:V$6,3,0)</f>
        <v>WWW</v>
      </c>
      <c r="O10" s="40" t="str">
        <f>VLOOKUP(Tabela8[[#This Row],[NOME_LOJA]],Tabela7[[#All],[NOME_LOJA]:[TIPO_LOJA]],3,0)</f>
        <v>VIRTUAL</v>
      </c>
      <c r="P10" s="42">
        <v>3989.05</v>
      </c>
      <c r="Q10" s="40">
        <v>1</v>
      </c>
      <c r="R10" s="42">
        <f t="shared" si="0"/>
        <v>3989.05</v>
      </c>
      <c r="S10" s="40">
        <f>VLOOKUP(Tabela8[[#This Row],[CODIGO_VENDA]],Tabela1[#All],7,0)</f>
        <v>1</v>
      </c>
      <c r="T10" s="40" t="str">
        <f>VLOOKUP(Tabela8[[#This Row],[CODIGO_PAGAMENTO]],Tabela10[#All],2,0)</f>
        <v>CARTÃO CRÉDITO</v>
      </c>
    </row>
    <row r="11" spans="2:20" x14ac:dyDescent="0.3">
      <c r="B11" s="40">
        <v>4</v>
      </c>
      <c r="C11" s="41">
        <f>VLOOKUP(B11,DADOS_VENDA!B$2:G$10,2,0)</f>
        <v>45118</v>
      </c>
      <c r="D11" s="40">
        <f>VLOOKUP(Tabela8[[#This Row],[CODIGO_VENDA]],Tabela1[[#All],[CODIGO_VENDA]:[CODIGO_CLIENTE]],3,0)</f>
        <v>1</v>
      </c>
      <c r="E11" s="40" t="str">
        <f>VLOOKUP(D11,DADOS_VENDA!Q$2:R$7,2,0)</f>
        <v>CRISTOVÃO COLOMBO</v>
      </c>
      <c r="F11" s="40">
        <v>1</v>
      </c>
      <c r="G11" s="40" t="str">
        <f>VLOOKUP(F11,DADOS_VENDA!B$13:D$19,2,0)</f>
        <v>IPHONE 11</v>
      </c>
      <c r="H11" s="40">
        <f>VLOOKUP(F11,DADOS_VENDA!B$13:D$19,3,0)</f>
        <v>1</v>
      </c>
      <c r="I11" s="40" t="str">
        <f>VLOOKUP(H11,DADOS_VENDA!B$22:C$27,2,0)</f>
        <v>CELULAR</v>
      </c>
      <c r="J11" s="40">
        <f>VLOOKUP(Tabela8[[#This Row],[CODIGO_VENDA]],DADOS_VENDA!B$2:E$11,4,0)</f>
        <v>4</v>
      </c>
      <c r="K11" s="40" t="str">
        <f>VLOOKUP(J11,DADOS_VENDA!Q$10:R$16,2,0)</f>
        <v>CLARICE LISPECTOR</v>
      </c>
      <c r="L11" s="40">
        <f>VLOOKUP(B11,DADOS_VENDA!B$2:G$10,5,0)</f>
        <v>4</v>
      </c>
      <c r="M11" s="40" t="str">
        <f>VLOOKUP(Tabela8[[#This Row],[CODIGO_LOJA]],Tabela7[#All],2,0)</f>
        <v>LOJA C</v>
      </c>
      <c r="N11" s="40" t="str">
        <f>VLOOKUP(L11,DADOS_VENDA!T$2:V$6,3,0)</f>
        <v>CE</v>
      </c>
      <c r="O11" s="40" t="str">
        <f>VLOOKUP(Tabela8[[#This Row],[NOME_LOJA]],Tabela7[[#All],[NOME_LOJA]:[TIPO_LOJA]],3,0)</f>
        <v>FÍSICA</v>
      </c>
      <c r="P11" s="42">
        <v>2789.9</v>
      </c>
      <c r="Q11" s="40">
        <v>3</v>
      </c>
      <c r="R11" s="42">
        <f t="shared" si="0"/>
        <v>8369.7000000000007</v>
      </c>
      <c r="S11" s="40">
        <f>VLOOKUP(Tabela8[[#This Row],[CODIGO_VENDA]],Tabela1[#All],7,0)</f>
        <v>2</v>
      </c>
      <c r="T11" s="40" t="str">
        <f>VLOOKUP(Tabela8[[#This Row],[CODIGO_PAGAMENTO]],Tabela10[#All],2,0)</f>
        <v>CARTÃO DÉBITO</v>
      </c>
    </row>
    <row r="12" spans="2:20" x14ac:dyDescent="0.3">
      <c r="B12" s="40">
        <v>4</v>
      </c>
      <c r="C12" s="41">
        <f>VLOOKUP(B12,DADOS_VENDA!B$2:G$10,2,0)</f>
        <v>45118</v>
      </c>
      <c r="D12" s="40">
        <f>VLOOKUP(Tabela8[[#This Row],[CODIGO_VENDA]],Tabela1[[#All],[CODIGO_VENDA]:[CODIGO_CLIENTE]],3,0)</f>
        <v>1</v>
      </c>
      <c r="E12" s="40" t="str">
        <f>VLOOKUP(D12,DADOS_VENDA!Q$2:R$7,2,0)</f>
        <v>CRISTOVÃO COLOMBO</v>
      </c>
      <c r="F12" s="40">
        <v>2</v>
      </c>
      <c r="G12" s="40" t="str">
        <f>VLOOKUP(F12,DADOS_VENDA!B$13:D$19,2,0)</f>
        <v>GELADEIRA FROSTFREE BRASTEMP</v>
      </c>
      <c r="H12" s="40">
        <f>VLOOKUP(F12,DADOS_VENDA!B$13:D$19,3,0)</f>
        <v>2</v>
      </c>
      <c r="I12" s="40" t="str">
        <f>VLOOKUP(H12,DADOS_VENDA!B$22:C$27,2,0)</f>
        <v>ELETRODOMÉSTICO</v>
      </c>
      <c r="J12" s="40">
        <f>VLOOKUP(Tabela8[[#This Row],[CODIGO_VENDA]],DADOS_VENDA!B$2:E$11,4,0)</f>
        <v>4</v>
      </c>
      <c r="K12" s="40" t="str">
        <f>VLOOKUP(J12,DADOS_VENDA!Q$10:R$16,2,0)</f>
        <v>CLARICE LISPECTOR</v>
      </c>
      <c r="L12" s="40">
        <f>VLOOKUP(B12,DADOS_VENDA!B$2:G$10,5,0)</f>
        <v>4</v>
      </c>
      <c r="M12" s="40" t="str">
        <f>VLOOKUP(Tabela8[[#This Row],[CODIGO_LOJA]],Tabela7[#All],2,0)</f>
        <v>LOJA C</v>
      </c>
      <c r="N12" s="40" t="str">
        <f>VLOOKUP(L12,DADOS_VENDA!T$2:V$6,3,0)</f>
        <v>CE</v>
      </c>
      <c r="O12" s="40" t="str">
        <f>VLOOKUP(Tabela8[[#This Row],[NOME_LOJA]],Tabela7[[#All],[NOME_LOJA]:[TIPO_LOJA]],3,0)</f>
        <v>FÍSICA</v>
      </c>
      <c r="P12" s="42">
        <v>3989.05</v>
      </c>
      <c r="Q12" s="40">
        <v>2</v>
      </c>
      <c r="R12" s="42">
        <f t="shared" si="0"/>
        <v>7978.1</v>
      </c>
      <c r="S12" s="40">
        <f>VLOOKUP(Tabela8[[#This Row],[CODIGO_VENDA]],Tabela1[#All],7,0)</f>
        <v>2</v>
      </c>
      <c r="T12" s="40" t="str">
        <f>VLOOKUP(Tabela8[[#This Row],[CODIGO_PAGAMENTO]],Tabela10[#All],2,0)</f>
        <v>CARTÃO DÉBITO</v>
      </c>
    </row>
    <row r="13" spans="2:20" x14ac:dyDescent="0.3">
      <c r="B13" s="40">
        <v>4</v>
      </c>
      <c r="C13" s="41">
        <f>VLOOKUP(B13,DADOS_VENDA!B$2:G$10,2,0)</f>
        <v>45118</v>
      </c>
      <c r="D13" s="40">
        <f>VLOOKUP(Tabela8[[#This Row],[CODIGO_VENDA]],Tabela1[[#All],[CODIGO_VENDA]:[CODIGO_CLIENTE]],3,0)</f>
        <v>1</v>
      </c>
      <c r="E13" s="40" t="str">
        <f>VLOOKUP(D13,DADOS_VENDA!Q$2:R$7,2,0)</f>
        <v>CRISTOVÃO COLOMBO</v>
      </c>
      <c r="F13" s="40">
        <v>3</v>
      </c>
      <c r="G13" s="40" t="str">
        <f>VLOOKUP(F13,DADOS_VENDA!B$13:D$19,2,0)</f>
        <v>FOGÃO 5 BOCAS BRASTEMP</v>
      </c>
      <c r="H13" s="40">
        <f>VLOOKUP(F13,DADOS_VENDA!B$13:D$19,3,0)</f>
        <v>2</v>
      </c>
      <c r="I13" s="40" t="str">
        <f>VLOOKUP(H13,DADOS_VENDA!B$22:C$27,2,0)</f>
        <v>ELETRODOMÉSTICO</v>
      </c>
      <c r="J13" s="40">
        <f>VLOOKUP(Tabela8[[#This Row],[CODIGO_VENDA]],DADOS_VENDA!B$2:E$11,4,0)</f>
        <v>4</v>
      </c>
      <c r="K13" s="40" t="str">
        <f>VLOOKUP(J13,DADOS_VENDA!Q$10:R$16,2,0)</f>
        <v>CLARICE LISPECTOR</v>
      </c>
      <c r="L13" s="40">
        <f>VLOOKUP(B13,DADOS_VENDA!B$2:G$10,5,0)</f>
        <v>4</v>
      </c>
      <c r="M13" s="40" t="str">
        <f>VLOOKUP(Tabela8[[#This Row],[CODIGO_LOJA]],Tabela7[#All],2,0)</f>
        <v>LOJA C</v>
      </c>
      <c r="N13" s="40" t="str">
        <f>VLOOKUP(L13,DADOS_VENDA!T$2:V$6,3,0)</f>
        <v>CE</v>
      </c>
      <c r="O13" s="40" t="str">
        <f>VLOOKUP(Tabela8[[#This Row],[NOME_LOJA]],Tabela7[[#All],[NOME_LOJA]:[TIPO_LOJA]],3,0)</f>
        <v>FÍSICA</v>
      </c>
      <c r="P13" s="42">
        <v>1884.45</v>
      </c>
      <c r="Q13" s="40">
        <v>1</v>
      </c>
      <c r="R13" s="42">
        <f t="shared" si="0"/>
        <v>1884.45</v>
      </c>
      <c r="S13" s="40">
        <f>VLOOKUP(Tabela8[[#This Row],[CODIGO_VENDA]],Tabela1[#All],7,0)</f>
        <v>2</v>
      </c>
      <c r="T13" s="40" t="str">
        <f>VLOOKUP(Tabela8[[#This Row],[CODIGO_PAGAMENTO]],Tabela10[#All],2,0)</f>
        <v>CARTÃO DÉBITO</v>
      </c>
    </row>
    <row r="14" spans="2:20" x14ac:dyDescent="0.3">
      <c r="B14" s="40">
        <v>5</v>
      </c>
      <c r="C14" s="41">
        <f>VLOOKUP(B14,DADOS_VENDA!B$2:G$10,2,0)</f>
        <v>45119</v>
      </c>
      <c r="D14" s="40">
        <f>VLOOKUP(Tabela8[[#This Row],[CODIGO_VENDA]],Tabela1[[#All],[CODIGO_VENDA]:[CODIGO_CLIENTE]],3,0)</f>
        <v>5</v>
      </c>
      <c r="E14" s="40" t="str">
        <f>VLOOKUP(D14,DADOS_VENDA!Q$2:R$7,2,0)</f>
        <v>MAURICIO DE SOUZA</v>
      </c>
      <c r="F14" s="40">
        <v>5</v>
      </c>
      <c r="G14" s="40" t="str">
        <f>VLOOKUP(F14,DADOS_VENDA!B$13:D$19,2,0)</f>
        <v>NOTEBOOK MACBOOK PRO 14 M2</v>
      </c>
      <c r="H14" s="40">
        <f>VLOOKUP(F14,DADOS_VENDA!B$13:D$19,3,0)</f>
        <v>4</v>
      </c>
      <c r="I14" s="40" t="str">
        <f>VLOOKUP(H14,DADOS_VENDA!B$22:C$27,2,0)</f>
        <v>COMPUTADOR</v>
      </c>
      <c r="J14" s="40">
        <f>VLOOKUP(Tabela8[[#This Row],[CODIGO_VENDA]],DADOS_VENDA!B$2:E$11,4,0)</f>
        <v>6</v>
      </c>
      <c r="K14" s="40" t="str">
        <f>VLOOKUP(J14,DADOS_VENDA!Q$10:R$16,2,0)</f>
        <v>ZEZÉ DE CAMARGO</v>
      </c>
      <c r="L14" s="40">
        <f>VLOOKUP(B14,DADOS_VENDA!B$2:G$10,5,0)</f>
        <v>3</v>
      </c>
      <c r="M14" s="40" t="str">
        <f>VLOOKUP(Tabela8[[#This Row],[CODIGO_LOJA]],Tabela7[#All],2,0)</f>
        <v>LOJA B</v>
      </c>
      <c r="N14" s="40" t="str">
        <f>VLOOKUP(L14,DADOS_VENDA!T$2:V$6,3,0)</f>
        <v>RJ</v>
      </c>
      <c r="O14" s="40" t="str">
        <f>VLOOKUP(Tabela8[[#This Row],[NOME_LOJA]],Tabela7[[#All],[NOME_LOJA]:[TIPO_LOJA]],3,0)</f>
        <v>FÍSICA</v>
      </c>
      <c r="P14" s="42">
        <v>16266.99</v>
      </c>
      <c r="Q14" s="40">
        <v>1</v>
      </c>
      <c r="R14" s="42">
        <f t="shared" si="0"/>
        <v>16266.99</v>
      </c>
      <c r="S14" s="40">
        <f>VLOOKUP(Tabela8[[#This Row],[CODIGO_VENDA]],Tabela1[#All],7,0)</f>
        <v>1</v>
      </c>
      <c r="T14" s="40" t="str">
        <f>VLOOKUP(Tabela8[[#This Row],[CODIGO_PAGAMENTO]],Tabela10[#All],2,0)</f>
        <v>CARTÃO CRÉDITO</v>
      </c>
    </row>
    <row r="15" spans="2:20" x14ac:dyDescent="0.3">
      <c r="B15" s="40">
        <v>5</v>
      </c>
      <c r="C15" s="41">
        <f>VLOOKUP(B15,DADOS_VENDA!B$2:G$10,2,0)</f>
        <v>45119</v>
      </c>
      <c r="D15" s="40">
        <f>VLOOKUP(Tabela8[[#This Row],[CODIGO_VENDA]],Tabela1[[#All],[CODIGO_VENDA]:[CODIGO_CLIENTE]],3,0)</f>
        <v>5</v>
      </c>
      <c r="E15" s="40" t="str">
        <f>VLOOKUP(D15,DADOS_VENDA!Q$2:R$7,2,0)</f>
        <v>MAURICIO DE SOUZA</v>
      </c>
      <c r="F15" s="40">
        <v>6</v>
      </c>
      <c r="G15" s="40" t="str">
        <f>VLOOKUP(F15,DADOS_VENDA!B$13:D$19,2,0)</f>
        <v>CAMISA FLUMINENSE 23/23</v>
      </c>
      <c r="H15" s="40">
        <f>VLOOKUP(F15,DADOS_VENDA!B$13:D$19,3,0)</f>
        <v>5</v>
      </c>
      <c r="I15" s="40" t="str">
        <f>VLOOKUP(H15,DADOS_VENDA!B$22:C$27,2,0)</f>
        <v>VESTUÁRIO</v>
      </c>
      <c r="J15" s="40">
        <f>VLOOKUP(Tabela8[[#This Row],[CODIGO_VENDA]],DADOS_VENDA!B$2:E$11,4,0)</f>
        <v>6</v>
      </c>
      <c r="K15" s="40" t="str">
        <f>VLOOKUP(J15,DADOS_VENDA!Q$10:R$16,2,0)</f>
        <v>ZEZÉ DE CAMARGO</v>
      </c>
      <c r="L15" s="40">
        <f>VLOOKUP(B15,DADOS_VENDA!B$2:G$10,5,0)</f>
        <v>3</v>
      </c>
      <c r="M15" s="40" t="str">
        <f>VLOOKUP(Tabela8[[#This Row],[CODIGO_LOJA]],Tabela7[#All],2,0)</f>
        <v>LOJA B</v>
      </c>
      <c r="N15" s="40" t="str">
        <f>VLOOKUP(L15,DADOS_VENDA!T$2:V$6,3,0)</f>
        <v>RJ</v>
      </c>
      <c r="O15" s="40" t="str">
        <f>VLOOKUP(Tabela8[[#This Row],[NOME_LOJA]],Tabela7[[#All],[NOME_LOJA]:[TIPO_LOJA]],3,0)</f>
        <v>FÍSICA</v>
      </c>
      <c r="P15" s="42">
        <v>256.49</v>
      </c>
      <c r="Q15" s="40">
        <v>1</v>
      </c>
      <c r="R15" s="42">
        <f t="shared" si="0"/>
        <v>256.49</v>
      </c>
      <c r="S15" s="40">
        <f>VLOOKUP(Tabela8[[#This Row],[CODIGO_VENDA]],Tabela1[#All],7,0)</f>
        <v>1</v>
      </c>
      <c r="T15" s="40" t="str">
        <f>VLOOKUP(Tabela8[[#This Row],[CODIGO_PAGAMENTO]],Tabela10[#All],2,0)</f>
        <v>CARTÃO CRÉDITO</v>
      </c>
    </row>
    <row r="16" spans="2:20" x14ac:dyDescent="0.3">
      <c r="B16" s="40">
        <v>5</v>
      </c>
      <c r="C16" s="41">
        <f>VLOOKUP(B16,DADOS_VENDA!B$2:G$10,2,0)</f>
        <v>45119</v>
      </c>
      <c r="D16" s="40">
        <f>VLOOKUP(Tabela8[[#This Row],[CODIGO_VENDA]],Tabela1[[#All],[CODIGO_VENDA]:[CODIGO_CLIENTE]],3,0)</f>
        <v>5</v>
      </c>
      <c r="E16" s="40" t="str">
        <f>VLOOKUP(D16,DADOS_VENDA!Q$2:R$7,2,0)</f>
        <v>MAURICIO DE SOUZA</v>
      </c>
      <c r="F16" s="40">
        <v>3</v>
      </c>
      <c r="G16" s="40" t="str">
        <f>VLOOKUP(F16,DADOS_VENDA!B$13:D$19,2,0)</f>
        <v>FOGÃO 5 BOCAS BRASTEMP</v>
      </c>
      <c r="H16" s="40">
        <f>VLOOKUP(F16,DADOS_VENDA!B$13:D$19,3,0)</f>
        <v>2</v>
      </c>
      <c r="I16" s="40" t="str">
        <f>VLOOKUP(H16,DADOS_VENDA!B$22:C$27,2,0)</f>
        <v>ELETRODOMÉSTICO</v>
      </c>
      <c r="J16" s="40">
        <f>VLOOKUP(Tabela8[[#This Row],[CODIGO_VENDA]],DADOS_VENDA!B$2:E$11,4,0)</f>
        <v>6</v>
      </c>
      <c r="K16" s="40" t="str">
        <f>VLOOKUP(J16,DADOS_VENDA!Q$10:R$16,2,0)</f>
        <v>ZEZÉ DE CAMARGO</v>
      </c>
      <c r="L16" s="40">
        <f>VLOOKUP(B16,DADOS_VENDA!B$2:G$10,5,0)</f>
        <v>3</v>
      </c>
      <c r="M16" s="40" t="str">
        <f>VLOOKUP(Tabela8[[#This Row],[CODIGO_LOJA]],Tabela7[#All],2,0)</f>
        <v>LOJA B</v>
      </c>
      <c r="N16" s="40" t="str">
        <f>VLOOKUP(L16,DADOS_VENDA!T$2:V$6,3,0)</f>
        <v>RJ</v>
      </c>
      <c r="O16" s="40" t="str">
        <f>VLOOKUP(Tabela8[[#This Row],[NOME_LOJA]],Tabela7[[#All],[NOME_LOJA]:[TIPO_LOJA]],3,0)</f>
        <v>FÍSICA</v>
      </c>
      <c r="P16" s="42">
        <v>1884.45</v>
      </c>
      <c r="Q16" s="40">
        <v>1</v>
      </c>
      <c r="R16" s="42">
        <f t="shared" si="0"/>
        <v>1884.45</v>
      </c>
      <c r="S16" s="40">
        <f>VLOOKUP(Tabela8[[#This Row],[CODIGO_VENDA]],Tabela1[#All],7,0)</f>
        <v>1</v>
      </c>
      <c r="T16" s="40" t="str">
        <f>VLOOKUP(Tabela8[[#This Row],[CODIGO_PAGAMENTO]],Tabela10[#All],2,0)</f>
        <v>CARTÃO CRÉDITO</v>
      </c>
    </row>
    <row r="17" spans="2:20" x14ac:dyDescent="0.3">
      <c r="B17" s="40">
        <v>6</v>
      </c>
      <c r="C17" s="41">
        <f>VLOOKUP(B17,DADOS_VENDA!B$2:G$10,2,0)</f>
        <v>45119</v>
      </c>
      <c r="D17" s="40">
        <f>VLOOKUP(Tabela8[[#This Row],[CODIGO_VENDA]],Tabela1[[#All],[CODIGO_VENDA]:[CODIGO_CLIENTE]],3,0)</f>
        <v>3</v>
      </c>
      <c r="E17" s="40" t="str">
        <f>VLOOKUP(D17,DADOS_VENDA!Q$2:R$7,2,0)</f>
        <v>MACHADO DE ASSIS</v>
      </c>
      <c r="F17" s="40">
        <v>4</v>
      </c>
      <c r="G17" s="40" t="str">
        <f>VLOOKUP(F17,DADOS_VENDA!B$13:D$19,2,0)</f>
        <v>PENDRIVE SCANDISK CRUZER BLADE 128 GB</v>
      </c>
      <c r="H17" s="40">
        <f>VLOOKUP(F17,DADOS_VENDA!B$13:D$19,3,0)</f>
        <v>3</v>
      </c>
      <c r="I17" s="40" t="str">
        <f>VLOOKUP(H17,DADOS_VENDA!B$22:C$27,2,0)</f>
        <v>ACESSÓRIO</v>
      </c>
      <c r="J17" s="40">
        <f>VLOOKUP(Tabela8[[#This Row],[CODIGO_VENDA]],DADOS_VENDA!B$2:E$11,4,0)</f>
        <v>1</v>
      </c>
      <c r="K17" s="40" t="str">
        <f>VLOOKUP(J17,DADOS_VENDA!Q$10:R$16,2,0)</f>
        <v>WWW</v>
      </c>
      <c r="L17" s="40">
        <f>VLOOKUP(B17,DADOS_VENDA!B$2:G$10,5,0)</f>
        <v>1</v>
      </c>
      <c r="M17" s="40" t="str">
        <f>VLOOKUP(Tabela8[[#This Row],[CODIGO_LOJA]],Tabela7[#All],2,0)</f>
        <v>E-COMMERCE</v>
      </c>
      <c r="N17" s="40" t="str">
        <f>VLOOKUP(L17,DADOS_VENDA!T$2:V$6,3,0)</f>
        <v>WWW</v>
      </c>
      <c r="O17" s="40" t="str">
        <f>VLOOKUP(Tabela8[[#This Row],[NOME_LOJA]],Tabela7[[#All],[NOME_LOJA]:[TIPO_LOJA]],3,0)</f>
        <v>VIRTUAL</v>
      </c>
      <c r="P17" s="42">
        <v>64.900000000000006</v>
      </c>
      <c r="Q17" s="40">
        <v>3</v>
      </c>
      <c r="R17" s="42">
        <f t="shared" si="0"/>
        <v>194.70000000000002</v>
      </c>
      <c r="S17" s="40">
        <f>VLOOKUP(Tabela8[[#This Row],[CODIGO_VENDA]],Tabela1[#All],7,0)</f>
        <v>3</v>
      </c>
      <c r="T17" s="40" t="str">
        <f>VLOOKUP(Tabela8[[#This Row],[CODIGO_PAGAMENTO]],Tabela10[#All],2,0)</f>
        <v>BOLETO</v>
      </c>
    </row>
    <row r="18" spans="2:20" x14ac:dyDescent="0.3">
      <c r="B18" s="40">
        <v>6</v>
      </c>
      <c r="C18" s="41">
        <f>VLOOKUP(B18,DADOS_VENDA!B$2:G$10,2,0)</f>
        <v>45119</v>
      </c>
      <c r="D18" s="40">
        <f>VLOOKUP(Tabela8[[#This Row],[CODIGO_VENDA]],Tabela1[[#All],[CODIGO_VENDA]:[CODIGO_CLIENTE]],3,0)</f>
        <v>3</v>
      </c>
      <c r="E18" s="40" t="str">
        <f>VLOOKUP(D18,DADOS_VENDA!Q$2:R$7,2,0)</f>
        <v>MACHADO DE ASSIS</v>
      </c>
      <c r="F18" s="40">
        <v>3</v>
      </c>
      <c r="G18" s="40" t="str">
        <f>VLOOKUP(F18,DADOS_VENDA!B$13:D$19,2,0)</f>
        <v>FOGÃO 5 BOCAS BRASTEMP</v>
      </c>
      <c r="H18" s="40">
        <f>VLOOKUP(F18,DADOS_VENDA!B$13:D$19,3,0)</f>
        <v>2</v>
      </c>
      <c r="I18" s="40" t="str">
        <f>VLOOKUP(H18,DADOS_VENDA!B$22:C$27,2,0)</f>
        <v>ELETRODOMÉSTICO</v>
      </c>
      <c r="J18" s="40">
        <f>VLOOKUP(Tabela8[[#This Row],[CODIGO_VENDA]],DADOS_VENDA!B$2:E$11,4,0)</f>
        <v>1</v>
      </c>
      <c r="K18" s="40" t="str">
        <f>VLOOKUP(J18,DADOS_VENDA!Q$10:R$16,2,0)</f>
        <v>WWW</v>
      </c>
      <c r="L18" s="40">
        <f>VLOOKUP(B18,DADOS_VENDA!B$2:G$10,5,0)</f>
        <v>1</v>
      </c>
      <c r="M18" s="40" t="str">
        <f>VLOOKUP(Tabela8[[#This Row],[CODIGO_LOJA]],Tabela7[#All],2,0)</f>
        <v>E-COMMERCE</v>
      </c>
      <c r="N18" s="40" t="str">
        <f>VLOOKUP(L18,DADOS_VENDA!T$2:V$6,3,0)</f>
        <v>WWW</v>
      </c>
      <c r="O18" s="40" t="str">
        <f>VLOOKUP(Tabela8[[#This Row],[NOME_LOJA]],Tabela7[[#All],[NOME_LOJA]:[TIPO_LOJA]],3,0)</f>
        <v>VIRTUAL</v>
      </c>
      <c r="P18" s="42">
        <v>1884.45</v>
      </c>
      <c r="Q18" s="40">
        <v>1</v>
      </c>
      <c r="R18" s="42">
        <f t="shared" si="0"/>
        <v>1884.45</v>
      </c>
      <c r="S18" s="40">
        <f>VLOOKUP(Tabela8[[#This Row],[CODIGO_VENDA]],Tabela1[#All],7,0)</f>
        <v>3</v>
      </c>
      <c r="T18" s="40" t="str">
        <f>VLOOKUP(Tabela8[[#This Row],[CODIGO_PAGAMENTO]],Tabela10[#All],2,0)</f>
        <v>BOLETO</v>
      </c>
    </row>
    <row r="19" spans="2:20" x14ac:dyDescent="0.3">
      <c r="B19" s="40">
        <v>6</v>
      </c>
      <c r="C19" s="41">
        <f>VLOOKUP(B19,DADOS_VENDA!B$2:G$10,2,0)</f>
        <v>45119</v>
      </c>
      <c r="D19" s="40">
        <f>VLOOKUP(Tabela8[[#This Row],[CODIGO_VENDA]],Tabela1[[#All],[CODIGO_VENDA]:[CODIGO_CLIENTE]],3,0)</f>
        <v>3</v>
      </c>
      <c r="E19" s="40" t="str">
        <f>VLOOKUP(D19,DADOS_VENDA!Q$2:R$7,2,0)</f>
        <v>MACHADO DE ASSIS</v>
      </c>
      <c r="F19" s="40">
        <v>5</v>
      </c>
      <c r="G19" s="40" t="str">
        <f>VLOOKUP(F19,DADOS_VENDA!B$13:D$19,2,0)</f>
        <v>NOTEBOOK MACBOOK PRO 14 M2</v>
      </c>
      <c r="H19" s="40">
        <f>VLOOKUP(F19,DADOS_VENDA!B$13:D$19,3,0)</f>
        <v>4</v>
      </c>
      <c r="I19" s="40" t="str">
        <f>VLOOKUP(H19,DADOS_VENDA!B$22:C$27,2,0)</f>
        <v>COMPUTADOR</v>
      </c>
      <c r="J19" s="40">
        <f>VLOOKUP(Tabela8[[#This Row],[CODIGO_VENDA]],DADOS_VENDA!B$2:E$11,4,0)</f>
        <v>1</v>
      </c>
      <c r="K19" s="40" t="str">
        <f>VLOOKUP(J19,DADOS_VENDA!Q$10:R$16,2,0)</f>
        <v>WWW</v>
      </c>
      <c r="L19" s="40">
        <f>VLOOKUP(B19,DADOS_VENDA!B$2:G$10,5,0)</f>
        <v>1</v>
      </c>
      <c r="M19" s="40" t="str">
        <f>VLOOKUP(Tabela8[[#This Row],[CODIGO_LOJA]],Tabela7[#All],2,0)</f>
        <v>E-COMMERCE</v>
      </c>
      <c r="N19" s="40" t="str">
        <f>VLOOKUP(L19,DADOS_VENDA!T$2:V$6,3,0)</f>
        <v>WWW</v>
      </c>
      <c r="O19" s="40" t="str">
        <f>VLOOKUP(Tabela8[[#This Row],[NOME_LOJA]],Tabela7[[#All],[NOME_LOJA]:[TIPO_LOJA]],3,0)</f>
        <v>VIRTUAL</v>
      </c>
      <c r="P19" s="42">
        <v>16266.99</v>
      </c>
      <c r="Q19" s="40">
        <v>2</v>
      </c>
      <c r="R19" s="42">
        <f t="shared" si="0"/>
        <v>32533.98</v>
      </c>
      <c r="S19" s="40">
        <f>VLOOKUP(Tabela8[[#This Row],[CODIGO_VENDA]],Tabela1[#All],7,0)</f>
        <v>3</v>
      </c>
      <c r="T19" s="40" t="str">
        <f>VLOOKUP(Tabela8[[#This Row],[CODIGO_PAGAMENTO]],Tabela10[#All],2,0)</f>
        <v>BOLETO</v>
      </c>
    </row>
    <row r="20" spans="2:20" x14ac:dyDescent="0.3">
      <c r="B20" s="40">
        <v>6</v>
      </c>
      <c r="C20" s="41">
        <f>VLOOKUP(B20,DADOS_VENDA!B$2:G$10,2,0)</f>
        <v>45119</v>
      </c>
      <c r="D20" s="40">
        <f>VLOOKUP(Tabela8[[#This Row],[CODIGO_VENDA]],Tabela1[[#All],[CODIGO_VENDA]:[CODIGO_CLIENTE]],3,0)</f>
        <v>3</v>
      </c>
      <c r="E20" s="40" t="str">
        <f>VLOOKUP(D20,DADOS_VENDA!Q$2:R$7,2,0)</f>
        <v>MACHADO DE ASSIS</v>
      </c>
      <c r="F20" s="40">
        <v>2</v>
      </c>
      <c r="G20" s="40" t="str">
        <f>VLOOKUP(F20,DADOS_VENDA!B$13:D$19,2,0)</f>
        <v>GELADEIRA FROSTFREE BRASTEMP</v>
      </c>
      <c r="H20" s="40">
        <f>VLOOKUP(F20,DADOS_VENDA!B$13:D$19,3,0)</f>
        <v>2</v>
      </c>
      <c r="I20" s="40" t="str">
        <f>VLOOKUP(H20,DADOS_VENDA!B$22:C$27,2,0)</f>
        <v>ELETRODOMÉSTICO</v>
      </c>
      <c r="J20" s="40">
        <f>VLOOKUP(Tabela8[[#This Row],[CODIGO_VENDA]],DADOS_VENDA!B$2:E$11,4,0)</f>
        <v>1</v>
      </c>
      <c r="K20" s="40" t="str">
        <f>VLOOKUP(J20,DADOS_VENDA!Q$10:R$16,2,0)</f>
        <v>WWW</v>
      </c>
      <c r="L20" s="40">
        <f>VLOOKUP(B20,DADOS_VENDA!B$2:G$10,5,0)</f>
        <v>1</v>
      </c>
      <c r="M20" s="40" t="str">
        <f>VLOOKUP(Tabela8[[#This Row],[CODIGO_LOJA]],Tabela7[#All],2,0)</f>
        <v>E-COMMERCE</v>
      </c>
      <c r="N20" s="40" t="str">
        <f>VLOOKUP(L20,DADOS_VENDA!T$2:V$6,3,0)</f>
        <v>WWW</v>
      </c>
      <c r="O20" s="40" t="str">
        <f>VLOOKUP(Tabela8[[#This Row],[NOME_LOJA]],Tabela7[[#All],[NOME_LOJA]:[TIPO_LOJA]],3,0)</f>
        <v>VIRTUAL</v>
      </c>
      <c r="P20" s="42">
        <v>3989.05</v>
      </c>
      <c r="Q20" s="40">
        <v>1</v>
      </c>
      <c r="R20" s="42">
        <f t="shared" si="0"/>
        <v>3989.05</v>
      </c>
      <c r="S20" s="40">
        <f>VLOOKUP(Tabela8[[#This Row],[CODIGO_VENDA]],Tabela1[#All],7,0)</f>
        <v>3</v>
      </c>
      <c r="T20" s="40" t="str">
        <f>VLOOKUP(Tabela8[[#This Row],[CODIGO_PAGAMENTO]],Tabela10[#All],2,0)</f>
        <v>BOLETO</v>
      </c>
    </row>
    <row r="21" spans="2:20" x14ac:dyDescent="0.3">
      <c r="B21" s="40">
        <v>7</v>
      </c>
      <c r="C21" s="41">
        <f>VLOOKUP(B21,DADOS_VENDA!B$2:G$10,2,0)</f>
        <v>45120</v>
      </c>
      <c r="D21" s="40">
        <f>VLOOKUP(Tabela8[[#This Row],[CODIGO_VENDA]],Tabela1[[#All],[CODIGO_VENDA]:[CODIGO_CLIENTE]],3,0)</f>
        <v>4</v>
      </c>
      <c r="E21" s="40" t="str">
        <f>VLOOKUP(D21,DADOS_VENDA!Q$2:R$7,2,0)</f>
        <v>CHICO BUARQUE DE HOLANDA</v>
      </c>
      <c r="F21" s="40">
        <v>1</v>
      </c>
      <c r="G21" s="40" t="str">
        <f>VLOOKUP(F21,DADOS_VENDA!B$13:D$19,2,0)</f>
        <v>IPHONE 11</v>
      </c>
      <c r="H21" s="40">
        <f>VLOOKUP(F21,DADOS_VENDA!B$13:D$19,3,0)</f>
        <v>1</v>
      </c>
      <c r="I21" s="40" t="str">
        <f>VLOOKUP(H21,DADOS_VENDA!B$22:C$27,2,0)</f>
        <v>CELULAR</v>
      </c>
      <c r="J21" s="40">
        <f>VLOOKUP(Tabela8[[#This Row],[CODIGO_VENDA]],DADOS_VENDA!B$2:E$11,4,0)</f>
        <v>6</v>
      </c>
      <c r="K21" s="40" t="str">
        <f>VLOOKUP(J21,DADOS_VENDA!Q$10:R$16,2,0)</f>
        <v>ZEZÉ DE CAMARGO</v>
      </c>
      <c r="L21" s="40">
        <f>VLOOKUP(B21,DADOS_VENDA!B$2:G$10,5,0)</f>
        <v>3</v>
      </c>
      <c r="M21" s="40" t="str">
        <f>VLOOKUP(Tabela8[[#This Row],[CODIGO_LOJA]],Tabela7[#All],2,0)</f>
        <v>LOJA B</v>
      </c>
      <c r="N21" s="40" t="str">
        <f>VLOOKUP(L21,DADOS_VENDA!T$2:V$6,3,0)</f>
        <v>RJ</v>
      </c>
      <c r="O21" s="40" t="str">
        <f>VLOOKUP(Tabela8[[#This Row],[NOME_LOJA]],Tabela7[[#All],[NOME_LOJA]:[TIPO_LOJA]],3,0)</f>
        <v>FÍSICA</v>
      </c>
      <c r="P21" s="42">
        <v>2789.9</v>
      </c>
      <c r="Q21" s="40">
        <v>1</v>
      </c>
      <c r="R21" s="42">
        <f t="shared" si="0"/>
        <v>2789.9</v>
      </c>
      <c r="S21" s="40">
        <f>VLOOKUP(Tabela8[[#This Row],[CODIGO_VENDA]],Tabela1[#All],7,0)</f>
        <v>1</v>
      </c>
      <c r="T21" s="40" t="str">
        <f>VLOOKUP(Tabela8[[#This Row],[CODIGO_PAGAMENTO]],Tabela10[#All],2,0)</f>
        <v>CARTÃO CRÉDITO</v>
      </c>
    </row>
    <row r="22" spans="2:20" x14ac:dyDescent="0.3">
      <c r="B22" s="40">
        <v>7</v>
      </c>
      <c r="C22" s="41">
        <f>VLOOKUP(B22,DADOS_VENDA!B$2:G$10,2,0)</f>
        <v>45120</v>
      </c>
      <c r="D22" s="40">
        <f>VLOOKUP(Tabela8[[#This Row],[CODIGO_VENDA]],Tabela1[[#All],[CODIGO_VENDA]:[CODIGO_CLIENTE]],3,0)</f>
        <v>4</v>
      </c>
      <c r="E22" s="40" t="str">
        <f>VLOOKUP(D22,DADOS_VENDA!Q$2:R$7,2,0)</f>
        <v>CHICO BUARQUE DE HOLANDA</v>
      </c>
      <c r="F22" s="40">
        <v>2</v>
      </c>
      <c r="G22" s="40" t="str">
        <f>VLOOKUP(F22,DADOS_VENDA!B$13:D$19,2,0)</f>
        <v>GELADEIRA FROSTFREE BRASTEMP</v>
      </c>
      <c r="H22" s="40">
        <f>VLOOKUP(F22,DADOS_VENDA!B$13:D$19,3,0)</f>
        <v>2</v>
      </c>
      <c r="I22" s="40" t="str">
        <f>VLOOKUP(H22,DADOS_VENDA!B$22:C$27,2,0)</f>
        <v>ELETRODOMÉSTICO</v>
      </c>
      <c r="J22" s="40">
        <f>VLOOKUP(Tabela8[[#This Row],[CODIGO_VENDA]],DADOS_VENDA!B$2:E$11,4,0)</f>
        <v>6</v>
      </c>
      <c r="K22" s="40" t="str">
        <f>VLOOKUP(J22,DADOS_VENDA!Q$10:R$16,2,0)</f>
        <v>ZEZÉ DE CAMARGO</v>
      </c>
      <c r="L22" s="40">
        <f>VLOOKUP(B22,DADOS_VENDA!B$2:G$10,5,0)</f>
        <v>3</v>
      </c>
      <c r="M22" s="40" t="str">
        <f>VLOOKUP(Tabela8[[#This Row],[CODIGO_LOJA]],Tabela7[#All],2,0)</f>
        <v>LOJA B</v>
      </c>
      <c r="N22" s="40" t="str">
        <f>VLOOKUP(L22,DADOS_VENDA!T$2:V$6,3,0)</f>
        <v>RJ</v>
      </c>
      <c r="O22" s="40" t="str">
        <f>VLOOKUP(Tabela8[[#This Row],[NOME_LOJA]],Tabela7[[#All],[NOME_LOJA]:[TIPO_LOJA]],3,0)</f>
        <v>FÍSICA</v>
      </c>
      <c r="P22" s="42">
        <v>3989.05</v>
      </c>
      <c r="Q22" s="40">
        <v>1</v>
      </c>
      <c r="R22" s="42">
        <f t="shared" si="0"/>
        <v>3989.05</v>
      </c>
      <c r="S22" s="40">
        <f>VLOOKUP(Tabela8[[#This Row],[CODIGO_VENDA]],Tabela1[#All],7,0)</f>
        <v>1</v>
      </c>
      <c r="T22" s="40" t="str">
        <f>VLOOKUP(Tabela8[[#This Row],[CODIGO_PAGAMENTO]],Tabela10[#All],2,0)</f>
        <v>CARTÃO CRÉDITO</v>
      </c>
    </row>
    <row r="23" spans="2:20" x14ac:dyDescent="0.3">
      <c r="B23" s="40">
        <v>8</v>
      </c>
      <c r="C23" s="41">
        <f>VLOOKUP(B23,DADOS_VENDA!B$2:G$10,2,0)</f>
        <v>45120</v>
      </c>
      <c r="D23" s="40">
        <f>VLOOKUP(Tabela8[[#This Row],[CODIGO_VENDA]],Tabela1[[#All],[CODIGO_VENDA]:[CODIGO_CLIENTE]],3,0)</f>
        <v>2</v>
      </c>
      <c r="E23" s="40" t="str">
        <f>VLOOKUP(D23,DADOS_VENDA!Q$2:R$7,2,0)</f>
        <v>PEDRO ALVARES CABRAL</v>
      </c>
      <c r="F23" s="40">
        <v>1</v>
      </c>
      <c r="G23" s="40" t="str">
        <f>VLOOKUP(F23,DADOS_VENDA!B$13:D$19,2,0)</f>
        <v>IPHONE 11</v>
      </c>
      <c r="H23" s="40">
        <f>VLOOKUP(F23,DADOS_VENDA!B$13:D$19,3,0)</f>
        <v>1</v>
      </c>
      <c r="I23" s="40" t="str">
        <f>VLOOKUP(H23,DADOS_VENDA!B$22:C$27,2,0)</f>
        <v>CELULAR</v>
      </c>
      <c r="J23" s="40">
        <f>VLOOKUP(Tabela8[[#This Row],[CODIGO_VENDA]],DADOS_VENDA!B$2:E$11,4,0)</f>
        <v>5</v>
      </c>
      <c r="K23" s="40" t="str">
        <f>VLOOKUP(J23,DADOS_VENDA!Q$10:R$16,2,0)</f>
        <v>ALEXANDRE PIRES</v>
      </c>
      <c r="L23" s="40">
        <f>VLOOKUP(B23,DADOS_VENDA!B$2:G$10,5,0)</f>
        <v>4</v>
      </c>
      <c r="M23" s="40" t="str">
        <f>VLOOKUP(Tabela8[[#This Row],[CODIGO_LOJA]],Tabela7[#All],2,0)</f>
        <v>LOJA C</v>
      </c>
      <c r="N23" s="40" t="str">
        <f>VLOOKUP(L23,DADOS_VENDA!T$2:V$6,3,0)</f>
        <v>CE</v>
      </c>
      <c r="O23" s="40" t="str">
        <f>VLOOKUP(Tabela8[[#This Row],[NOME_LOJA]],Tabela7[[#All],[NOME_LOJA]:[TIPO_LOJA]],3,0)</f>
        <v>FÍSICA</v>
      </c>
      <c r="P23" s="42">
        <v>2789.9</v>
      </c>
      <c r="Q23" s="40">
        <v>2</v>
      </c>
      <c r="R23" s="42">
        <f t="shared" si="0"/>
        <v>5579.8</v>
      </c>
      <c r="S23" s="40">
        <f>VLOOKUP(Tabela8[[#This Row],[CODIGO_VENDA]],Tabela1[#All],7,0)</f>
        <v>4</v>
      </c>
      <c r="T23" s="40" t="str">
        <f>VLOOKUP(Tabela8[[#This Row],[CODIGO_PAGAMENTO]],Tabela10[#All],2,0)</f>
        <v>PIX</v>
      </c>
    </row>
    <row r="24" spans="2:20" x14ac:dyDescent="0.3">
      <c r="B24" s="40">
        <v>8</v>
      </c>
      <c r="C24" s="41">
        <f>VLOOKUP(B24,DADOS_VENDA!B$2:G$10,2,0)</f>
        <v>45120</v>
      </c>
      <c r="D24" s="40">
        <f>VLOOKUP(Tabela8[[#This Row],[CODIGO_VENDA]],Tabela1[[#All],[CODIGO_VENDA]:[CODIGO_CLIENTE]],3,0)</f>
        <v>2</v>
      </c>
      <c r="E24" s="40" t="str">
        <f>VLOOKUP(D24,DADOS_VENDA!Q$2:R$7,2,0)</f>
        <v>PEDRO ALVARES CABRAL</v>
      </c>
      <c r="F24" s="40">
        <v>2</v>
      </c>
      <c r="G24" s="40" t="str">
        <f>VLOOKUP(F24,DADOS_VENDA!B$13:D$19,2,0)</f>
        <v>GELADEIRA FROSTFREE BRASTEMP</v>
      </c>
      <c r="H24" s="40">
        <f>VLOOKUP(F24,DADOS_VENDA!B$13:D$19,3,0)</f>
        <v>2</v>
      </c>
      <c r="I24" s="40" t="str">
        <f>VLOOKUP(H24,DADOS_VENDA!B$22:C$27,2,0)</f>
        <v>ELETRODOMÉSTICO</v>
      </c>
      <c r="J24" s="40">
        <f>VLOOKUP(Tabela8[[#This Row],[CODIGO_VENDA]],DADOS_VENDA!B$2:E$11,4,0)</f>
        <v>5</v>
      </c>
      <c r="K24" s="40" t="str">
        <f>VLOOKUP(J24,DADOS_VENDA!Q$10:R$16,2,0)</f>
        <v>ALEXANDRE PIRES</v>
      </c>
      <c r="L24" s="40">
        <f>VLOOKUP(B24,DADOS_VENDA!B$2:G$10,5,0)</f>
        <v>4</v>
      </c>
      <c r="M24" s="40" t="str">
        <f>VLOOKUP(Tabela8[[#This Row],[CODIGO_LOJA]],Tabela7[#All],2,0)</f>
        <v>LOJA C</v>
      </c>
      <c r="N24" s="40" t="str">
        <f>VLOOKUP(L24,DADOS_VENDA!T$2:V$6,3,0)</f>
        <v>CE</v>
      </c>
      <c r="O24" s="40" t="str">
        <f>VLOOKUP(Tabela8[[#This Row],[NOME_LOJA]],Tabela7[[#All],[NOME_LOJA]:[TIPO_LOJA]],3,0)</f>
        <v>FÍSICA</v>
      </c>
      <c r="P24" s="42">
        <v>3989.05</v>
      </c>
      <c r="Q24" s="40">
        <v>2</v>
      </c>
      <c r="R24" s="42">
        <f t="shared" si="0"/>
        <v>7978.1</v>
      </c>
      <c r="S24" s="40">
        <f>VLOOKUP(Tabela8[[#This Row],[CODIGO_VENDA]],Tabela1[#All],7,0)</f>
        <v>4</v>
      </c>
      <c r="T24" s="40" t="str">
        <f>VLOOKUP(Tabela8[[#This Row],[CODIGO_PAGAMENTO]],Tabela10[#All],2,0)</f>
        <v>PIX</v>
      </c>
    </row>
    <row r="25" spans="2:20" x14ac:dyDescent="0.3">
      <c r="B25" s="40">
        <v>8</v>
      </c>
      <c r="C25" s="41">
        <f>VLOOKUP(B25,DADOS_VENDA!B$2:G$10,2,0)</f>
        <v>45120</v>
      </c>
      <c r="D25" s="40">
        <f>VLOOKUP(Tabela8[[#This Row],[CODIGO_VENDA]],Tabela1[[#All],[CODIGO_VENDA]:[CODIGO_CLIENTE]],3,0)</f>
        <v>2</v>
      </c>
      <c r="E25" s="40" t="str">
        <f>VLOOKUP(D25,DADOS_VENDA!Q$2:R$7,2,0)</f>
        <v>PEDRO ALVARES CABRAL</v>
      </c>
      <c r="F25" s="40">
        <v>3</v>
      </c>
      <c r="G25" s="40" t="str">
        <f>VLOOKUP(F25,DADOS_VENDA!B$13:D$19,2,0)</f>
        <v>FOGÃO 5 BOCAS BRASTEMP</v>
      </c>
      <c r="H25" s="40">
        <f>VLOOKUP(F25,DADOS_VENDA!B$13:D$19,3,0)</f>
        <v>2</v>
      </c>
      <c r="I25" s="40" t="str">
        <f>VLOOKUP(H25,DADOS_VENDA!B$22:C$27,2,0)</f>
        <v>ELETRODOMÉSTICO</v>
      </c>
      <c r="J25" s="40">
        <f>VLOOKUP(Tabela8[[#This Row],[CODIGO_VENDA]],DADOS_VENDA!B$2:E$11,4,0)</f>
        <v>5</v>
      </c>
      <c r="K25" s="40" t="str">
        <f>VLOOKUP(J25,DADOS_VENDA!Q$10:R$16,2,0)</f>
        <v>ALEXANDRE PIRES</v>
      </c>
      <c r="L25" s="40">
        <f>VLOOKUP(B25,DADOS_VENDA!B$2:G$10,5,0)</f>
        <v>4</v>
      </c>
      <c r="M25" s="40" t="str">
        <f>VLOOKUP(Tabela8[[#This Row],[CODIGO_LOJA]],Tabela7[#All],2,0)</f>
        <v>LOJA C</v>
      </c>
      <c r="N25" s="40" t="str">
        <f>VLOOKUP(L25,DADOS_VENDA!T$2:V$6,3,0)</f>
        <v>CE</v>
      </c>
      <c r="O25" s="40" t="str">
        <f>VLOOKUP(Tabela8[[#This Row],[NOME_LOJA]],Tabela7[[#All],[NOME_LOJA]:[TIPO_LOJA]],3,0)</f>
        <v>FÍSICA</v>
      </c>
      <c r="P25" s="42">
        <v>1884.45</v>
      </c>
      <c r="Q25" s="40">
        <v>1</v>
      </c>
      <c r="R25" s="42">
        <f t="shared" si="0"/>
        <v>1884.45</v>
      </c>
      <c r="S25" s="40">
        <f>VLOOKUP(Tabela8[[#This Row],[CODIGO_VENDA]],Tabela1[#All],7,0)</f>
        <v>4</v>
      </c>
      <c r="T25" s="40" t="str">
        <f>VLOOKUP(Tabela8[[#This Row],[CODIGO_PAGAMENTO]],Tabela10[#All],2,0)</f>
        <v>PIX</v>
      </c>
    </row>
    <row r="26" spans="2:20" x14ac:dyDescent="0.3">
      <c r="B26" s="40">
        <v>8</v>
      </c>
      <c r="C26" s="41">
        <f>VLOOKUP(B26,DADOS_VENDA!B$2:G$10,2,0)</f>
        <v>45120</v>
      </c>
      <c r="D26" s="40">
        <f>VLOOKUP(Tabela8[[#This Row],[CODIGO_VENDA]],Tabela1[[#All],[CODIGO_VENDA]:[CODIGO_CLIENTE]],3,0)</f>
        <v>2</v>
      </c>
      <c r="E26" s="40" t="str">
        <f>VLOOKUP(D26,DADOS_VENDA!Q$2:R$7,2,0)</f>
        <v>PEDRO ALVARES CABRAL</v>
      </c>
      <c r="F26" s="40">
        <v>4</v>
      </c>
      <c r="G26" s="40" t="str">
        <f>VLOOKUP(F26,DADOS_VENDA!B$13:D$19,2,0)</f>
        <v>PENDRIVE SCANDISK CRUZER BLADE 128 GB</v>
      </c>
      <c r="H26" s="40">
        <f>VLOOKUP(F26,DADOS_VENDA!B$13:D$19,3,0)</f>
        <v>3</v>
      </c>
      <c r="I26" s="40" t="str">
        <f>VLOOKUP(H26,DADOS_VENDA!B$22:C$27,2,0)</f>
        <v>ACESSÓRIO</v>
      </c>
      <c r="J26" s="40">
        <f>VLOOKUP(Tabela8[[#This Row],[CODIGO_VENDA]],DADOS_VENDA!B$2:E$11,4,0)</f>
        <v>5</v>
      </c>
      <c r="K26" s="40" t="str">
        <f>VLOOKUP(J26,DADOS_VENDA!Q$10:R$16,2,0)</f>
        <v>ALEXANDRE PIRES</v>
      </c>
      <c r="L26" s="40">
        <f>VLOOKUP(B26,DADOS_VENDA!B$2:G$10,5,0)</f>
        <v>4</v>
      </c>
      <c r="M26" s="40" t="str">
        <f>VLOOKUP(Tabela8[[#This Row],[CODIGO_LOJA]],Tabela7[#All],2,0)</f>
        <v>LOJA C</v>
      </c>
      <c r="N26" s="40" t="str">
        <f>VLOOKUP(L26,DADOS_VENDA!T$2:V$6,3,0)</f>
        <v>CE</v>
      </c>
      <c r="O26" s="40" t="str">
        <f>VLOOKUP(Tabela8[[#This Row],[NOME_LOJA]],Tabela7[[#All],[NOME_LOJA]:[TIPO_LOJA]],3,0)</f>
        <v>FÍSICA</v>
      </c>
      <c r="P26" s="42">
        <v>64.900000000000006</v>
      </c>
      <c r="Q26" s="40">
        <v>5</v>
      </c>
      <c r="R26" s="42">
        <f t="shared" si="0"/>
        <v>324.5</v>
      </c>
      <c r="S26" s="40">
        <f>VLOOKUP(Tabela8[[#This Row],[CODIGO_VENDA]],Tabela1[#All],7,0)</f>
        <v>4</v>
      </c>
      <c r="T26" s="40" t="str">
        <f>VLOOKUP(Tabela8[[#This Row],[CODIGO_PAGAMENTO]],Tabela10[#All],2,0)</f>
        <v>PIX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B597-C5CE-487A-B156-824866829187}">
  <dimension ref="A2:K81"/>
  <sheetViews>
    <sheetView topLeftCell="A45" workbookViewId="0">
      <selection activeCell="E58" sqref="E58:E60"/>
    </sheetView>
  </sheetViews>
  <sheetFormatPr defaultRowHeight="14.4" x14ac:dyDescent="0.3"/>
  <cols>
    <col min="1" max="1" width="30" bestFit="1" customWidth="1"/>
    <col min="2" max="2" width="37.5546875" bestFit="1" customWidth="1"/>
    <col min="3" max="3" width="21" bestFit="1" customWidth="1"/>
    <col min="4" max="4" width="16.33203125" bestFit="1" customWidth="1"/>
    <col min="5" max="5" width="14.88671875" bestFit="1" customWidth="1"/>
    <col min="6" max="6" width="22" bestFit="1" customWidth="1"/>
    <col min="7" max="7" width="19.6640625" bestFit="1" customWidth="1"/>
  </cols>
  <sheetData>
    <row r="2" spans="1:11" x14ac:dyDescent="0.3">
      <c r="A2" s="5" t="s">
        <v>53</v>
      </c>
      <c r="B2" s="7" t="s">
        <v>54</v>
      </c>
    </row>
    <row r="3" spans="1:11" x14ac:dyDescent="0.3">
      <c r="A3" s="3">
        <v>1</v>
      </c>
      <c r="B3" s="4" t="s">
        <v>55</v>
      </c>
      <c r="J3" t="s">
        <v>63</v>
      </c>
      <c r="K3" t="str">
        <f>CONCATENATE(J3,B3,"');")</f>
        <v>INSERT INTO dbo.TB_FORMA_PAGAMENTO (DESCRICAO_FORMA_PAGAMENTO) VALUES ('CARTÃO CRÉDITO');</v>
      </c>
    </row>
    <row r="4" spans="1:11" x14ac:dyDescent="0.3">
      <c r="A4" s="3">
        <v>2</v>
      </c>
      <c r="B4" s="4" t="s">
        <v>56</v>
      </c>
      <c r="J4" t="s">
        <v>63</v>
      </c>
      <c r="K4" t="str">
        <f>CONCATENATE(J4,B4,"');")</f>
        <v>INSERT INTO dbo.TB_FORMA_PAGAMENTO (DESCRICAO_FORMA_PAGAMENTO) VALUES ('CARTÃO DÉBITO');</v>
      </c>
    </row>
    <row r="5" spans="1:11" x14ac:dyDescent="0.3">
      <c r="A5" s="3">
        <v>3</v>
      </c>
      <c r="B5" s="4" t="s">
        <v>57</v>
      </c>
      <c r="J5" t="s">
        <v>63</v>
      </c>
      <c r="K5" t="str">
        <f>CONCATENATE(J5,B5,"');")</f>
        <v>INSERT INTO dbo.TB_FORMA_PAGAMENTO (DESCRICAO_FORMA_PAGAMENTO) VALUES ('BOLETO');</v>
      </c>
    </row>
    <row r="6" spans="1:11" x14ac:dyDescent="0.3">
      <c r="A6" s="8">
        <v>4</v>
      </c>
      <c r="B6" s="10" t="s">
        <v>58</v>
      </c>
      <c r="J6" t="s">
        <v>63</v>
      </c>
      <c r="K6" t="str">
        <f>CONCATENATE(J6,B6,"');")</f>
        <v>INSERT INTO dbo.TB_FORMA_PAGAMENTO (DESCRICAO_FORMA_PAGAMENTO) VALUES ('PIX');</v>
      </c>
    </row>
    <row r="8" spans="1:11" x14ac:dyDescent="0.3">
      <c r="A8" s="5" t="s">
        <v>21</v>
      </c>
      <c r="B8" s="7" t="s">
        <v>22</v>
      </c>
    </row>
    <row r="9" spans="1:11" x14ac:dyDescent="0.3">
      <c r="A9" s="3">
        <v>1</v>
      </c>
      <c r="B9" s="4" t="s">
        <v>24</v>
      </c>
      <c r="J9" t="s">
        <v>65</v>
      </c>
      <c r="K9" t="str">
        <f>CONCATENATE(J9,Tabela415[[#This Row],[DECRICAO_CATEGORIA]],"');")</f>
        <v>INSERT INTO dbo.TB_CATEGORIA_PRODUTO (DECRICAO_CATEGORIA) VALUES ('CELULAR');</v>
      </c>
    </row>
    <row r="10" spans="1:11" x14ac:dyDescent="0.3">
      <c r="A10" s="3">
        <v>2</v>
      </c>
      <c r="B10" s="4" t="s">
        <v>23</v>
      </c>
      <c r="J10" t="s">
        <v>65</v>
      </c>
      <c r="K10" t="str">
        <f>CONCATENATE(J10,Tabela415[[#This Row],[DECRICAO_CATEGORIA]],"');")</f>
        <v>INSERT INTO dbo.TB_CATEGORIA_PRODUTO (DECRICAO_CATEGORIA) VALUES ('ELETRODOMÉSTICO');</v>
      </c>
    </row>
    <row r="11" spans="1:11" x14ac:dyDescent="0.3">
      <c r="A11" s="3">
        <v>3</v>
      </c>
      <c r="B11" s="4" t="s">
        <v>25</v>
      </c>
      <c r="J11" t="s">
        <v>65</v>
      </c>
      <c r="K11" t="str">
        <f>CONCATENATE(J11,Tabela415[[#This Row],[DECRICAO_CATEGORIA]],"');")</f>
        <v>INSERT INTO dbo.TB_CATEGORIA_PRODUTO (DECRICAO_CATEGORIA) VALUES ('ACESSÓRIO');</v>
      </c>
    </row>
    <row r="12" spans="1:11" x14ac:dyDescent="0.3">
      <c r="A12" s="3">
        <v>4</v>
      </c>
      <c r="B12" s="4" t="s">
        <v>26</v>
      </c>
      <c r="J12" t="s">
        <v>65</v>
      </c>
      <c r="K12" t="str">
        <f>CONCATENATE(J12,Tabela415[[#This Row],[DECRICAO_CATEGORIA]],"');")</f>
        <v>INSERT INTO dbo.TB_CATEGORIA_PRODUTO (DECRICAO_CATEGORIA) VALUES ('COMPUTADOR');</v>
      </c>
    </row>
    <row r="13" spans="1:11" x14ac:dyDescent="0.3">
      <c r="A13" s="8">
        <v>5</v>
      </c>
      <c r="B13" s="10" t="s">
        <v>27</v>
      </c>
      <c r="J13" t="s">
        <v>65</v>
      </c>
      <c r="K13" t="str">
        <f>CONCATENATE(J13,Tabela415[[#This Row],[DECRICAO_CATEGORIA]],"');")</f>
        <v>INSERT INTO dbo.TB_CATEGORIA_PRODUTO (DECRICAO_CATEGORIA) VALUES ('VESTUÁRIO');</v>
      </c>
    </row>
    <row r="14" spans="1:11" x14ac:dyDescent="0.3">
      <c r="A14" s="1"/>
    </row>
    <row r="15" spans="1:11" x14ac:dyDescent="0.3">
      <c r="A15" s="5" t="s">
        <v>1</v>
      </c>
      <c r="B15" s="6" t="s">
        <v>17</v>
      </c>
      <c r="C15" s="7" t="s">
        <v>21</v>
      </c>
    </row>
    <row r="16" spans="1:11" x14ac:dyDescent="0.3">
      <c r="A16" s="3">
        <v>1</v>
      </c>
      <c r="B16" s="2" t="s">
        <v>18</v>
      </c>
      <c r="C16" s="4">
        <v>1</v>
      </c>
      <c r="J16" t="s">
        <v>64</v>
      </c>
      <c r="K16" t="str">
        <f>CONCATENATE(J16,Tabela214[[#This Row],[DESCRICAO_PRODUTO]],"',",Tabela214[[#This Row],[CODIGO_CATEGORIA]],");")</f>
        <v>INSERT INTO dbo.TB_PRODUTO (DESCRICAO_PRODUTO,CODIGO_CATEGORIA) VALUES ('IPHONE 11',1);</v>
      </c>
    </row>
    <row r="17" spans="1:11" x14ac:dyDescent="0.3">
      <c r="A17" s="3">
        <v>2</v>
      </c>
      <c r="B17" s="2" t="s">
        <v>19</v>
      </c>
      <c r="C17" s="4">
        <v>2</v>
      </c>
      <c r="J17" t="s">
        <v>64</v>
      </c>
      <c r="K17" t="str">
        <f>CONCATENATE(J17,Tabela214[[#This Row],[DESCRICAO_PRODUTO]],"',",Tabela214[[#This Row],[CODIGO_CATEGORIA]],");")</f>
        <v>INSERT INTO dbo.TB_PRODUTO (DESCRICAO_PRODUTO,CODIGO_CATEGORIA) VALUES ('GELADEIRA FROSTFREE BRASTEMP',2);</v>
      </c>
    </row>
    <row r="18" spans="1:11" x14ac:dyDescent="0.3">
      <c r="A18" s="3">
        <v>3</v>
      </c>
      <c r="B18" s="2" t="s">
        <v>33</v>
      </c>
      <c r="C18" s="4">
        <v>2</v>
      </c>
      <c r="J18" t="s">
        <v>64</v>
      </c>
      <c r="K18" t="str">
        <f>CONCATENATE(J18,Tabela214[[#This Row],[DESCRICAO_PRODUTO]],"',",Tabela214[[#This Row],[CODIGO_CATEGORIA]],");")</f>
        <v>INSERT INTO dbo.TB_PRODUTO (DESCRICAO_PRODUTO,CODIGO_CATEGORIA) VALUES ('FOGÃO 5 BOCAS BRASTEMP',2);</v>
      </c>
    </row>
    <row r="19" spans="1:11" x14ac:dyDescent="0.3">
      <c r="A19" s="3">
        <v>4</v>
      </c>
      <c r="B19" s="2" t="s">
        <v>34</v>
      </c>
      <c r="C19" s="4">
        <v>3</v>
      </c>
      <c r="J19" t="s">
        <v>64</v>
      </c>
      <c r="K19" t="str">
        <f>CONCATENATE(J19,Tabela214[[#This Row],[DESCRICAO_PRODUTO]],"',",Tabela214[[#This Row],[CODIGO_CATEGORIA]],");")</f>
        <v>INSERT INTO dbo.TB_PRODUTO (DESCRICAO_PRODUTO,CODIGO_CATEGORIA) VALUES ('PENDRIVE SCANDISK CRUZER BLADE 128 GB',3);</v>
      </c>
    </row>
    <row r="20" spans="1:11" x14ac:dyDescent="0.3">
      <c r="A20" s="3">
        <v>5</v>
      </c>
      <c r="B20" s="2" t="s">
        <v>35</v>
      </c>
      <c r="C20" s="4">
        <v>4</v>
      </c>
      <c r="J20" t="s">
        <v>64</v>
      </c>
      <c r="K20" t="str">
        <f>CONCATENATE(J20,Tabela214[[#This Row],[DESCRICAO_PRODUTO]],"',",Tabela214[[#This Row],[CODIGO_CATEGORIA]],");")</f>
        <v>INSERT INTO dbo.TB_PRODUTO (DESCRICAO_PRODUTO,CODIGO_CATEGORIA) VALUES ('NOTEBOOK MACBOOK PRO 14 M2',4);</v>
      </c>
    </row>
    <row r="21" spans="1:11" x14ac:dyDescent="0.3">
      <c r="A21" s="8">
        <v>6</v>
      </c>
      <c r="B21" s="9" t="s">
        <v>20</v>
      </c>
      <c r="C21" s="10">
        <v>5</v>
      </c>
      <c r="J21" t="s">
        <v>64</v>
      </c>
      <c r="K21" t="str">
        <f>CONCATENATE(J21,Tabela214[[#This Row],[DESCRICAO_PRODUTO]],"',",Tabela214[[#This Row],[CODIGO_CATEGORIA]],");")</f>
        <v>INSERT INTO dbo.TB_PRODUTO (DESCRICAO_PRODUTO,CODIGO_CATEGORIA) VALUES ('CAMISA FLUMINENSE 23/23',5);</v>
      </c>
    </row>
    <row r="24" spans="1:11" x14ac:dyDescent="0.3">
      <c r="A24" s="5" t="s">
        <v>2</v>
      </c>
      <c r="B24" s="7" t="s">
        <v>6</v>
      </c>
    </row>
    <row r="25" spans="1:11" x14ac:dyDescent="0.3">
      <c r="A25" s="3">
        <v>1</v>
      </c>
      <c r="B25" s="4" t="s">
        <v>13</v>
      </c>
      <c r="J25" t="s">
        <v>66</v>
      </c>
      <c r="K25" t="str">
        <f>CONCATENATE(J25,B25,"');")</f>
        <v>INSERT INTO dbo.TB_CLIENTE (NOME_CLIENTE) VALUES ('CRISTOVÃO COLOMBO');</v>
      </c>
    </row>
    <row r="26" spans="1:11" x14ac:dyDescent="0.3">
      <c r="A26" s="3">
        <v>2</v>
      </c>
      <c r="B26" s="4" t="s">
        <v>12</v>
      </c>
      <c r="J26" t="s">
        <v>66</v>
      </c>
      <c r="K26" t="str">
        <f>CONCATENATE(J26,B26,"');")</f>
        <v>INSERT INTO dbo.TB_CLIENTE (NOME_CLIENTE) VALUES ('PEDRO ALVARES CABRAL');</v>
      </c>
    </row>
    <row r="27" spans="1:11" x14ac:dyDescent="0.3">
      <c r="A27" s="3">
        <v>3</v>
      </c>
      <c r="B27" s="4" t="s">
        <v>14</v>
      </c>
      <c r="J27" t="s">
        <v>66</v>
      </c>
      <c r="K27" t="str">
        <f>CONCATENATE(J27,B27,"');")</f>
        <v>INSERT INTO dbo.TB_CLIENTE (NOME_CLIENTE) VALUES ('MACHADO DE ASSIS');</v>
      </c>
    </row>
    <row r="28" spans="1:11" x14ac:dyDescent="0.3">
      <c r="A28" s="3">
        <v>4</v>
      </c>
      <c r="B28" s="4" t="s">
        <v>15</v>
      </c>
      <c r="J28" t="s">
        <v>66</v>
      </c>
      <c r="K28" t="str">
        <f>CONCATENATE(J28,B28,"');")</f>
        <v>INSERT INTO dbo.TB_CLIENTE (NOME_CLIENTE) VALUES ('CHICO BUARQUE DE HOLANDA');</v>
      </c>
    </row>
    <row r="29" spans="1:11" x14ac:dyDescent="0.3">
      <c r="A29" s="8">
        <v>5</v>
      </c>
      <c r="B29" s="10" t="s">
        <v>16</v>
      </c>
      <c r="J29" t="s">
        <v>66</v>
      </c>
      <c r="K29" t="str">
        <f>CONCATENATE(J29,B29,"');")</f>
        <v>INSERT INTO dbo.TB_CLIENTE (NOME_CLIENTE) VALUES ('MAURICIO DE SOUZA');</v>
      </c>
    </row>
    <row r="32" spans="1:11" x14ac:dyDescent="0.3">
      <c r="A32" s="5" t="s">
        <v>36</v>
      </c>
      <c r="B32" s="7" t="s">
        <v>37</v>
      </c>
    </row>
    <row r="33" spans="1:11" x14ac:dyDescent="0.3">
      <c r="A33" s="3">
        <v>1</v>
      </c>
      <c r="B33" s="4" t="s">
        <v>29</v>
      </c>
      <c r="J33" t="s">
        <v>67</v>
      </c>
      <c r="K33" t="str">
        <f>CONCATENATE(J33,Tabela617[[#This Row],[NOME_VENDEDOR]],"');")</f>
        <v>INSERT INTO dbo.TB_VENDEDOR (NOME_VENDEDOR) VALUES ('WWW');</v>
      </c>
    </row>
    <row r="34" spans="1:11" x14ac:dyDescent="0.3">
      <c r="A34" s="3">
        <v>2</v>
      </c>
      <c r="B34" s="4" t="s">
        <v>38</v>
      </c>
      <c r="J34" t="s">
        <v>67</v>
      </c>
      <c r="K34" t="str">
        <f>CONCATENATE(J34,Tabela617[[#This Row],[NOME_VENDEDOR]],"');")</f>
        <v>INSERT INTO dbo.TB_VENDEDOR (NOME_VENDEDOR) VALUES ('JOSÉ ROBERTO');</v>
      </c>
    </row>
    <row r="35" spans="1:11" x14ac:dyDescent="0.3">
      <c r="A35" s="3">
        <v>3</v>
      </c>
      <c r="B35" s="4" t="s">
        <v>39</v>
      </c>
      <c r="J35" t="s">
        <v>67</v>
      </c>
      <c r="K35" t="str">
        <f>CONCATENATE(J35,Tabela617[[#This Row],[NOME_VENDEDOR]],"');")</f>
        <v>INSERT INTO dbo.TB_VENDEDOR (NOME_VENDEDOR) VALUES ('MARIA ANTONIETA');</v>
      </c>
    </row>
    <row r="36" spans="1:11" x14ac:dyDescent="0.3">
      <c r="A36" s="3">
        <v>5</v>
      </c>
      <c r="B36" s="4" t="s">
        <v>40</v>
      </c>
      <c r="J36" t="s">
        <v>67</v>
      </c>
      <c r="K36" t="str">
        <f>CONCATENATE(J36,Tabela617[[#This Row],[NOME_VENDEDOR]],"');")</f>
        <v>INSERT INTO dbo.TB_VENDEDOR (NOME_VENDEDOR) VALUES ('CLARICE LISPECTOR');</v>
      </c>
    </row>
    <row r="37" spans="1:11" x14ac:dyDescent="0.3">
      <c r="A37" s="3">
        <v>6</v>
      </c>
      <c r="B37" s="4" t="s">
        <v>41</v>
      </c>
      <c r="J37" t="s">
        <v>67</v>
      </c>
      <c r="K37" t="str">
        <f>CONCATENATE(J37,Tabela617[[#This Row],[NOME_VENDEDOR]],"');")</f>
        <v>INSERT INTO dbo.TB_VENDEDOR (NOME_VENDEDOR) VALUES ('ALEXANDRE PIRES');</v>
      </c>
    </row>
    <row r="38" spans="1:11" x14ac:dyDescent="0.3">
      <c r="A38" s="8">
        <v>7</v>
      </c>
      <c r="B38" s="10" t="s">
        <v>42</v>
      </c>
      <c r="J38" t="s">
        <v>67</v>
      </c>
      <c r="K38" t="str">
        <f>CONCATENATE(J38,Tabela617[[#This Row],[NOME_VENDEDOR]],"');")</f>
        <v>INSERT INTO dbo.TB_VENDEDOR (NOME_VENDEDOR) VALUES ('ZEZÉ DE CAMARGO');</v>
      </c>
    </row>
    <row r="41" spans="1:11" x14ac:dyDescent="0.3">
      <c r="A41" s="5" t="s">
        <v>7</v>
      </c>
      <c r="B41" s="6" t="s">
        <v>72</v>
      </c>
      <c r="C41" s="6" t="s">
        <v>28</v>
      </c>
      <c r="D41" s="7" t="s">
        <v>48</v>
      </c>
    </row>
    <row r="42" spans="1:11" x14ac:dyDescent="0.3">
      <c r="A42" s="3">
        <v>1</v>
      </c>
      <c r="B42" s="2" t="s">
        <v>8</v>
      </c>
      <c r="C42" s="2" t="s">
        <v>29</v>
      </c>
      <c r="D42" s="4" t="s">
        <v>49</v>
      </c>
      <c r="J42" t="s">
        <v>73</v>
      </c>
      <c r="K42" t="str">
        <f>CONCATENATE(J42,Tabela718[[#This Row],[NOME_LOJA]],"','",Tabela718[[#This Row],[LOCALIDADE_LOJA]],"','",Tabela718[[#This Row],[TIPO_LOJA]],"');")</f>
        <v>INSERT INTO dbo.TB_LOJA (NOME_LOJA,LOCALIDADE_LOJA,TIPO_LOJA) VALUES ('E-COMMERCE','WWW','VIRTUAL');</v>
      </c>
    </row>
    <row r="43" spans="1:11" x14ac:dyDescent="0.3">
      <c r="A43" s="3">
        <v>2</v>
      </c>
      <c r="B43" s="2" t="s">
        <v>9</v>
      </c>
      <c r="C43" s="2" t="s">
        <v>30</v>
      </c>
      <c r="D43" s="4" t="s">
        <v>50</v>
      </c>
      <c r="J43" t="s">
        <v>73</v>
      </c>
      <c r="K43" t="str">
        <f>CONCATENATE(J43,Tabela718[[#This Row],[NOME_LOJA]],"','",Tabela718[[#This Row],[LOCALIDADE_LOJA]],"','",Tabela718[[#This Row],[TIPO_LOJA]],"');")</f>
        <v>INSERT INTO dbo.TB_LOJA (NOME_LOJA,LOCALIDADE_LOJA,TIPO_LOJA) VALUES ('LOJA A','MT','FÍSICA');</v>
      </c>
    </row>
    <row r="44" spans="1:11" x14ac:dyDescent="0.3">
      <c r="A44" s="3">
        <v>3</v>
      </c>
      <c r="B44" s="2" t="s">
        <v>10</v>
      </c>
      <c r="C44" s="2" t="s">
        <v>31</v>
      </c>
      <c r="D44" s="4" t="s">
        <v>50</v>
      </c>
      <c r="J44" t="s">
        <v>73</v>
      </c>
      <c r="K44" t="str">
        <f>CONCATENATE(J44,Tabela718[[#This Row],[NOME_LOJA]],"','",Tabela718[[#This Row],[LOCALIDADE_LOJA]],"','",Tabela718[[#This Row],[TIPO_LOJA]],"');")</f>
        <v>INSERT INTO dbo.TB_LOJA (NOME_LOJA,LOCALIDADE_LOJA,TIPO_LOJA) VALUES ('LOJA B','RJ','FÍSICA');</v>
      </c>
    </row>
    <row r="45" spans="1:11" x14ac:dyDescent="0.3">
      <c r="A45" s="8">
        <v>4</v>
      </c>
      <c r="B45" s="9" t="s">
        <v>11</v>
      </c>
      <c r="C45" s="9" t="s">
        <v>32</v>
      </c>
      <c r="D45" s="10" t="s">
        <v>50</v>
      </c>
      <c r="J45" t="s">
        <v>73</v>
      </c>
      <c r="K45" t="str">
        <f>CONCATENATE(J45,Tabela718[[#This Row],[NOME_LOJA]],"','",Tabela718[[#This Row],[LOCALIDADE_LOJA]],"','",Tabela718[[#This Row],[TIPO_LOJA]],"');")</f>
        <v>INSERT INTO dbo.TB_LOJA (NOME_LOJA,LOCALIDADE_LOJA,TIPO_LOJA) VALUES ('LOJA C','CE','FÍSICA');</v>
      </c>
    </row>
    <row r="47" spans="1:11" x14ac:dyDescent="0.3">
      <c r="A47" s="5" t="s">
        <v>0</v>
      </c>
      <c r="B47" s="6" t="s">
        <v>43</v>
      </c>
      <c r="C47" s="11" t="s">
        <v>2</v>
      </c>
      <c r="D47" s="6" t="s">
        <v>36</v>
      </c>
      <c r="E47" s="6" t="s">
        <v>7</v>
      </c>
      <c r="F47" s="21" t="s">
        <v>5</v>
      </c>
      <c r="G47" s="18" t="s">
        <v>51</v>
      </c>
      <c r="H47" s="18" t="s">
        <v>52</v>
      </c>
    </row>
    <row r="48" spans="1:11" x14ac:dyDescent="0.3">
      <c r="A48" s="3">
        <v>1</v>
      </c>
      <c r="B48" s="19" t="s">
        <v>68</v>
      </c>
      <c r="C48" s="6">
        <v>1</v>
      </c>
      <c r="D48" s="6">
        <v>2</v>
      </c>
      <c r="E48" s="21">
        <v>2</v>
      </c>
      <c r="F48" s="21">
        <f>SUMIF(A57:A81,A48,E57:E81)</f>
        <v>12834.560000000001</v>
      </c>
      <c r="G48" s="6">
        <v>2</v>
      </c>
      <c r="H48" s="4" t="s">
        <v>59</v>
      </c>
      <c r="J48" t="s">
        <v>74</v>
      </c>
      <c r="K48" t="str">
        <f>CONCATENATE(J48,Tabela113[[#This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('2023-07-10',1,2,2,'12834,56',2,'A VISTA');</v>
      </c>
    </row>
    <row r="49" spans="1:11" x14ac:dyDescent="0.3">
      <c r="A49" s="3">
        <v>2</v>
      </c>
      <c r="B49" s="19" t="s">
        <v>68</v>
      </c>
      <c r="C49" s="2">
        <v>4</v>
      </c>
      <c r="D49" s="2">
        <v>3</v>
      </c>
      <c r="E49" s="22">
        <v>2</v>
      </c>
      <c r="F49" s="21">
        <f t="shared" ref="F49:F55" si="0">SUMIF(A58:A82,A49,E58:E82)</f>
        <v>5873.5</v>
      </c>
      <c r="G49" s="2">
        <v>4</v>
      </c>
      <c r="H49" s="4" t="s">
        <v>59</v>
      </c>
      <c r="J49" t="s">
        <v>74</v>
      </c>
      <c r="K49" t="str">
        <f>CONCATENATE(J49,Tabela113[[#This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('2023-07-10',4,3,2,'5873,5',4,'A VISTA');</v>
      </c>
    </row>
    <row r="50" spans="1:11" x14ac:dyDescent="0.3">
      <c r="A50" s="3">
        <v>3</v>
      </c>
      <c r="B50" s="19" t="s">
        <v>69</v>
      </c>
      <c r="C50" s="2">
        <v>3</v>
      </c>
      <c r="D50" s="2">
        <v>1</v>
      </c>
      <c r="E50" s="22">
        <v>1</v>
      </c>
      <c r="F50" s="21">
        <f t="shared" si="0"/>
        <v>20769.02</v>
      </c>
      <c r="G50" s="2">
        <v>1</v>
      </c>
      <c r="H50" s="4" t="s">
        <v>60</v>
      </c>
      <c r="J50" t="s">
        <v>74</v>
      </c>
      <c r="K50" t="str">
        <f>CONCATENATE(J50,Tabela113[[#This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('2023-07-11',3,1,1,'20769,02',1,'PARCELADO');</v>
      </c>
    </row>
    <row r="51" spans="1:11" x14ac:dyDescent="0.3">
      <c r="A51" s="3">
        <v>4</v>
      </c>
      <c r="B51" s="19" t="s">
        <v>69</v>
      </c>
      <c r="C51" s="2">
        <v>1</v>
      </c>
      <c r="D51" s="2">
        <v>4</v>
      </c>
      <c r="E51" s="22">
        <v>4</v>
      </c>
      <c r="F51" s="21">
        <f t="shared" si="0"/>
        <v>18232.25</v>
      </c>
      <c r="G51" s="2">
        <v>2</v>
      </c>
      <c r="H51" s="4" t="s">
        <v>59</v>
      </c>
      <c r="J51" t="s">
        <v>74</v>
      </c>
      <c r="K51" t="str">
        <f>CONCATENATE(J51,Tabela113[[#This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('2023-07-11',1,4,4,'18232,25',2,'A VISTA');</v>
      </c>
    </row>
    <row r="52" spans="1:11" x14ac:dyDescent="0.3">
      <c r="A52" s="3">
        <v>5</v>
      </c>
      <c r="B52" s="19" t="s">
        <v>70</v>
      </c>
      <c r="C52" s="2">
        <v>5</v>
      </c>
      <c r="D52" s="2">
        <v>6</v>
      </c>
      <c r="E52" s="22">
        <v>3</v>
      </c>
      <c r="F52" s="21">
        <f t="shared" si="0"/>
        <v>18407.93</v>
      </c>
      <c r="G52" s="2">
        <v>1</v>
      </c>
      <c r="H52" s="4" t="s">
        <v>60</v>
      </c>
      <c r="J52" t="s">
        <v>74</v>
      </c>
      <c r="K52" t="str">
        <f>CONCATENATE(J52,Tabela113[[#This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('2023-07-12',5,6,3,'18407,93',1,'PARCELADO');</v>
      </c>
    </row>
    <row r="53" spans="1:11" x14ac:dyDescent="0.3">
      <c r="A53" s="3">
        <v>6</v>
      </c>
      <c r="B53" s="19" t="s">
        <v>70</v>
      </c>
      <c r="C53" s="2">
        <v>3</v>
      </c>
      <c r="D53" s="2">
        <v>1</v>
      </c>
      <c r="E53" s="22">
        <v>1</v>
      </c>
      <c r="F53" s="21">
        <f t="shared" si="0"/>
        <v>38602.18</v>
      </c>
      <c r="G53" s="2">
        <v>3</v>
      </c>
      <c r="H53" s="4" t="s">
        <v>59</v>
      </c>
      <c r="J53" t="s">
        <v>74</v>
      </c>
      <c r="K53" t="str">
        <f>CONCATENATE(J53,Tabela113[[#This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('2023-07-12',3,1,1,'38602,18',3,'A VISTA');</v>
      </c>
    </row>
    <row r="54" spans="1:11" x14ac:dyDescent="0.3">
      <c r="A54" s="3">
        <v>7</v>
      </c>
      <c r="B54" s="19" t="s">
        <v>71</v>
      </c>
      <c r="C54" s="2">
        <v>4</v>
      </c>
      <c r="D54" s="2">
        <v>6</v>
      </c>
      <c r="E54" s="22">
        <v>3</v>
      </c>
      <c r="F54" s="21">
        <f t="shared" si="0"/>
        <v>6778.9500000000007</v>
      </c>
      <c r="G54" s="2">
        <v>1</v>
      </c>
      <c r="H54" s="4" t="s">
        <v>60</v>
      </c>
      <c r="J54" t="s">
        <v>74</v>
      </c>
      <c r="K54" t="str">
        <f>CONCATENATE(J54,Tabela113[[#This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('2023-07-13',4,6,3,'6778,95',1,'PARCELADO');</v>
      </c>
    </row>
    <row r="55" spans="1:11" x14ac:dyDescent="0.3">
      <c r="A55" s="8">
        <v>8</v>
      </c>
      <c r="B55" s="20" t="s">
        <v>71</v>
      </c>
      <c r="C55" s="9">
        <v>2</v>
      </c>
      <c r="D55" s="9">
        <v>5</v>
      </c>
      <c r="E55" s="23">
        <v>4</v>
      </c>
      <c r="F55" s="21">
        <f t="shared" si="0"/>
        <v>15766.850000000002</v>
      </c>
      <c r="G55" s="9">
        <v>4</v>
      </c>
      <c r="H55" s="10" t="s">
        <v>59</v>
      </c>
      <c r="J55" t="s">
        <v>74</v>
      </c>
      <c r="K55" t="str">
        <f>CONCATENATE(J55,Tabela113[[#This Row],[DATA_VENDA]],"',",Tabela113[[#This Row],[CODIGO_CLIENTE]],",",Tabela113[[#This Row],[CODIGO_VENDEDOR]],",",Tabela113[[#This Row],[CODIGO_LOJA]],",'",Tabela113[[#This Row],[VALOR_FINAL]],"',",Tabela113[[#This Row],[FORMA_PAGAMENTO]],",'",Tabela113[[#This Row],[TIPO_PAGAMENTO]],"');")</f>
        <v>INSERT INTO dbo.TB_VENDA (DATA_VENDA,CODIGO_CLIENTE,CODIGO_VENDEDOR,CODIGO_LOJA,VALOR_FINAL,FORMA_PAGAMENTO,TIPO_PAGAMENTO) VALUES ('2023-07-13',2,5,4,'15766,85',4,'A VISTA');</v>
      </c>
    </row>
    <row r="57" spans="1:11" x14ac:dyDescent="0.3">
      <c r="A57" s="11" t="s">
        <v>0</v>
      </c>
      <c r="B57" s="11" t="s">
        <v>1</v>
      </c>
      <c r="C57" s="11" t="s">
        <v>3</v>
      </c>
      <c r="D57" s="11" t="s">
        <v>4</v>
      </c>
      <c r="E57" s="11" t="s">
        <v>5</v>
      </c>
    </row>
    <row r="58" spans="1:11" x14ac:dyDescent="0.3">
      <c r="A58" s="12">
        <v>1</v>
      </c>
      <c r="B58" s="12">
        <v>1</v>
      </c>
      <c r="C58" s="12">
        <v>2789.9</v>
      </c>
      <c r="D58" s="12">
        <v>4</v>
      </c>
      <c r="E58" s="12">
        <f>C58*D58</f>
        <v>11159.6</v>
      </c>
      <c r="J58" t="s">
        <v>75</v>
      </c>
      <c r="K58" t="str">
        <f t="shared" ref="K58:K81" si="1">CONCATENATE(J58,A58,",",B58,",'",C58,"',",D58,",'",E58,"');")</f>
        <v>INSERT INTO dbo.TB_ITEM_VENDA (CODIGO_VENDA,CODIGO_PRODUTO,VALOR_UNITARIO,QUANTIDADE,VALOR_FINAL) VALUES (1,1,'2789,9',4,'11159,6');</v>
      </c>
    </row>
    <row r="59" spans="1:11" x14ac:dyDescent="0.3">
      <c r="A59" s="12">
        <v>1</v>
      </c>
      <c r="B59" s="12">
        <v>4</v>
      </c>
      <c r="C59" s="12">
        <v>64.900000000000006</v>
      </c>
      <c r="D59" s="12">
        <v>10</v>
      </c>
      <c r="E59" s="12">
        <f t="shared" ref="E59:E81" si="2">C59*D59</f>
        <v>649</v>
      </c>
      <c r="J59" t="s">
        <v>75</v>
      </c>
      <c r="K59" t="str">
        <f t="shared" si="1"/>
        <v>INSERT INTO dbo.TB_ITEM_VENDA (CODIGO_VENDA,CODIGO_PRODUTO,VALOR_UNITARIO,QUANTIDADE,VALOR_FINAL) VALUES (1,4,'64,9',10,'649');</v>
      </c>
    </row>
    <row r="60" spans="1:11" x14ac:dyDescent="0.3">
      <c r="A60" s="12">
        <v>1</v>
      </c>
      <c r="B60" s="12">
        <v>6</v>
      </c>
      <c r="C60" s="12">
        <v>256.49</v>
      </c>
      <c r="D60" s="12">
        <v>4</v>
      </c>
      <c r="E60" s="12">
        <f t="shared" si="2"/>
        <v>1025.96</v>
      </c>
      <c r="J60" t="s">
        <v>75</v>
      </c>
      <c r="K60" t="str">
        <f t="shared" si="1"/>
        <v>INSERT INTO dbo.TB_ITEM_VENDA (CODIGO_VENDA,CODIGO_PRODUTO,VALOR_UNITARIO,QUANTIDADE,VALOR_FINAL) VALUES (1,6,'256,49',4,'1025,96');</v>
      </c>
    </row>
    <row r="61" spans="1:11" x14ac:dyDescent="0.3">
      <c r="A61" s="13">
        <v>2</v>
      </c>
      <c r="B61" s="13">
        <v>2</v>
      </c>
      <c r="C61" s="13">
        <v>3989.05</v>
      </c>
      <c r="D61" s="13">
        <v>1</v>
      </c>
      <c r="E61" s="13">
        <f t="shared" si="2"/>
        <v>3989.05</v>
      </c>
      <c r="J61" t="s">
        <v>75</v>
      </c>
      <c r="K61" t="str">
        <f t="shared" si="1"/>
        <v>INSERT INTO dbo.TB_ITEM_VENDA (CODIGO_VENDA,CODIGO_PRODUTO,VALOR_UNITARIO,QUANTIDADE,VALOR_FINAL) VALUES (2,2,'3989,05',1,'3989,05');</v>
      </c>
    </row>
    <row r="62" spans="1:11" x14ac:dyDescent="0.3">
      <c r="A62" s="13">
        <v>2</v>
      </c>
      <c r="B62" s="13">
        <v>3</v>
      </c>
      <c r="C62" s="13">
        <v>1884.45</v>
      </c>
      <c r="D62" s="13">
        <v>1</v>
      </c>
      <c r="E62" s="13">
        <f t="shared" si="2"/>
        <v>1884.45</v>
      </c>
      <c r="J62" t="s">
        <v>75</v>
      </c>
      <c r="K62" t="str">
        <f t="shared" si="1"/>
        <v>INSERT INTO dbo.TB_ITEM_VENDA (CODIGO_VENDA,CODIGO_PRODUTO,VALOR_UNITARIO,QUANTIDADE,VALOR_FINAL) VALUES (2,3,'1884,45',1,'1884,45');</v>
      </c>
    </row>
    <row r="63" spans="1:11" x14ac:dyDescent="0.3">
      <c r="A63" s="12">
        <v>3</v>
      </c>
      <c r="B63" s="12">
        <v>5</v>
      </c>
      <c r="C63" s="12">
        <v>16266.99</v>
      </c>
      <c r="D63" s="12">
        <v>1</v>
      </c>
      <c r="E63" s="12">
        <f t="shared" si="2"/>
        <v>16266.99</v>
      </c>
      <c r="J63" t="s">
        <v>75</v>
      </c>
      <c r="K63" t="str">
        <f t="shared" si="1"/>
        <v>INSERT INTO dbo.TB_ITEM_VENDA (CODIGO_VENDA,CODIGO_PRODUTO,VALOR_UNITARIO,QUANTIDADE,VALOR_FINAL) VALUES (3,5,'16266,99',1,'16266,99');</v>
      </c>
    </row>
    <row r="64" spans="1:11" x14ac:dyDescent="0.3">
      <c r="A64" s="12">
        <v>3</v>
      </c>
      <c r="B64" s="12">
        <v>6</v>
      </c>
      <c r="C64" s="12">
        <v>256.49</v>
      </c>
      <c r="D64" s="12">
        <v>2</v>
      </c>
      <c r="E64" s="12">
        <f t="shared" si="2"/>
        <v>512.98</v>
      </c>
      <c r="J64" t="s">
        <v>75</v>
      </c>
      <c r="K64" t="str">
        <f t="shared" si="1"/>
        <v>INSERT INTO dbo.TB_ITEM_VENDA (CODIGO_VENDA,CODIGO_PRODUTO,VALOR_UNITARIO,QUANTIDADE,VALOR_FINAL) VALUES (3,6,'256,49',2,'512,98');</v>
      </c>
    </row>
    <row r="65" spans="1:11" x14ac:dyDescent="0.3">
      <c r="A65" s="12">
        <v>3</v>
      </c>
      <c r="B65" s="12">
        <v>2</v>
      </c>
      <c r="C65" s="12">
        <v>3989.05</v>
      </c>
      <c r="D65" s="12">
        <v>1</v>
      </c>
      <c r="E65" s="12">
        <f t="shared" si="2"/>
        <v>3989.05</v>
      </c>
      <c r="J65" t="s">
        <v>75</v>
      </c>
      <c r="K65" t="str">
        <f t="shared" si="1"/>
        <v>INSERT INTO dbo.TB_ITEM_VENDA (CODIGO_VENDA,CODIGO_PRODUTO,VALOR_UNITARIO,QUANTIDADE,VALOR_FINAL) VALUES (3,2,'3989,05',1,'3989,05');</v>
      </c>
    </row>
    <row r="66" spans="1:11" x14ac:dyDescent="0.3">
      <c r="A66" s="13">
        <v>4</v>
      </c>
      <c r="B66" s="13">
        <v>1</v>
      </c>
      <c r="C66" s="13">
        <v>2789.9</v>
      </c>
      <c r="D66" s="13">
        <v>3</v>
      </c>
      <c r="E66" s="13">
        <f t="shared" si="2"/>
        <v>8369.7000000000007</v>
      </c>
      <c r="J66" t="s">
        <v>75</v>
      </c>
      <c r="K66" t="str">
        <f t="shared" si="1"/>
        <v>INSERT INTO dbo.TB_ITEM_VENDA (CODIGO_VENDA,CODIGO_PRODUTO,VALOR_UNITARIO,QUANTIDADE,VALOR_FINAL) VALUES (4,1,'2789,9',3,'8369,7');</v>
      </c>
    </row>
    <row r="67" spans="1:11" x14ac:dyDescent="0.3">
      <c r="A67" s="13">
        <v>4</v>
      </c>
      <c r="B67" s="13">
        <v>2</v>
      </c>
      <c r="C67" s="13">
        <v>3989.05</v>
      </c>
      <c r="D67" s="13">
        <v>2</v>
      </c>
      <c r="E67" s="13">
        <f t="shared" si="2"/>
        <v>7978.1</v>
      </c>
      <c r="J67" t="s">
        <v>75</v>
      </c>
      <c r="K67" t="str">
        <f t="shared" si="1"/>
        <v>INSERT INTO dbo.TB_ITEM_VENDA (CODIGO_VENDA,CODIGO_PRODUTO,VALOR_UNITARIO,QUANTIDADE,VALOR_FINAL) VALUES (4,2,'3989,05',2,'7978,1');</v>
      </c>
    </row>
    <row r="68" spans="1:11" x14ac:dyDescent="0.3">
      <c r="A68" s="13">
        <v>4</v>
      </c>
      <c r="B68" s="13">
        <v>3</v>
      </c>
      <c r="C68" s="13">
        <v>1884.45</v>
      </c>
      <c r="D68" s="13">
        <v>1</v>
      </c>
      <c r="E68" s="13">
        <f t="shared" si="2"/>
        <v>1884.45</v>
      </c>
      <c r="J68" t="s">
        <v>75</v>
      </c>
      <c r="K68" t="str">
        <f t="shared" si="1"/>
        <v>INSERT INTO dbo.TB_ITEM_VENDA (CODIGO_VENDA,CODIGO_PRODUTO,VALOR_UNITARIO,QUANTIDADE,VALOR_FINAL) VALUES (4,3,'1884,45',1,'1884,45');</v>
      </c>
    </row>
    <row r="69" spans="1:11" x14ac:dyDescent="0.3">
      <c r="A69" s="12">
        <v>5</v>
      </c>
      <c r="B69" s="12">
        <v>5</v>
      </c>
      <c r="C69" s="12">
        <v>16266.99</v>
      </c>
      <c r="D69" s="12">
        <v>1</v>
      </c>
      <c r="E69" s="12">
        <f t="shared" si="2"/>
        <v>16266.99</v>
      </c>
      <c r="J69" t="s">
        <v>75</v>
      </c>
      <c r="K69" t="str">
        <f t="shared" si="1"/>
        <v>INSERT INTO dbo.TB_ITEM_VENDA (CODIGO_VENDA,CODIGO_PRODUTO,VALOR_UNITARIO,QUANTIDADE,VALOR_FINAL) VALUES (5,5,'16266,99',1,'16266,99');</v>
      </c>
    </row>
    <row r="70" spans="1:11" x14ac:dyDescent="0.3">
      <c r="A70" s="12">
        <v>5</v>
      </c>
      <c r="B70" s="12">
        <v>6</v>
      </c>
      <c r="C70" s="12">
        <v>256.49</v>
      </c>
      <c r="D70" s="12">
        <v>1</v>
      </c>
      <c r="E70" s="12">
        <f t="shared" si="2"/>
        <v>256.49</v>
      </c>
      <c r="J70" t="s">
        <v>75</v>
      </c>
      <c r="K70" t="str">
        <f t="shared" si="1"/>
        <v>INSERT INTO dbo.TB_ITEM_VENDA (CODIGO_VENDA,CODIGO_PRODUTO,VALOR_UNITARIO,QUANTIDADE,VALOR_FINAL) VALUES (5,6,'256,49',1,'256,49');</v>
      </c>
    </row>
    <row r="71" spans="1:11" x14ac:dyDescent="0.3">
      <c r="A71" s="12">
        <v>5</v>
      </c>
      <c r="B71" s="12">
        <v>3</v>
      </c>
      <c r="C71" s="12">
        <v>1884.45</v>
      </c>
      <c r="D71" s="12">
        <v>1</v>
      </c>
      <c r="E71" s="12">
        <f t="shared" si="2"/>
        <v>1884.45</v>
      </c>
      <c r="J71" t="s">
        <v>75</v>
      </c>
      <c r="K71" t="str">
        <f t="shared" si="1"/>
        <v>INSERT INTO dbo.TB_ITEM_VENDA (CODIGO_VENDA,CODIGO_PRODUTO,VALOR_UNITARIO,QUANTIDADE,VALOR_FINAL) VALUES (5,3,'1884,45',1,'1884,45');</v>
      </c>
    </row>
    <row r="72" spans="1:11" x14ac:dyDescent="0.3">
      <c r="A72" s="13">
        <v>6</v>
      </c>
      <c r="B72" s="13">
        <v>4</v>
      </c>
      <c r="C72" s="13">
        <v>64.900000000000006</v>
      </c>
      <c r="D72" s="13">
        <v>3</v>
      </c>
      <c r="E72" s="13">
        <f t="shared" si="2"/>
        <v>194.70000000000002</v>
      </c>
      <c r="J72" t="s">
        <v>75</v>
      </c>
      <c r="K72" t="str">
        <f t="shared" si="1"/>
        <v>INSERT INTO dbo.TB_ITEM_VENDA (CODIGO_VENDA,CODIGO_PRODUTO,VALOR_UNITARIO,QUANTIDADE,VALOR_FINAL) VALUES (6,4,'64,9',3,'194,7');</v>
      </c>
    </row>
    <row r="73" spans="1:11" x14ac:dyDescent="0.3">
      <c r="A73" s="13">
        <v>6</v>
      </c>
      <c r="B73" s="13">
        <v>3</v>
      </c>
      <c r="C73" s="13">
        <v>1884.45</v>
      </c>
      <c r="D73" s="13">
        <v>1</v>
      </c>
      <c r="E73" s="13">
        <f t="shared" si="2"/>
        <v>1884.45</v>
      </c>
      <c r="J73" t="s">
        <v>75</v>
      </c>
      <c r="K73" t="str">
        <f t="shared" si="1"/>
        <v>INSERT INTO dbo.TB_ITEM_VENDA (CODIGO_VENDA,CODIGO_PRODUTO,VALOR_UNITARIO,QUANTIDADE,VALOR_FINAL) VALUES (6,3,'1884,45',1,'1884,45');</v>
      </c>
    </row>
    <row r="74" spans="1:11" x14ac:dyDescent="0.3">
      <c r="A74" s="13">
        <v>6</v>
      </c>
      <c r="B74" s="13">
        <v>5</v>
      </c>
      <c r="C74" s="13">
        <v>16266.99</v>
      </c>
      <c r="D74" s="13">
        <v>2</v>
      </c>
      <c r="E74" s="13">
        <f t="shared" si="2"/>
        <v>32533.98</v>
      </c>
      <c r="J74" t="s">
        <v>75</v>
      </c>
      <c r="K74" t="str">
        <f t="shared" si="1"/>
        <v>INSERT INTO dbo.TB_ITEM_VENDA (CODIGO_VENDA,CODIGO_PRODUTO,VALOR_UNITARIO,QUANTIDADE,VALOR_FINAL) VALUES (6,5,'16266,99',2,'32533,98');</v>
      </c>
    </row>
    <row r="75" spans="1:11" x14ac:dyDescent="0.3">
      <c r="A75" s="13">
        <v>6</v>
      </c>
      <c r="B75" s="13">
        <v>2</v>
      </c>
      <c r="C75" s="13">
        <v>3989.05</v>
      </c>
      <c r="D75" s="13">
        <v>1</v>
      </c>
      <c r="E75" s="13">
        <f t="shared" si="2"/>
        <v>3989.05</v>
      </c>
      <c r="J75" t="s">
        <v>75</v>
      </c>
      <c r="K75" t="str">
        <f t="shared" si="1"/>
        <v>INSERT INTO dbo.TB_ITEM_VENDA (CODIGO_VENDA,CODIGO_PRODUTO,VALOR_UNITARIO,QUANTIDADE,VALOR_FINAL) VALUES (6,2,'3989,05',1,'3989,05');</v>
      </c>
    </row>
    <row r="76" spans="1:11" x14ac:dyDescent="0.3">
      <c r="A76" s="12">
        <v>7</v>
      </c>
      <c r="B76" s="12">
        <v>1</v>
      </c>
      <c r="C76" s="12">
        <v>2789.9</v>
      </c>
      <c r="D76" s="12">
        <v>1</v>
      </c>
      <c r="E76" s="12">
        <f t="shared" si="2"/>
        <v>2789.9</v>
      </c>
      <c r="J76" t="s">
        <v>75</v>
      </c>
      <c r="K76" t="str">
        <f t="shared" si="1"/>
        <v>INSERT INTO dbo.TB_ITEM_VENDA (CODIGO_VENDA,CODIGO_PRODUTO,VALOR_UNITARIO,QUANTIDADE,VALOR_FINAL) VALUES (7,1,'2789,9',1,'2789,9');</v>
      </c>
    </row>
    <row r="77" spans="1:11" x14ac:dyDescent="0.3">
      <c r="A77" s="12">
        <v>7</v>
      </c>
      <c r="B77" s="12">
        <v>2</v>
      </c>
      <c r="C77" s="12">
        <v>3989.05</v>
      </c>
      <c r="D77" s="12">
        <v>1</v>
      </c>
      <c r="E77" s="12">
        <f t="shared" si="2"/>
        <v>3989.05</v>
      </c>
      <c r="J77" t="s">
        <v>75</v>
      </c>
      <c r="K77" t="str">
        <f t="shared" si="1"/>
        <v>INSERT INTO dbo.TB_ITEM_VENDA (CODIGO_VENDA,CODIGO_PRODUTO,VALOR_UNITARIO,QUANTIDADE,VALOR_FINAL) VALUES (7,2,'3989,05',1,'3989,05');</v>
      </c>
    </row>
    <row r="78" spans="1:11" x14ac:dyDescent="0.3">
      <c r="A78" s="13">
        <v>8</v>
      </c>
      <c r="B78" s="13">
        <v>1</v>
      </c>
      <c r="C78" s="13">
        <v>2789.9</v>
      </c>
      <c r="D78" s="13">
        <v>2</v>
      </c>
      <c r="E78" s="13">
        <f t="shared" si="2"/>
        <v>5579.8</v>
      </c>
      <c r="J78" t="s">
        <v>75</v>
      </c>
      <c r="K78" t="str">
        <f t="shared" si="1"/>
        <v>INSERT INTO dbo.TB_ITEM_VENDA (CODIGO_VENDA,CODIGO_PRODUTO,VALOR_UNITARIO,QUANTIDADE,VALOR_FINAL) VALUES (8,1,'2789,9',2,'5579,8');</v>
      </c>
    </row>
    <row r="79" spans="1:11" x14ac:dyDescent="0.3">
      <c r="A79" s="13">
        <v>8</v>
      </c>
      <c r="B79" s="13">
        <v>2</v>
      </c>
      <c r="C79" s="13">
        <v>3989.05</v>
      </c>
      <c r="D79" s="13">
        <v>2</v>
      </c>
      <c r="E79" s="13">
        <f t="shared" si="2"/>
        <v>7978.1</v>
      </c>
      <c r="J79" t="s">
        <v>75</v>
      </c>
      <c r="K79" t="str">
        <f t="shared" si="1"/>
        <v>INSERT INTO dbo.TB_ITEM_VENDA (CODIGO_VENDA,CODIGO_PRODUTO,VALOR_UNITARIO,QUANTIDADE,VALOR_FINAL) VALUES (8,2,'3989,05',2,'7978,1');</v>
      </c>
    </row>
    <row r="80" spans="1:11" x14ac:dyDescent="0.3">
      <c r="A80" s="13">
        <v>8</v>
      </c>
      <c r="B80" s="13">
        <v>3</v>
      </c>
      <c r="C80" s="13">
        <v>1884.45</v>
      </c>
      <c r="D80" s="13">
        <v>1</v>
      </c>
      <c r="E80" s="13">
        <f t="shared" si="2"/>
        <v>1884.45</v>
      </c>
      <c r="J80" t="s">
        <v>75</v>
      </c>
      <c r="K80" t="str">
        <f t="shared" si="1"/>
        <v>INSERT INTO dbo.TB_ITEM_VENDA (CODIGO_VENDA,CODIGO_PRODUTO,VALOR_UNITARIO,QUANTIDADE,VALOR_FINAL) VALUES (8,3,'1884,45',1,'1884,45');</v>
      </c>
    </row>
    <row r="81" spans="1:11" x14ac:dyDescent="0.3">
      <c r="A81" s="13">
        <v>8</v>
      </c>
      <c r="B81" s="13">
        <v>4</v>
      </c>
      <c r="C81" s="13">
        <v>64.900000000000006</v>
      </c>
      <c r="D81" s="13">
        <v>5</v>
      </c>
      <c r="E81" s="13">
        <f t="shared" si="2"/>
        <v>324.5</v>
      </c>
      <c r="J81" t="s">
        <v>75</v>
      </c>
      <c r="K81" t="str">
        <f t="shared" si="1"/>
        <v>INSERT INTO dbo.TB_ITEM_VENDA (CODIGO_VENDA,CODIGO_PRODUTO,VALOR_UNITARIO,QUANTIDADE,VALOR_FINAL) VALUES (8,4,'64,9',5,'324,5');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DADOS_VENDA</vt:lpstr>
      <vt:lpstr>ANALISE_DADOS</vt:lpstr>
      <vt:lpstr>RELATORIO_VENDA</vt:lpstr>
      <vt:lpstr>SCRIPT_INSERT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Quintella,Gabriel,SAO PAULO,Information Technology</dc:creator>
  <cp:lastModifiedBy>Gabriel Quintella</cp:lastModifiedBy>
  <dcterms:created xsi:type="dcterms:W3CDTF">2023-07-13T23:02:59Z</dcterms:created>
  <dcterms:modified xsi:type="dcterms:W3CDTF">2023-09-17T00:24:02Z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2023-07-13T23:03:04Z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2658a4fb-9b0c-429b-be71-72abe38e92a8</vt:lpwstr>
  </property>
  <property fmtid="{D5CDD505-2E9C-101B-9397-08002B2CF9AE}" pid="8" name="MSIP_Label_1ada0a2f-b917-4d51-b0d0-d418a10c8b23_ContentBits">
    <vt:lpwstr>0</vt:lpwstr>
  </property>
</Properties>
</file>