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FCE1F666-85A0-49BE-B63E-4B717A270656}" xr6:coauthVersionLast="47" xr6:coauthVersionMax="47" xr10:uidLastSave="{00000000-0000-0000-0000-000000000000}"/>
  <bookViews>
    <workbookView xWindow="-120" yWindow="-120" windowWidth="29040" windowHeight="17640" activeTab="1" xr2:uid="{00000000-000D-0000-FFFF-FFFF00000000}"/>
  </bookViews>
  <sheets>
    <sheet name="Battery - NMC" sheetId="1" r:id="rId1"/>
    <sheet name="Battery - stationa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1" i="2" l="1"/>
  <c r="B132" i="2" s="1"/>
  <c r="F130" i="2"/>
  <c r="D130" i="2"/>
  <c r="A130" i="2"/>
  <c r="J104" i="2"/>
  <c r="I105" i="2" s="1"/>
  <c r="I104" i="2"/>
  <c r="J105" i="2" s="1"/>
  <c r="B104" i="2"/>
  <c r="B105" i="2" s="1"/>
  <c r="I132" i="2" l="1"/>
  <c r="H132" i="2"/>
  <c r="J132" i="2"/>
  <c r="H131" i="2"/>
  <c r="I131" i="2"/>
  <c r="J131" i="2"/>
  <c r="H104" i="2"/>
  <c r="F103" i="2"/>
  <c r="C103" i="2"/>
  <c r="A103" i="2"/>
  <c r="J90" i="2"/>
  <c r="J91" i="2"/>
  <c r="I91" i="2"/>
  <c r="I90" i="2"/>
  <c r="B90" i="2"/>
  <c r="H105" i="2" l="1"/>
  <c r="B91" i="2"/>
  <c r="H91" i="2" s="1"/>
  <c r="F89" i="2"/>
  <c r="C89" i="2"/>
  <c r="A89" i="2"/>
  <c r="A165" i="2"/>
  <c r="A144" i="2"/>
  <c r="J119" i="2"/>
  <c r="I119" i="2"/>
  <c r="J118" i="2"/>
  <c r="I118" i="2"/>
  <c r="B118" i="2"/>
  <c r="B119" i="2" s="1"/>
  <c r="H119" i="2" s="1"/>
  <c r="F117" i="2"/>
  <c r="C117" i="2"/>
  <c r="A117" i="2"/>
  <c r="B114" i="2"/>
  <c r="J77" i="2"/>
  <c r="I77" i="2"/>
  <c r="J76" i="2"/>
  <c r="I76" i="2"/>
  <c r="B76" i="2"/>
  <c r="B77" i="2" s="1"/>
  <c r="H77" i="2" s="1"/>
  <c r="F75" i="2"/>
  <c r="C75" i="2"/>
  <c r="A75" i="2"/>
  <c r="B72" i="2"/>
  <c r="J64" i="2"/>
  <c r="I64" i="2"/>
  <c r="J63" i="2"/>
  <c r="I63" i="2"/>
  <c r="B63" i="2"/>
  <c r="H63" i="2" s="1"/>
  <c r="F62" i="2"/>
  <c r="C62" i="2"/>
  <c r="A62" i="2"/>
  <c r="B60" i="2"/>
  <c r="J51" i="2"/>
  <c r="I51" i="2"/>
  <c r="J50" i="2"/>
  <c r="I50" i="2"/>
  <c r="B50" i="2"/>
  <c r="B51" i="2" s="1"/>
  <c r="H51" i="2" s="1"/>
  <c r="F49" i="2"/>
  <c r="C49" i="2"/>
  <c r="A49" i="2"/>
  <c r="B46" i="2"/>
  <c r="J38" i="2"/>
  <c r="I38" i="2"/>
  <c r="J37" i="2"/>
  <c r="I37" i="2"/>
  <c r="B37" i="2"/>
  <c r="H37" i="2" s="1"/>
  <c r="F36" i="2"/>
  <c r="C36" i="2"/>
  <c r="A36" i="2"/>
  <c r="B33" i="2"/>
  <c r="J25" i="2"/>
  <c r="I25" i="2"/>
  <c r="J24" i="2"/>
  <c r="I24" i="2"/>
  <c r="B24" i="2"/>
  <c r="H24" i="2" s="1"/>
  <c r="F23" i="2"/>
  <c r="C23" i="2"/>
  <c r="A23" i="2"/>
  <c r="B20" i="2"/>
  <c r="J12" i="2"/>
  <c r="I12" i="2"/>
  <c r="J11" i="2"/>
  <c r="I11" i="2"/>
  <c r="B11" i="2"/>
  <c r="H11" i="2" s="1"/>
  <c r="F10" i="2"/>
  <c r="C10" i="2"/>
  <c r="A10" i="2"/>
  <c r="B7" i="2"/>
  <c r="A253" i="1"/>
  <c r="A229" i="1"/>
  <c r="A205" i="1"/>
  <c r="A181" i="1"/>
  <c r="H90" i="2" l="1"/>
  <c r="B25" i="2"/>
  <c r="H25" i="2" s="1"/>
  <c r="H76" i="2"/>
  <c r="H118" i="2"/>
  <c r="H50" i="2"/>
  <c r="B12" i="2"/>
  <c r="H12" i="2" s="1"/>
  <c r="B38" i="2"/>
  <c r="H38" i="2" s="1"/>
  <c r="B64" i="2"/>
  <c r="H64" i="2" s="1"/>
  <c r="J130" i="1"/>
  <c r="I130" i="1"/>
  <c r="J157" i="1"/>
  <c r="I157" i="1"/>
  <c r="J92" i="1"/>
  <c r="I92" i="1"/>
  <c r="J79" i="1"/>
  <c r="I79" i="1"/>
  <c r="J66" i="1"/>
  <c r="I66" i="1"/>
  <c r="J53" i="1"/>
  <c r="I53" i="1"/>
  <c r="J40" i="1"/>
  <c r="I40" i="1"/>
  <c r="J27" i="1"/>
  <c r="I27" i="1"/>
  <c r="I14" i="1"/>
  <c r="J14" i="1"/>
  <c r="I156" i="1" l="1"/>
  <c r="I78" i="1"/>
  <c r="J131" i="1"/>
  <c r="I131" i="1"/>
  <c r="B156" i="1"/>
  <c r="J156" i="1"/>
  <c r="J78" i="1"/>
  <c r="B78" i="1"/>
  <c r="B79" i="1" s="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H78" i="1" l="1"/>
  <c r="J144" i="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<sst xmlns="http://schemas.openxmlformats.org/spreadsheetml/2006/main" count="1336" uniqueCount="124">
  <si>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</si>
  <si>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</si>
  <si>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</si>
  <si>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</si>
  <si>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</si>
  <si>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</si>
  <si>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</si>
  <si>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</si>
  <si>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</si>
  <si>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</si>
  <si>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</si>
  <si>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</si>
  <si>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</si>
  <si>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</si>
  <si>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</si>
  <si>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</si>
  <si>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market for battery capacity, Li-ion, LFP</t>
  </si>
  <si>
    <t>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</si>
  <si>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</si>
  <si>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</si>
  <si>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</si>
  <si>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</si>
  <si>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</si>
  <si>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</si>
  <si>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battery capacity, Li-ion, NMC111</t>
  </si>
  <si>
    <t>battery capacity, Li-ion, NMC622</t>
  </si>
  <si>
    <t>market for battery capacity, Li-ion, NMC811</t>
  </si>
  <si>
    <t>battery capacity, Li-ion, NMC811</t>
  </si>
  <si>
    <t>market for battery, Li-ion, NMC811, rechargeable, prismatic</t>
  </si>
  <si>
    <t>market for battery, Li-ion, NMC622</t>
  </si>
  <si>
    <t>battery, Li-ion, NMC622</t>
  </si>
  <si>
    <t>market for battery capacity, Li-ion, NCA</t>
  </si>
  <si>
    <t>battery capacity, Li-ion, NCA</t>
  </si>
  <si>
    <t>market for battery, Li-ion, NCA, rechargeable, prismatic</t>
  </si>
  <si>
    <t>battery, Li-ion, NCA, rechargeable, prismatic</t>
  </si>
  <si>
    <t>battery capacity</t>
  </si>
  <si>
    <t>market for battery capacity, Li-ion, LTO</t>
  </si>
  <si>
    <t>battery capacity, Li-ion, LTO</t>
  </si>
  <si>
    <t>market for battery, Li-ion, LTO</t>
  </si>
  <si>
    <t>battery, Li-ion, LTO</t>
  </si>
  <si>
    <t>market for battery, Li-sulfur, Li-S</t>
  </si>
  <si>
    <t>battery, Li-S</t>
  </si>
  <si>
    <t>market for battery capacity, Li-ion, Li-O2</t>
  </si>
  <si>
    <t>battery capacity, Li-ion, Li-O2</t>
  </si>
  <si>
    <t>market for battery, Li-oxygen, Li-O2</t>
  </si>
  <si>
    <t>battery, Li-O2</t>
  </si>
  <si>
    <t>market for battery capacity, Sodium-ion, SiB</t>
  </si>
  <si>
    <t>market for battery, Sodium-ion, SiB</t>
  </si>
  <si>
    <t>battery, SiB</t>
  </si>
  <si>
    <t>battery capacity, Sodium-ion,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</si>
  <si>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</si>
  <si>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</si>
  <si>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</si>
  <si>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</si>
  <si>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</si>
  <si>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</si>
  <si>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</si>
  <si>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</si>
  <si>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</si>
  <si>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</si>
  <si>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</si>
  <si>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</si>
  <si>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battery capacity, Na-NiCl</t>
  </si>
  <si>
    <t>market for used Li-ion battery</t>
  </si>
  <si>
    <t>used Li-ion battery</t>
  </si>
  <si>
    <t>market for battery capacity, Li-ion, LiMn2O4</t>
  </si>
  <si>
    <t>battery capacity, Li-ion, LiMn2O4</t>
  </si>
  <si>
    <t>market for battery capacity, Li-sulfur, Li-S</t>
  </si>
  <si>
    <t>battery capacity, Li-sulfur, Li-S</t>
  </si>
  <si>
    <t>uncertainty type</t>
  </si>
  <si>
    <t>loc</t>
  </si>
  <si>
    <t>minimum</t>
  </si>
  <si>
    <t>maximum</t>
  </si>
  <si>
    <t>negative</t>
  </si>
  <si>
    <t>market for battery capacity, Li-ion, NMC523</t>
  </si>
  <si>
    <t>battery capacity, Li-ion, NMC523</t>
  </si>
  <si>
    <t>market for battery, Li-ion, NMC523</t>
  </si>
  <si>
    <t>battery, Li-ion, NMC523</t>
  </si>
  <si>
    <t>market for battery capacity, Li-ion, NMC955</t>
  </si>
  <si>
    <t>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</si>
  <si>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</si>
  <si>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</si>
  <si>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</si>
  <si>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</si>
  <si>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NMC523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</si>
  <si>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</si>
  <si>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</si>
  <si>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</si>
  <si>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</si>
  <si>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</si>
  <si>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</si>
  <si>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</si>
  <si>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</si>
  <si>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</si>
  <si>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</si>
  <si>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</si>
  <si>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</si>
  <si>
    <t>market for battery capacity, Li-ion, LFP, stationary</t>
  </si>
  <si>
    <t>market for battery capacity, Li-ion, NMC111, stationary</t>
  </si>
  <si>
    <t>market for battery capacity, Li-ion, NMC523, stationary</t>
  </si>
  <si>
    <t>market for battery capacity, Li-ion, NMC622, stationary</t>
  </si>
  <si>
    <t>market for battery capacity, Li-ion, NMC811, stationary</t>
  </si>
  <si>
    <t>market for battery capacity, Li-ion, NMC955, stationary</t>
  </si>
  <si>
    <t>market for battery capacity, Sodium-ion, SiB, stationary</t>
  </si>
  <si>
    <t>market for battery, redox-flow, Vanadium</t>
  </si>
  <si>
    <t>market for used redox-flow battery</t>
  </si>
  <si>
    <t>used redox-flow battery</t>
  </si>
  <si>
    <t>This dataset provides 1 kWh of battery gross capacity (NOT net), using a vanadium redox-flow battery. EFFECTIVE energy density in 2020: 0.0194 kWh/kg cell. Battery management (BoP) mass share: 21%. Source for parameters: https://doi.org/10.1021/acs.est.8b02073. Min and max values from: https://doi.org/10.1039/C7CP07456E</t>
  </si>
  <si>
    <t>market for battery capacity, lead acid, rechargeable, stationary</t>
  </si>
  <si>
    <t>battery capacity, lead acid</t>
  </si>
  <si>
    <t>market for battery, lead acid, rechargeable, stationary</t>
  </si>
  <si>
    <t>battery, lead acid, rechargeable, stationary</t>
  </si>
  <si>
    <t>market for scrap lead acid battery</t>
  </si>
  <si>
    <t>scrap lead acid battery</t>
  </si>
  <si>
    <t>Activities from ecoinvent. Current energy values from: http://dx.doi.org/10.1016/j.rser.2014.10.072. Future energy density values from: https://doi.org/10.1007/s41918-022-00134-w</t>
  </si>
  <si>
    <t>market for battery capacity, Sodium-Nickel-Chloride, Na-NiCl, stationary</t>
  </si>
  <si>
    <t>market for battery capacity, stationary (CONT scenario)</t>
  </si>
  <si>
    <t>market for battery capacity, stationary (TC scenario)</t>
  </si>
  <si>
    <t>battery, redox-flow, Vanadium</t>
  </si>
  <si>
    <t>database</t>
  </si>
  <si>
    <t>batteries</t>
  </si>
  <si>
    <t>market for battery capacity, redox-flow, Vanadium, stationary</t>
  </si>
  <si>
    <t>This dataset provides a market average for 1 kWh of battery gross capacity (NOT net). It is based on shares provided by Schlichenmaier &amp; Naegler (2022) https://doi.org/10.1016/j.egyr.2022.11.025</t>
  </si>
  <si>
    <t>battery capacity, redox-flow, Vanadium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</si>
</sst>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9" fontId="4" fillId="0" borderId="0" applyFont="0" applyFill="0" applyBorder="0" applyAlignment="0" applyProtection="0"/>
  </cellStyleXfs>
  <cellXfs count="8">
    <xf numFmtId="0" fontId="0" fillId="0" borderId="0" xfId="0"/>
    <xf numFmtId="0" fontId="5" fillId="0" borderId="0" xfId="0" applyFont="1"/>
    <xf numFmtId="0" fontId="6" fillId="0" borderId="0" xfId="0" applyFont="1"/>
    <xf numFmtId="2" fontId="0" fillId="0" borderId="0" xfId="0" applyNumberFormat="1"/>
    <xf numFmtId="0" fontId="3" fillId="0" borderId="0" xfId="0" applyFont="1"/>
    <xf numFmtId="0" fontId="2" fillId="0" borderId="0" xfId="0" applyFont="1"/>
    <xf numFmtId="0" fontId="1" fillId="0" borderId="0" xfId="0" applyFont="1"/>
    <xf numFmtId="164" fontId="0" fillId="0" borderId="0" xfId="0" applyNumberForma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6"/>
  <sheetViews>
    <sheetView topLeftCell="A177" workbookViewId="0">
      <selection activeCell="F147" sqref="F147"/>
    </sheetView>
  </sheetViews>
  <sheetFormatPr defaultColWidth="8.85546875" defaultRowHeight="15" x14ac:dyDescent="0.25"/>
  <cols>
    <col min="1" max="1" width="46.42578125" customWidth="1"/>
    <col min="2" max="2" width="24.140625" customWidth="1"/>
  </cols>
  <sheetData>
    <row r="1" spans="1:14" x14ac:dyDescent="0.25">
      <c r="A1" s="1" t="s">
        <v>119</v>
      </c>
      <c r="B1" t="s">
        <v>120</v>
      </c>
    </row>
    <row r="3" spans="1:14" ht="15.75" x14ac:dyDescent="0.25">
      <c r="A3" s="2" t="s">
        <v>0</v>
      </c>
      <c r="B3" s="2" t="s">
        <v>16</v>
      </c>
    </row>
    <row r="4" spans="1:14" x14ac:dyDescent="0.25">
      <c r="A4" t="s">
        <v>1</v>
      </c>
      <c r="B4" t="s">
        <v>82</v>
      </c>
    </row>
    <row r="5" spans="1:14" x14ac:dyDescent="0.25">
      <c r="A5" t="s">
        <v>2</v>
      </c>
      <c r="B5" t="s">
        <v>3</v>
      </c>
    </row>
    <row r="6" spans="1:14" x14ac:dyDescent="0.25">
      <c r="A6" t="s">
        <v>4</v>
      </c>
      <c r="B6">
        <v>1</v>
      </c>
    </row>
    <row r="7" spans="1:14" x14ac:dyDescent="0.25">
      <c r="A7" t="s">
        <v>5</v>
      </c>
      <c r="B7" t="s">
        <v>17</v>
      </c>
    </row>
    <row r="8" spans="1:14" x14ac:dyDescent="0.25">
      <c r="A8" t="s">
        <v>6</v>
      </c>
      <c r="B8" t="s">
        <v>15</v>
      </c>
      <c r="F8" s="7"/>
    </row>
    <row r="9" spans="1:14" x14ac:dyDescent="0.25">
      <c r="A9" t="s">
        <v>57</v>
      </c>
      <c r="B9">
        <f>1-0.27</f>
        <v>0.73</v>
      </c>
    </row>
    <row r="10" spans="1:14" ht="15.75" x14ac:dyDescent="0.25">
      <c r="A10" s="2" t="s">
        <v>9</v>
      </c>
      <c r="B10" s="7"/>
    </row>
    <row r="11" spans="1:14" x14ac:dyDescent="0.25">
      <c r="A11" s="1" t="s">
        <v>10</v>
      </c>
      <c r="B11" s="1" t="s">
        <v>11</v>
      </c>
      <c r="C11" s="1" t="s">
        <v>6</v>
      </c>
      <c r="D11" s="1" t="s">
        <v>2</v>
      </c>
      <c r="E11" s="1" t="s">
        <v>12</v>
      </c>
      <c r="F11" s="1" t="s">
        <v>5</v>
      </c>
      <c r="G11" s="1" t="s">
        <v>69</v>
      </c>
      <c r="H11" s="1" t="s">
        <v>70</v>
      </c>
      <c r="I11" s="1" t="s">
        <v>71</v>
      </c>
      <c r="J11" s="1" t="s">
        <v>72</v>
      </c>
      <c r="K11" s="1" t="s">
        <v>73</v>
      </c>
    </row>
    <row r="12" spans="1:14" ht="15.75" x14ac:dyDescent="0.25">
      <c r="A12" s="4" t="str">
        <f>B3</f>
        <v>market for battery capacity, Li-ion, LFP</v>
      </c>
      <c r="B12">
        <v>1</v>
      </c>
      <c r="C12" t="str">
        <f>B8</f>
        <v>kilowatt hour</v>
      </c>
      <c r="D12" t="s">
        <v>3</v>
      </c>
      <c r="E12" t="s">
        <v>13</v>
      </c>
      <c r="F12" t="str">
        <f>B7</f>
        <v>battery capacity, Li-ion, LFP</v>
      </c>
    </row>
    <row r="13" spans="1:14" x14ac:dyDescent="0.25">
      <c r="A13" t="s">
        <v>18</v>
      </c>
      <c r="B13" s="7">
        <f>1/(0.16*(1-27%))</f>
        <v>8.5616438356164384</v>
      </c>
      <c r="C13" t="s">
        <v>7</v>
      </c>
      <c r="D13" t="s">
        <v>3</v>
      </c>
      <c r="E13" t="s">
        <v>14</v>
      </c>
      <c r="F13" t="s">
        <v>19</v>
      </c>
      <c r="G13">
        <v>5</v>
      </c>
      <c r="H13" s="7">
        <f>B13</f>
        <v>8.5616438356164384</v>
      </c>
      <c r="I13" s="7">
        <f>1/(0.19*(1-27%))</f>
        <v>7.2098053352559486</v>
      </c>
      <c r="J13" s="7">
        <f>1/(0.14*(1-27%))</f>
        <v>9.7847358121330714</v>
      </c>
    </row>
    <row r="14" spans="1:14" x14ac:dyDescent="0.25">
      <c r="A14" t="s">
        <v>63</v>
      </c>
      <c r="B14" s="7">
        <f>-1*B13</f>
        <v>-8.5616438356164384</v>
      </c>
      <c r="C14" t="s">
        <v>7</v>
      </c>
      <c r="D14" t="s">
        <v>3</v>
      </c>
      <c r="E14" t="s">
        <v>14</v>
      </c>
      <c r="F14" t="s">
        <v>64</v>
      </c>
      <c r="G14">
        <v>5</v>
      </c>
      <c r="H14" s="7">
        <f>B14</f>
        <v>-8.5616438356164384</v>
      </c>
      <c r="I14" s="7">
        <f>-1/(0.14*(1-27%))</f>
        <v>-9.7847358121330714</v>
      </c>
      <c r="J14" s="7">
        <f>-1/(0.19*(1-27%))</f>
        <v>-7.2098053352559486</v>
      </c>
      <c r="K14" t="b">
        <v>1</v>
      </c>
      <c r="M14" s="7"/>
      <c r="N14" s="7"/>
    </row>
    <row r="16" spans="1:14" ht="15.75" x14ac:dyDescent="0.25">
      <c r="A16" s="2" t="s">
        <v>0</v>
      </c>
      <c r="B16" s="2" t="s">
        <v>20</v>
      </c>
    </row>
    <row r="17" spans="1:14" x14ac:dyDescent="0.25">
      <c r="A17" t="s">
        <v>1</v>
      </c>
      <c r="B17" t="s">
        <v>83</v>
      </c>
    </row>
    <row r="18" spans="1:14" x14ac:dyDescent="0.25">
      <c r="A18" t="s">
        <v>2</v>
      </c>
      <c r="B18" t="s">
        <v>3</v>
      </c>
    </row>
    <row r="19" spans="1:14" x14ac:dyDescent="0.25">
      <c r="A19" t="s">
        <v>4</v>
      </c>
      <c r="B19">
        <v>1</v>
      </c>
    </row>
    <row r="20" spans="1:14" x14ac:dyDescent="0.25">
      <c r="A20" t="s">
        <v>5</v>
      </c>
      <c r="B20" t="s">
        <v>24</v>
      </c>
    </row>
    <row r="21" spans="1:14" x14ac:dyDescent="0.25">
      <c r="A21" t="s">
        <v>6</v>
      </c>
      <c r="B21" t="s">
        <v>15</v>
      </c>
    </row>
    <row r="22" spans="1:14" x14ac:dyDescent="0.25">
      <c r="A22" t="s">
        <v>57</v>
      </c>
      <c r="B22">
        <f>1-0.27</f>
        <v>0.73</v>
      </c>
    </row>
    <row r="23" spans="1:14" ht="15.75" x14ac:dyDescent="0.25">
      <c r="A23" s="2" t="s">
        <v>9</v>
      </c>
      <c r="B23" s="3"/>
    </row>
    <row r="24" spans="1:14" x14ac:dyDescent="0.25">
      <c r="A24" s="1" t="s">
        <v>10</v>
      </c>
      <c r="B24" s="1" t="s">
        <v>11</v>
      </c>
      <c r="C24" s="1" t="s">
        <v>6</v>
      </c>
      <c r="D24" s="1" t="s">
        <v>2</v>
      </c>
      <c r="E24" s="1" t="s">
        <v>12</v>
      </c>
      <c r="F24" s="1" t="s">
        <v>5</v>
      </c>
      <c r="G24" s="1" t="s">
        <v>69</v>
      </c>
      <c r="H24" s="1" t="s">
        <v>70</v>
      </c>
      <c r="I24" s="1" t="s">
        <v>71</v>
      </c>
      <c r="J24" s="1" t="s">
        <v>72</v>
      </c>
      <c r="K24" s="1" t="s">
        <v>73</v>
      </c>
    </row>
    <row r="25" spans="1:14" ht="15.75" x14ac:dyDescent="0.25">
      <c r="A25" s="4" t="str">
        <f>B16</f>
        <v>market for battery capacity, Li-ion, NMC111</v>
      </c>
      <c r="B25">
        <v>1</v>
      </c>
      <c r="C25" t="str">
        <f>B21</f>
        <v>kilowatt hour</v>
      </c>
      <c r="D25" t="s">
        <v>3</v>
      </c>
      <c r="E25" t="s">
        <v>13</v>
      </c>
      <c r="F25" t="str">
        <f>B20</f>
        <v>battery capacity, Li-ion, NMC111</v>
      </c>
    </row>
    <row r="26" spans="1:14" x14ac:dyDescent="0.25">
      <c r="A26" t="s">
        <v>21</v>
      </c>
      <c r="B26" s="3">
        <f>1/(0.18*73%)</f>
        <v>7.6103500761035017</v>
      </c>
      <c r="C26" t="s">
        <v>7</v>
      </c>
      <c r="D26" t="s">
        <v>3</v>
      </c>
      <c r="E26" t="s">
        <v>14</v>
      </c>
      <c r="F26" t="s">
        <v>22</v>
      </c>
      <c r="G26">
        <v>5</v>
      </c>
      <c r="H26" s="7">
        <f>B26</f>
        <v>7.6103500761035017</v>
      </c>
      <c r="I26" s="7">
        <f>1/(0.19*73%)</f>
        <v>7.2098053352559486</v>
      </c>
      <c r="J26" s="7">
        <f>1/(0.14*73%)</f>
        <v>9.7847358121330714</v>
      </c>
    </row>
    <row r="27" spans="1:14" x14ac:dyDescent="0.25">
      <c r="A27" t="s">
        <v>63</v>
      </c>
      <c r="B27" s="3">
        <f>-1*B26</f>
        <v>-7.6103500761035017</v>
      </c>
      <c r="C27" t="s">
        <v>7</v>
      </c>
      <c r="D27" t="s">
        <v>3</v>
      </c>
      <c r="E27" t="s">
        <v>14</v>
      </c>
      <c r="F27" t="s">
        <v>64</v>
      </c>
      <c r="G27">
        <v>5</v>
      </c>
      <c r="H27" s="7">
        <f>B27</f>
        <v>-7.6103500761035017</v>
      </c>
      <c r="I27" s="7">
        <f>-1/(0.14*(1-27%))</f>
        <v>-9.7847358121330714</v>
      </c>
      <c r="J27" s="7">
        <f>-1/(0.19*73%)</f>
        <v>-7.2098053352559486</v>
      </c>
      <c r="K27" t="b">
        <v>1</v>
      </c>
      <c r="M27" s="7"/>
      <c r="N27" s="7"/>
    </row>
    <row r="29" spans="1:14" ht="15.75" x14ac:dyDescent="0.25">
      <c r="A29" s="2" t="s">
        <v>0</v>
      </c>
      <c r="B29" s="2" t="s">
        <v>74</v>
      </c>
    </row>
    <row r="30" spans="1:14" x14ac:dyDescent="0.25">
      <c r="A30" t="s">
        <v>1</v>
      </c>
      <c r="B30" t="s">
        <v>84</v>
      </c>
    </row>
    <row r="31" spans="1:14" x14ac:dyDescent="0.25">
      <c r="A31" t="s">
        <v>2</v>
      </c>
      <c r="B31" t="s">
        <v>3</v>
      </c>
    </row>
    <row r="32" spans="1:14" x14ac:dyDescent="0.25">
      <c r="A32" t="s">
        <v>4</v>
      </c>
      <c r="B32">
        <v>1</v>
      </c>
    </row>
    <row r="33" spans="1:14" x14ac:dyDescent="0.25">
      <c r="A33" t="s">
        <v>5</v>
      </c>
      <c r="B33" t="s">
        <v>75</v>
      </c>
    </row>
    <row r="34" spans="1:14" x14ac:dyDescent="0.25">
      <c r="A34" t="s">
        <v>6</v>
      </c>
      <c r="B34" t="s">
        <v>15</v>
      </c>
    </row>
    <row r="35" spans="1:14" x14ac:dyDescent="0.25">
      <c r="A35" t="s">
        <v>57</v>
      </c>
      <c r="B35">
        <f>1-0.27</f>
        <v>0.73</v>
      </c>
    </row>
    <row r="36" spans="1:14" ht="15.75" x14ac:dyDescent="0.25">
      <c r="A36" s="2" t="s">
        <v>9</v>
      </c>
      <c r="B36" s="3"/>
    </row>
    <row r="37" spans="1:14" x14ac:dyDescent="0.25">
      <c r="A37" s="1" t="s">
        <v>10</v>
      </c>
      <c r="B37" s="1" t="s">
        <v>11</v>
      </c>
      <c r="C37" s="1" t="s">
        <v>6</v>
      </c>
      <c r="D37" s="1" t="s">
        <v>2</v>
      </c>
      <c r="E37" s="1" t="s">
        <v>12</v>
      </c>
      <c r="F37" s="1" t="s">
        <v>5</v>
      </c>
      <c r="G37" s="1" t="s">
        <v>69</v>
      </c>
      <c r="H37" s="1" t="s">
        <v>70</v>
      </c>
      <c r="I37" s="1" t="s">
        <v>71</v>
      </c>
      <c r="J37" s="1" t="s">
        <v>72</v>
      </c>
      <c r="K37" s="1" t="s">
        <v>73</v>
      </c>
    </row>
    <row r="38" spans="1:14" ht="15.75" x14ac:dyDescent="0.25">
      <c r="A38" s="4" t="str">
        <f>B29</f>
        <v>market for battery capacity, Li-ion, NMC523</v>
      </c>
      <c r="B38">
        <v>1</v>
      </c>
      <c r="C38" t="str">
        <f>B34</f>
        <v>kilowatt hour</v>
      </c>
      <c r="D38" t="s">
        <v>3</v>
      </c>
      <c r="E38" t="s">
        <v>13</v>
      </c>
      <c r="F38" t="str">
        <f>B33</f>
        <v>battery capacity, Li-ion, NMC523</v>
      </c>
    </row>
    <row r="39" spans="1:14" x14ac:dyDescent="0.25">
      <c r="A39" t="s">
        <v>76</v>
      </c>
      <c r="B39" s="3">
        <f>1/(0.2*73%)</f>
        <v>6.8493150684931514</v>
      </c>
      <c r="C39" t="s">
        <v>7</v>
      </c>
      <c r="D39" t="s">
        <v>3</v>
      </c>
      <c r="E39" t="s">
        <v>14</v>
      </c>
      <c r="F39" t="s">
        <v>77</v>
      </c>
      <c r="G39">
        <v>5</v>
      </c>
      <c r="H39" s="7">
        <f>B39</f>
        <v>6.8493150684931514</v>
      </c>
      <c r="I39" s="3">
        <f>1/(0.22*73%)</f>
        <v>6.2266500622665006</v>
      </c>
      <c r="J39" s="3">
        <f>1/(0.17*73%)</f>
        <v>8.058017727639001</v>
      </c>
    </row>
    <row r="40" spans="1:14" x14ac:dyDescent="0.25">
      <c r="A40" t="s">
        <v>63</v>
      </c>
      <c r="B40" s="3">
        <f>-1*B39</f>
        <v>-6.8493150684931514</v>
      </c>
      <c r="C40" t="s">
        <v>7</v>
      </c>
      <c r="D40" t="s">
        <v>3</v>
      </c>
      <c r="E40" t="s">
        <v>14</v>
      </c>
      <c r="F40" t="s">
        <v>64</v>
      </c>
      <c r="G40">
        <v>5</v>
      </c>
      <c r="H40" s="7">
        <f>B40</f>
        <v>-6.8493150684931514</v>
      </c>
      <c r="I40" s="3">
        <f>-1/(0.17*73%)</f>
        <v>-8.058017727639001</v>
      </c>
      <c r="J40" s="3">
        <f>-1/(0.22*73%)</f>
        <v>-6.2266500622665006</v>
      </c>
      <c r="K40" t="b">
        <v>1</v>
      </c>
      <c r="M40" s="3"/>
      <c r="N40" s="3"/>
    </row>
    <row r="42" spans="1:14" ht="15.75" x14ac:dyDescent="0.25">
      <c r="A42" s="2" t="s">
        <v>0</v>
      </c>
      <c r="B42" s="2" t="s">
        <v>23</v>
      </c>
    </row>
    <row r="43" spans="1:14" x14ac:dyDescent="0.25">
      <c r="A43" t="s">
        <v>1</v>
      </c>
      <c r="B43" t="s">
        <v>85</v>
      </c>
    </row>
    <row r="44" spans="1:14" x14ac:dyDescent="0.25">
      <c r="A44" t="s">
        <v>2</v>
      </c>
      <c r="B44" t="s">
        <v>3</v>
      </c>
    </row>
    <row r="45" spans="1:14" x14ac:dyDescent="0.25">
      <c r="A45" t="s">
        <v>4</v>
      </c>
      <c r="B45">
        <v>1</v>
      </c>
    </row>
    <row r="46" spans="1:14" x14ac:dyDescent="0.25">
      <c r="A46" t="s">
        <v>5</v>
      </c>
      <c r="B46" t="s">
        <v>25</v>
      </c>
      <c r="E46" s="3"/>
    </row>
    <row r="47" spans="1:14" x14ac:dyDescent="0.25">
      <c r="A47" t="s">
        <v>6</v>
      </c>
      <c r="B47" t="s">
        <v>15</v>
      </c>
      <c r="E47" s="3"/>
    </row>
    <row r="48" spans="1:14" x14ac:dyDescent="0.25">
      <c r="A48" t="s">
        <v>57</v>
      </c>
      <c r="B48">
        <f>1-0.27</f>
        <v>0.73</v>
      </c>
    </row>
    <row r="49" spans="1:14" ht="15.75" x14ac:dyDescent="0.25">
      <c r="A49" s="2" t="s">
        <v>9</v>
      </c>
      <c r="B49" s="3"/>
    </row>
    <row r="50" spans="1:14" x14ac:dyDescent="0.25">
      <c r="A50" s="1" t="s">
        <v>10</v>
      </c>
      <c r="B50" s="1" t="s">
        <v>11</v>
      </c>
      <c r="C50" s="1" t="s">
        <v>6</v>
      </c>
      <c r="D50" s="1" t="s">
        <v>2</v>
      </c>
      <c r="E50" s="1" t="s">
        <v>12</v>
      </c>
      <c r="F50" s="1" t="s">
        <v>5</v>
      </c>
      <c r="G50" s="1" t="s">
        <v>69</v>
      </c>
      <c r="H50" s="1" t="s">
        <v>70</v>
      </c>
      <c r="I50" s="1" t="s">
        <v>71</v>
      </c>
      <c r="J50" s="1" t="s">
        <v>72</v>
      </c>
      <c r="K50" s="1" t="s">
        <v>73</v>
      </c>
    </row>
    <row r="51" spans="1:14" ht="15.75" x14ac:dyDescent="0.25">
      <c r="A51" s="4" t="str">
        <f>B42</f>
        <v>market for battery capacity, Li-ion, NMC622</v>
      </c>
      <c r="B51">
        <v>1</v>
      </c>
      <c r="C51" t="str">
        <f>B47</f>
        <v>kilowatt hour</v>
      </c>
      <c r="D51" t="s">
        <v>3</v>
      </c>
      <c r="E51" t="s">
        <v>13</v>
      </c>
      <c r="F51" t="str">
        <f>B46</f>
        <v>battery capacity, Li-ion, NMC622</v>
      </c>
    </row>
    <row r="52" spans="1:14" x14ac:dyDescent="0.25">
      <c r="A52" t="s">
        <v>29</v>
      </c>
      <c r="B52" s="3">
        <f>1/(0.24*73%)</f>
        <v>5.7077625570776256</v>
      </c>
      <c r="C52" t="s">
        <v>7</v>
      </c>
      <c r="D52" t="s">
        <v>3</v>
      </c>
      <c r="E52" t="s">
        <v>14</v>
      </c>
      <c r="F52" t="s">
        <v>30</v>
      </c>
      <c r="G52">
        <v>5</v>
      </c>
      <c r="H52" s="7">
        <f>B52</f>
        <v>5.7077625570776256</v>
      </c>
      <c r="I52" s="3">
        <f>1/(0.28*73%)</f>
        <v>4.8923679060665357</v>
      </c>
      <c r="J52" s="3">
        <f>1/(0.2*73%)</f>
        <v>6.8493150684931514</v>
      </c>
    </row>
    <row r="53" spans="1:14" x14ac:dyDescent="0.25">
      <c r="A53" t="s">
        <v>63</v>
      </c>
      <c r="B53" s="3">
        <f>-1*B52</f>
        <v>-5.7077625570776256</v>
      </c>
      <c r="C53" t="s">
        <v>7</v>
      </c>
      <c r="D53" t="s">
        <v>3</v>
      </c>
      <c r="E53" t="s">
        <v>14</v>
      </c>
      <c r="F53" t="s">
        <v>64</v>
      </c>
      <c r="G53">
        <v>5</v>
      </c>
      <c r="H53" s="7">
        <f>B53</f>
        <v>-5.7077625570776256</v>
      </c>
      <c r="I53" s="3">
        <f>-1/(0.2*73%)</f>
        <v>-6.8493150684931514</v>
      </c>
      <c r="J53" s="3">
        <f>-1/(0.28*73%)</f>
        <v>-4.8923679060665357</v>
      </c>
      <c r="K53" t="b">
        <v>1</v>
      </c>
      <c r="M53" s="3"/>
      <c r="N53" s="3"/>
    </row>
    <row r="55" spans="1:14" ht="15.75" x14ac:dyDescent="0.25">
      <c r="A55" s="2" t="s">
        <v>0</v>
      </c>
      <c r="B55" s="2" t="s">
        <v>26</v>
      </c>
    </row>
    <row r="56" spans="1:14" x14ac:dyDescent="0.25">
      <c r="A56" t="s">
        <v>1</v>
      </c>
      <c r="B56" t="s">
        <v>86</v>
      </c>
    </row>
    <row r="57" spans="1:14" x14ac:dyDescent="0.25">
      <c r="A57" t="s">
        <v>2</v>
      </c>
      <c r="B57" t="s">
        <v>3</v>
      </c>
    </row>
    <row r="58" spans="1:14" x14ac:dyDescent="0.25">
      <c r="A58" t="s">
        <v>4</v>
      </c>
      <c r="B58">
        <v>1</v>
      </c>
    </row>
    <row r="59" spans="1:14" x14ac:dyDescent="0.25">
      <c r="A59" t="s">
        <v>5</v>
      </c>
      <c r="B59" t="s">
        <v>27</v>
      </c>
    </row>
    <row r="60" spans="1:14" x14ac:dyDescent="0.25">
      <c r="A60" t="s">
        <v>6</v>
      </c>
      <c r="B60" t="s">
        <v>15</v>
      </c>
      <c r="E60" s="3"/>
    </row>
    <row r="61" spans="1:14" x14ac:dyDescent="0.25">
      <c r="A61" t="s">
        <v>57</v>
      </c>
    </row>
    <row r="62" spans="1:14" ht="15.75" x14ac:dyDescent="0.25">
      <c r="A62" s="2" t="s">
        <v>9</v>
      </c>
      <c r="B62" s="3">
        <f>(0.28*71%)</f>
        <v>0.1988</v>
      </c>
    </row>
    <row r="63" spans="1:14" x14ac:dyDescent="0.25">
      <c r="A63" s="1" t="s">
        <v>10</v>
      </c>
      <c r="B63" s="1" t="s">
        <v>11</v>
      </c>
      <c r="C63" s="1" t="s">
        <v>6</v>
      </c>
      <c r="D63" s="1" t="s">
        <v>2</v>
      </c>
      <c r="E63" s="1" t="s">
        <v>12</v>
      </c>
      <c r="F63" s="1" t="s">
        <v>5</v>
      </c>
      <c r="G63" s="1" t="s">
        <v>69</v>
      </c>
      <c r="H63" s="1" t="s">
        <v>70</v>
      </c>
      <c r="I63" s="1" t="s">
        <v>71</v>
      </c>
      <c r="J63" s="1" t="s">
        <v>72</v>
      </c>
      <c r="K63" s="1" t="s">
        <v>73</v>
      </c>
    </row>
    <row r="64" spans="1:14" ht="15.75" x14ac:dyDescent="0.25">
      <c r="A64" s="4" t="str">
        <f>B55</f>
        <v>market for battery capacity, Li-ion, NMC811</v>
      </c>
      <c r="B64">
        <v>1</v>
      </c>
      <c r="C64" t="str">
        <f>B60</f>
        <v>kilowatt hour</v>
      </c>
      <c r="D64" t="s">
        <v>3</v>
      </c>
      <c r="E64" t="s">
        <v>13</v>
      </c>
      <c r="F64" t="str">
        <f>B59</f>
        <v>battery capacity, Li-ion, NMC811</v>
      </c>
    </row>
    <row r="65" spans="1:14" x14ac:dyDescent="0.25">
      <c r="A65" t="s">
        <v>28</v>
      </c>
      <c r="B65" s="3">
        <f>1/(0.28*71%)</f>
        <v>5.0301810865191143</v>
      </c>
      <c r="C65" t="s">
        <v>7</v>
      </c>
      <c r="D65" t="s">
        <v>3</v>
      </c>
      <c r="E65" t="s">
        <v>14</v>
      </c>
      <c r="F65" t="s">
        <v>55</v>
      </c>
      <c r="G65">
        <v>5</v>
      </c>
      <c r="H65" s="7">
        <f>B65</f>
        <v>5.0301810865191143</v>
      </c>
      <c r="I65" s="3">
        <f>1/(0.34*71%)</f>
        <v>4.1425020712510356</v>
      </c>
      <c r="J65" s="3">
        <f>1/(0.24*71%)</f>
        <v>5.868544600938967</v>
      </c>
    </row>
    <row r="66" spans="1:14" x14ac:dyDescent="0.25">
      <c r="A66" t="s">
        <v>63</v>
      </c>
      <c r="B66" s="3">
        <f>-1*B65</f>
        <v>-5.0301810865191143</v>
      </c>
      <c r="C66" t="s">
        <v>7</v>
      </c>
      <c r="D66" t="s">
        <v>3</v>
      </c>
      <c r="E66" t="s">
        <v>14</v>
      </c>
      <c r="F66" t="s">
        <v>64</v>
      </c>
      <c r="G66">
        <v>5</v>
      </c>
      <c r="H66" s="7">
        <f>B66</f>
        <v>-5.0301810865191143</v>
      </c>
      <c r="I66" s="3">
        <f>-1/(0.24*71%)</f>
        <v>-5.868544600938967</v>
      </c>
      <c r="J66" s="3">
        <f>-1/(0.34*71%)</f>
        <v>-4.1425020712510356</v>
      </c>
      <c r="K66" t="b">
        <v>1</v>
      </c>
      <c r="M66" s="3"/>
      <c r="N66" s="3"/>
    </row>
    <row r="68" spans="1:14" ht="15.75" x14ac:dyDescent="0.25">
      <c r="A68" s="2" t="s">
        <v>0</v>
      </c>
      <c r="B68" s="2" t="s">
        <v>78</v>
      </c>
    </row>
    <row r="69" spans="1:14" x14ac:dyDescent="0.25">
      <c r="A69" t="s">
        <v>1</v>
      </c>
      <c r="B69" t="s">
        <v>90</v>
      </c>
    </row>
    <row r="70" spans="1:14" x14ac:dyDescent="0.25">
      <c r="A70" t="s">
        <v>2</v>
      </c>
      <c r="B70" t="s">
        <v>3</v>
      </c>
    </row>
    <row r="71" spans="1:14" x14ac:dyDescent="0.25">
      <c r="A71" t="s">
        <v>4</v>
      </c>
      <c r="B71">
        <v>1</v>
      </c>
    </row>
    <row r="72" spans="1:14" x14ac:dyDescent="0.25">
      <c r="A72" t="s">
        <v>5</v>
      </c>
      <c r="B72" t="s">
        <v>79</v>
      </c>
    </row>
    <row r="73" spans="1:14" x14ac:dyDescent="0.25">
      <c r="A73" t="s">
        <v>6</v>
      </c>
      <c r="B73" t="s">
        <v>15</v>
      </c>
      <c r="E73" s="3"/>
    </row>
    <row r="74" spans="1:14" x14ac:dyDescent="0.25">
      <c r="A74" t="s">
        <v>57</v>
      </c>
      <c r="B74">
        <f>1-0.29</f>
        <v>0.71</v>
      </c>
    </row>
    <row r="75" spans="1:14" ht="15.75" x14ac:dyDescent="0.25">
      <c r="A75" s="2" t="s">
        <v>9</v>
      </c>
    </row>
    <row r="76" spans="1:14" x14ac:dyDescent="0.25">
      <c r="A76" s="1" t="s">
        <v>10</v>
      </c>
      <c r="B76" s="1" t="s">
        <v>11</v>
      </c>
      <c r="C76" s="1" t="s">
        <v>6</v>
      </c>
      <c r="D76" s="1" t="s">
        <v>2</v>
      </c>
      <c r="E76" s="1" t="s">
        <v>12</v>
      </c>
      <c r="F76" s="1" t="s">
        <v>5</v>
      </c>
      <c r="G76" s="1" t="s">
        <v>69</v>
      </c>
      <c r="H76" s="1" t="s">
        <v>70</v>
      </c>
      <c r="I76" s="1" t="s">
        <v>71</v>
      </c>
      <c r="J76" s="1" t="s">
        <v>72</v>
      </c>
      <c r="K76" s="1" t="s">
        <v>73</v>
      </c>
    </row>
    <row r="77" spans="1:14" ht="15.75" x14ac:dyDescent="0.25">
      <c r="A77" s="4" t="str">
        <f>B68</f>
        <v>market for battery capacity, Li-ion, NMC955</v>
      </c>
      <c r="B77">
        <v>1</v>
      </c>
      <c r="C77" t="str">
        <f>B73</f>
        <v>kilowatt hour</v>
      </c>
      <c r="D77" t="s">
        <v>3</v>
      </c>
      <c r="E77" t="s">
        <v>13</v>
      </c>
      <c r="F77" t="str">
        <f>B72</f>
        <v>battery capacity, Li-ion, NMC955</v>
      </c>
    </row>
    <row r="78" spans="1:14" x14ac:dyDescent="0.25">
      <c r="A78" t="s">
        <v>80</v>
      </c>
      <c r="B78" s="3">
        <f>1/(0.34*71%)</f>
        <v>4.1425020712510356</v>
      </c>
      <c r="C78" t="s">
        <v>7</v>
      </c>
      <c r="D78" t="s">
        <v>3</v>
      </c>
      <c r="E78" t="s">
        <v>14</v>
      </c>
      <c r="F78" t="s">
        <v>81</v>
      </c>
      <c r="G78">
        <v>5</v>
      </c>
      <c r="H78" s="7">
        <f>B78</f>
        <v>4.1425020712510356</v>
      </c>
      <c r="I78" s="3">
        <f>1/(0.38*71%)</f>
        <v>3.7064492216456637</v>
      </c>
      <c r="J78" s="3">
        <f>1/(0.3*71%)</f>
        <v>4.694835680751174</v>
      </c>
    </row>
    <row r="79" spans="1:14" x14ac:dyDescent="0.25">
      <c r="A79" t="s">
        <v>63</v>
      </c>
      <c r="B79" s="3">
        <f>-1*B78</f>
        <v>-4.1425020712510356</v>
      </c>
      <c r="C79" t="s">
        <v>7</v>
      </c>
      <c r="D79" t="s">
        <v>3</v>
      </c>
      <c r="E79" t="s">
        <v>14</v>
      </c>
      <c r="F79" t="s">
        <v>64</v>
      </c>
      <c r="G79">
        <v>5</v>
      </c>
      <c r="H79" s="7">
        <f>B79</f>
        <v>-4.1425020712510356</v>
      </c>
      <c r="I79" s="3">
        <f>-1/(0.3*71%)</f>
        <v>-4.694835680751174</v>
      </c>
      <c r="J79" s="3">
        <f>-1/(0.38*71%)</f>
        <v>-3.7064492216456637</v>
      </c>
      <c r="K79" t="b">
        <v>1</v>
      </c>
      <c r="M79" s="3"/>
      <c r="N79" s="3"/>
    </row>
    <row r="81" spans="1:14" ht="15.75" x14ac:dyDescent="0.25">
      <c r="A81" s="2" t="s">
        <v>0</v>
      </c>
      <c r="B81" s="2" t="s">
        <v>31</v>
      </c>
    </row>
    <row r="82" spans="1:14" x14ac:dyDescent="0.25">
      <c r="A82" t="s">
        <v>1</v>
      </c>
      <c r="B82" t="s">
        <v>87</v>
      </c>
    </row>
    <row r="83" spans="1:14" x14ac:dyDescent="0.25">
      <c r="A83" t="s">
        <v>2</v>
      </c>
      <c r="B83" t="s">
        <v>3</v>
      </c>
    </row>
    <row r="84" spans="1:14" x14ac:dyDescent="0.25">
      <c r="A84" t="s">
        <v>4</v>
      </c>
      <c r="B84">
        <v>1</v>
      </c>
    </row>
    <row r="85" spans="1:14" x14ac:dyDescent="0.25">
      <c r="A85" t="s">
        <v>5</v>
      </c>
      <c r="B85" t="s">
        <v>32</v>
      </c>
    </row>
    <row r="86" spans="1:14" x14ac:dyDescent="0.25">
      <c r="A86" t="s">
        <v>6</v>
      </c>
      <c r="B86" t="s">
        <v>15</v>
      </c>
      <c r="D86" s="3"/>
    </row>
    <row r="87" spans="1:14" x14ac:dyDescent="0.25">
      <c r="A87" t="s">
        <v>57</v>
      </c>
      <c r="B87">
        <f>1-0.293</f>
        <v>0.70700000000000007</v>
      </c>
    </row>
    <row r="88" spans="1:14" ht="15.75" x14ac:dyDescent="0.25">
      <c r="A88" s="2" t="s">
        <v>9</v>
      </c>
    </row>
    <row r="89" spans="1:14" x14ac:dyDescent="0.25">
      <c r="A89" s="1" t="s">
        <v>10</v>
      </c>
      <c r="B89" s="1" t="s">
        <v>11</v>
      </c>
      <c r="C89" s="1" t="s">
        <v>6</v>
      </c>
      <c r="D89" s="1" t="s">
        <v>2</v>
      </c>
      <c r="E89" s="1" t="s">
        <v>12</v>
      </c>
      <c r="F89" s="1" t="s">
        <v>5</v>
      </c>
      <c r="G89" s="1" t="s">
        <v>69</v>
      </c>
      <c r="H89" s="1" t="s">
        <v>70</v>
      </c>
      <c r="I89" s="1" t="s">
        <v>71</v>
      </c>
      <c r="J89" s="1" t="s">
        <v>72</v>
      </c>
      <c r="K89" s="1" t="s">
        <v>73</v>
      </c>
    </row>
    <row r="90" spans="1:14" ht="15.75" x14ac:dyDescent="0.25">
      <c r="A90" s="4" t="str">
        <f>B81</f>
        <v>market for battery capacity, Li-ion, NCA</v>
      </c>
      <c r="B90">
        <v>1</v>
      </c>
      <c r="C90" t="str">
        <f>B86</f>
        <v>kilowatt hour</v>
      </c>
      <c r="D90" t="s">
        <v>3</v>
      </c>
      <c r="E90" t="s">
        <v>13</v>
      </c>
      <c r="F90" t="str">
        <f>B85</f>
        <v>battery capacity, Li-ion, NCA</v>
      </c>
    </row>
    <row r="91" spans="1:14" x14ac:dyDescent="0.25">
      <c r="A91" t="s">
        <v>33</v>
      </c>
      <c r="B91" s="3">
        <f>1/(0.28*71%)</f>
        <v>5.0301810865191143</v>
      </c>
      <c r="C91" t="s">
        <v>7</v>
      </c>
      <c r="D91" t="s">
        <v>3</v>
      </c>
      <c r="E91" t="s">
        <v>14</v>
      </c>
      <c r="F91" t="s">
        <v>34</v>
      </c>
      <c r="G91">
        <v>5</v>
      </c>
      <c r="H91" s="7">
        <f>B91</f>
        <v>5.0301810865191143</v>
      </c>
      <c r="I91" s="3">
        <f>1/(0.34*71%)</f>
        <v>4.1425020712510356</v>
      </c>
      <c r="J91" s="3">
        <f>1/(0.24*71%)</f>
        <v>5.868544600938967</v>
      </c>
    </row>
    <row r="92" spans="1:14" x14ac:dyDescent="0.25">
      <c r="A92" t="s">
        <v>63</v>
      </c>
      <c r="B92" s="3">
        <f>-1*B91</f>
        <v>-5.0301810865191143</v>
      </c>
      <c r="C92" t="s">
        <v>7</v>
      </c>
      <c r="D92" t="s">
        <v>3</v>
      </c>
      <c r="E92" t="s">
        <v>14</v>
      </c>
      <c r="F92" t="s">
        <v>64</v>
      </c>
      <c r="G92">
        <v>5</v>
      </c>
      <c r="H92" s="7">
        <f>B92</f>
        <v>-5.0301810865191143</v>
      </c>
      <c r="I92" s="3">
        <f>-1/(0.24*71%)</f>
        <v>-5.868544600938967</v>
      </c>
      <c r="J92" s="3">
        <f>-1/(0.34*71%)</f>
        <v>-4.1425020712510356</v>
      </c>
      <c r="K92" t="b">
        <v>1</v>
      </c>
      <c r="M92" s="3"/>
      <c r="N92" s="3"/>
    </row>
    <row r="94" spans="1:14" ht="15.75" x14ac:dyDescent="0.25">
      <c r="A94" s="2" t="s">
        <v>0</v>
      </c>
      <c r="B94" s="2" t="s">
        <v>36</v>
      </c>
    </row>
    <row r="95" spans="1:14" x14ac:dyDescent="0.25">
      <c r="A95" t="s">
        <v>1</v>
      </c>
      <c r="B95" t="s">
        <v>52</v>
      </c>
    </row>
    <row r="96" spans="1:14" x14ac:dyDescent="0.25">
      <c r="A96" t="s">
        <v>2</v>
      </c>
      <c r="B96" t="s">
        <v>3</v>
      </c>
    </row>
    <row r="97" spans="1:14" x14ac:dyDescent="0.25">
      <c r="A97" t="s">
        <v>4</v>
      </c>
      <c r="B97">
        <v>1</v>
      </c>
    </row>
    <row r="98" spans="1:14" x14ac:dyDescent="0.25">
      <c r="A98" t="s">
        <v>5</v>
      </c>
      <c r="B98" t="s">
        <v>37</v>
      </c>
      <c r="E98" s="3"/>
    </row>
    <row r="99" spans="1:14" x14ac:dyDescent="0.25">
      <c r="A99" t="s">
        <v>6</v>
      </c>
      <c r="B99" t="s">
        <v>15</v>
      </c>
    </row>
    <row r="100" spans="1:14" x14ac:dyDescent="0.25">
      <c r="A100" t="s">
        <v>57</v>
      </c>
      <c r="B100">
        <f>1-0.36</f>
        <v>0.64</v>
      </c>
    </row>
    <row r="101" spans="1:14" ht="15.75" x14ac:dyDescent="0.25">
      <c r="A101" s="2" t="s">
        <v>9</v>
      </c>
    </row>
    <row r="102" spans="1:14" x14ac:dyDescent="0.25">
      <c r="A102" s="1" t="s">
        <v>10</v>
      </c>
      <c r="B102" s="1" t="s">
        <v>11</v>
      </c>
      <c r="C102" s="1" t="s">
        <v>6</v>
      </c>
      <c r="D102" s="1" t="s">
        <v>2</v>
      </c>
      <c r="E102" s="1" t="s">
        <v>12</v>
      </c>
      <c r="F102" s="1" t="s">
        <v>5</v>
      </c>
      <c r="G102" s="1" t="s">
        <v>69</v>
      </c>
      <c r="H102" s="1" t="s">
        <v>70</v>
      </c>
      <c r="I102" s="1" t="s">
        <v>71</v>
      </c>
      <c r="J102" s="1" t="s">
        <v>72</v>
      </c>
      <c r="K102" s="1" t="s">
        <v>73</v>
      </c>
    </row>
    <row r="103" spans="1:14" ht="15.75" x14ac:dyDescent="0.25">
      <c r="A103" s="6" t="str">
        <f>B94</f>
        <v>market for battery capacity, Li-ion, LTO</v>
      </c>
      <c r="B103">
        <v>1</v>
      </c>
      <c r="C103" t="str">
        <f>B99</f>
        <v>kilowatt hour</v>
      </c>
      <c r="D103" t="s">
        <v>3</v>
      </c>
      <c r="E103" t="s">
        <v>13</v>
      </c>
      <c r="F103" t="str">
        <f>B98</f>
        <v>battery capacity, Li-ion, LTO</v>
      </c>
    </row>
    <row r="104" spans="1:14" x14ac:dyDescent="0.25">
      <c r="A104" t="s">
        <v>38</v>
      </c>
      <c r="B104" s="3">
        <f>1/(0.085*64%)</f>
        <v>18.382352941176471</v>
      </c>
      <c r="C104" t="s">
        <v>7</v>
      </c>
      <c r="D104" t="s">
        <v>3</v>
      </c>
      <c r="E104" t="s">
        <v>14</v>
      </c>
      <c r="F104" t="s">
        <v>39</v>
      </c>
      <c r="G104">
        <v>5</v>
      </c>
      <c r="H104" s="7">
        <f>B104</f>
        <v>18.382352941176471</v>
      </c>
      <c r="I104" s="7">
        <f>B104*0.75</f>
        <v>13.786764705882353</v>
      </c>
      <c r="J104" s="7">
        <f>B104*1.25</f>
        <v>22.977941176470587</v>
      </c>
    </row>
    <row r="105" spans="1:14" x14ac:dyDescent="0.25">
      <c r="A105" t="s">
        <v>63</v>
      </c>
      <c r="B105" s="3">
        <f>-1*B104</f>
        <v>-18.382352941176471</v>
      </c>
      <c r="C105" t="s">
        <v>7</v>
      </c>
      <c r="D105" t="s">
        <v>3</v>
      </c>
      <c r="E105" t="s">
        <v>14</v>
      </c>
      <c r="F105" t="s">
        <v>64</v>
      </c>
      <c r="G105">
        <v>5</v>
      </c>
      <c r="H105" s="7">
        <f>B105</f>
        <v>-18.382352941176471</v>
      </c>
      <c r="I105" s="7">
        <f>B105*1.25</f>
        <v>-22.977941176470587</v>
      </c>
      <c r="J105" s="7">
        <f>B105*0.75</f>
        <v>-13.786764705882353</v>
      </c>
      <c r="K105" t="b">
        <v>1</v>
      </c>
      <c r="M105" s="7"/>
      <c r="N105" s="7"/>
    </row>
    <row r="107" spans="1:14" ht="15.75" x14ac:dyDescent="0.25">
      <c r="A107" s="2" t="s">
        <v>0</v>
      </c>
      <c r="B107" s="2" t="s">
        <v>65</v>
      </c>
    </row>
    <row r="108" spans="1:14" x14ac:dyDescent="0.25">
      <c r="A108" t="s">
        <v>1</v>
      </c>
      <c r="B108" t="s">
        <v>61</v>
      </c>
    </row>
    <row r="109" spans="1:14" x14ac:dyDescent="0.25">
      <c r="A109" t="s">
        <v>2</v>
      </c>
      <c r="B109" t="s">
        <v>3</v>
      </c>
    </row>
    <row r="110" spans="1:14" x14ac:dyDescent="0.25">
      <c r="A110" t="s">
        <v>4</v>
      </c>
      <c r="B110">
        <v>1</v>
      </c>
    </row>
    <row r="111" spans="1:14" x14ac:dyDescent="0.25">
      <c r="A111" t="s">
        <v>5</v>
      </c>
      <c r="B111" t="s">
        <v>66</v>
      </c>
    </row>
    <row r="112" spans="1:14" x14ac:dyDescent="0.25">
      <c r="A112" t="s">
        <v>6</v>
      </c>
      <c r="B112" t="s">
        <v>15</v>
      </c>
      <c r="E112" s="3"/>
    </row>
    <row r="113" spans="1:14" x14ac:dyDescent="0.25">
      <c r="A113" t="s">
        <v>57</v>
      </c>
      <c r="B113">
        <f>1-0.13</f>
        <v>0.87</v>
      </c>
    </row>
    <row r="114" spans="1:14" ht="15.75" x14ac:dyDescent="0.25">
      <c r="A114" s="2" t="s">
        <v>9</v>
      </c>
    </row>
    <row r="115" spans="1:14" x14ac:dyDescent="0.25">
      <c r="A115" s="1" t="s">
        <v>10</v>
      </c>
      <c r="B115" s="1" t="s">
        <v>11</v>
      </c>
      <c r="C115" s="1" t="s">
        <v>6</v>
      </c>
      <c r="D115" s="1" t="s">
        <v>2</v>
      </c>
      <c r="E115" s="1" t="s">
        <v>12</v>
      </c>
      <c r="F115" s="1" t="s">
        <v>5</v>
      </c>
      <c r="G115" s="1" t="s">
        <v>69</v>
      </c>
      <c r="H115" s="1" t="s">
        <v>70</v>
      </c>
      <c r="I115" s="1" t="s">
        <v>71</v>
      </c>
      <c r="J115" s="1" t="s">
        <v>72</v>
      </c>
      <c r="K115" s="1" t="s">
        <v>73</v>
      </c>
    </row>
    <row r="116" spans="1:14" ht="15.75" x14ac:dyDescent="0.25">
      <c r="A116" s="6" t="str">
        <f>B107</f>
        <v>market for battery capacity, Li-ion, LiMn2O4</v>
      </c>
      <c r="B116">
        <v>1</v>
      </c>
      <c r="C116" t="str">
        <f>B112</f>
        <v>kilowatt hour</v>
      </c>
      <c r="D116" t="s">
        <v>3</v>
      </c>
      <c r="E116" t="s">
        <v>13</v>
      </c>
      <c r="F116" t="str">
        <f>B111</f>
        <v>battery capacity, Li-ion, LiMn2O4</v>
      </c>
    </row>
    <row r="117" spans="1:14" x14ac:dyDescent="0.25">
      <c r="A117" t="s">
        <v>59</v>
      </c>
      <c r="B117" s="3">
        <f>1/(32/280)</f>
        <v>8.75</v>
      </c>
      <c r="C117" t="s">
        <v>7</v>
      </c>
      <c r="D117" t="s">
        <v>3</v>
      </c>
      <c r="E117" t="s">
        <v>14</v>
      </c>
      <c r="F117" t="s">
        <v>60</v>
      </c>
      <c r="G117">
        <v>5</v>
      </c>
      <c r="H117" s="7">
        <f>B117</f>
        <v>8.75</v>
      </c>
      <c r="I117" s="7">
        <f>B117*0.75</f>
        <v>6.5625</v>
      </c>
      <c r="J117" s="7">
        <f>B117*1.25</f>
        <v>10.9375</v>
      </c>
    </row>
    <row r="118" spans="1:14" x14ac:dyDescent="0.25">
      <c r="A118" t="s">
        <v>63</v>
      </c>
      <c r="B118" s="3">
        <f>-1*B117</f>
        <v>-8.75</v>
      </c>
      <c r="C118" t="s">
        <v>7</v>
      </c>
      <c r="D118" t="s">
        <v>3</v>
      </c>
      <c r="E118" t="s">
        <v>14</v>
      </c>
      <c r="F118" t="s">
        <v>64</v>
      </c>
      <c r="G118">
        <v>5</v>
      </c>
      <c r="H118" s="7">
        <f>B118</f>
        <v>-8.75</v>
      </c>
      <c r="I118" s="7">
        <f>B118*1.25</f>
        <v>-10.9375</v>
      </c>
      <c r="J118" s="7">
        <f>B118*0.75</f>
        <v>-6.5625</v>
      </c>
      <c r="K118" t="b">
        <v>1</v>
      </c>
      <c r="M118" s="7"/>
      <c r="N118" s="7"/>
    </row>
    <row r="120" spans="1:14" ht="15.75" x14ac:dyDescent="0.25">
      <c r="A120" s="2" t="s">
        <v>0</v>
      </c>
      <c r="B120" s="2" t="s">
        <v>67</v>
      </c>
    </row>
    <row r="121" spans="1:14" x14ac:dyDescent="0.25">
      <c r="A121" t="s">
        <v>1</v>
      </c>
      <c r="B121" t="s">
        <v>89</v>
      </c>
    </row>
    <row r="122" spans="1:14" x14ac:dyDescent="0.25">
      <c r="A122" t="s">
        <v>2</v>
      </c>
      <c r="B122" t="s">
        <v>3</v>
      </c>
    </row>
    <row r="123" spans="1:14" x14ac:dyDescent="0.25">
      <c r="A123" t="s">
        <v>4</v>
      </c>
      <c r="B123">
        <v>1</v>
      </c>
    </row>
    <row r="124" spans="1:14" x14ac:dyDescent="0.25">
      <c r="A124" t="s">
        <v>5</v>
      </c>
      <c r="B124" t="s">
        <v>68</v>
      </c>
    </row>
    <row r="125" spans="1:14" x14ac:dyDescent="0.25">
      <c r="A125" t="s">
        <v>6</v>
      </c>
      <c r="B125" t="s">
        <v>15</v>
      </c>
      <c r="D125" s="3"/>
    </row>
    <row r="126" spans="1:14" x14ac:dyDescent="0.25">
      <c r="A126" t="s">
        <v>57</v>
      </c>
      <c r="B126">
        <f>1-0.25</f>
        <v>0.75</v>
      </c>
    </row>
    <row r="127" spans="1:14" ht="15.75" x14ac:dyDescent="0.25">
      <c r="A127" s="2" t="s">
        <v>9</v>
      </c>
    </row>
    <row r="128" spans="1:14" x14ac:dyDescent="0.25">
      <c r="A128" s="1" t="s">
        <v>10</v>
      </c>
      <c r="B128" s="1" t="s">
        <v>11</v>
      </c>
      <c r="C128" s="1" t="s">
        <v>6</v>
      </c>
      <c r="D128" s="1" t="s">
        <v>2</v>
      </c>
      <c r="E128" s="1" t="s">
        <v>12</v>
      </c>
      <c r="F128" s="1" t="s">
        <v>5</v>
      </c>
      <c r="G128" s="1" t="s">
        <v>69</v>
      </c>
      <c r="H128" s="1" t="s">
        <v>70</v>
      </c>
      <c r="I128" s="1" t="s">
        <v>71</v>
      </c>
      <c r="J128" s="1" t="s">
        <v>72</v>
      </c>
      <c r="K128" s="1" t="s">
        <v>73</v>
      </c>
    </row>
    <row r="129" spans="1:14" ht="15.75" x14ac:dyDescent="0.25">
      <c r="A129" s="4" t="str">
        <f>B120</f>
        <v>market for battery capacity, Li-sulfur, Li-S</v>
      </c>
      <c r="B129">
        <v>1</v>
      </c>
      <c r="C129" t="str">
        <f>B125</f>
        <v>kilowatt hour</v>
      </c>
      <c r="D129" t="s">
        <v>3</v>
      </c>
      <c r="E129" t="s">
        <v>13</v>
      </c>
      <c r="F129" t="str">
        <f>B124</f>
        <v>battery capacity, Li-sulfur, Li-S</v>
      </c>
    </row>
    <row r="130" spans="1:14" x14ac:dyDescent="0.25">
      <c r="A130" t="s">
        <v>40</v>
      </c>
      <c r="B130" s="3">
        <f>1/(0.15*75%)</f>
        <v>8.8888888888888893</v>
      </c>
      <c r="C130" t="s">
        <v>7</v>
      </c>
      <c r="D130" t="s">
        <v>3</v>
      </c>
      <c r="E130" t="s">
        <v>14</v>
      </c>
      <c r="F130" t="s">
        <v>41</v>
      </c>
      <c r="G130">
        <v>5</v>
      </c>
      <c r="H130" s="7">
        <f>B130</f>
        <v>8.8888888888888893</v>
      </c>
      <c r="I130" s="3">
        <f>1/(0.5*75%)</f>
        <v>2.6666666666666665</v>
      </c>
      <c r="J130" s="3">
        <f>1/(0.14*75%)</f>
        <v>9.5238095238095237</v>
      </c>
    </row>
    <row r="131" spans="1:14" x14ac:dyDescent="0.25">
      <c r="A131" t="s">
        <v>63</v>
      </c>
      <c r="B131" s="3">
        <f>-1*B130</f>
        <v>-8.8888888888888893</v>
      </c>
      <c r="C131" t="s">
        <v>7</v>
      </c>
      <c r="D131" t="s">
        <v>3</v>
      </c>
      <c r="E131" t="s">
        <v>14</v>
      </c>
      <c r="F131" t="s">
        <v>64</v>
      </c>
      <c r="G131">
        <v>5</v>
      </c>
      <c r="H131" s="7">
        <f>B131</f>
        <v>-8.8888888888888893</v>
      </c>
      <c r="I131" s="3">
        <f>-1/(0.14*75%)</f>
        <v>-9.5238095238095237</v>
      </c>
      <c r="J131" s="3">
        <f>-1/(0.5*75%)</f>
        <v>-2.6666666666666665</v>
      </c>
      <c r="K131" t="b">
        <v>1</v>
      </c>
      <c r="M131" s="3"/>
      <c r="N131" s="3"/>
    </row>
    <row r="133" spans="1:14" ht="15.75" x14ac:dyDescent="0.25">
      <c r="A133" s="2" t="s">
        <v>0</v>
      </c>
      <c r="B133" s="2" t="s">
        <v>42</v>
      </c>
    </row>
    <row r="134" spans="1:14" x14ac:dyDescent="0.25">
      <c r="A134" t="s">
        <v>1</v>
      </c>
      <c r="B134" t="s">
        <v>58</v>
      </c>
    </row>
    <row r="135" spans="1:14" x14ac:dyDescent="0.25">
      <c r="A135" t="s">
        <v>2</v>
      </c>
      <c r="B135" t="s">
        <v>3</v>
      </c>
    </row>
    <row r="136" spans="1:14" x14ac:dyDescent="0.25">
      <c r="A136" t="s">
        <v>4</v>
      </c>
      <c r="B136">
        <v>1</v>
      </c>
    </row>
    <row r="137" spans="1:14" x14ac:dyDescent="0.25">
      <c r="A137" t="s">
        <v>5</v>
      </c>
      <c r="B137" t="s">
        <v>43</v>
      </c>
    </row>
    <row r="138" spans="1:14" x14ac:dyDescent="0.25">
      <c r="A138" t="s">
        <v>6</v>
      </c>
      <c r="B138" t="s">
        <v>15</v>
      </c>
    </row>
    <row r="139" spans="1:14" x14ac:dyDescent="0.25">
      <c r="A139" t="s">
        <v>57</v>
      </c>
      <c r="B139">
        <f>1-0.45</f>
        <v>0.55000000000000004</v>
      </c>
    </row>
    <row r="140" spans="1:14" ht="15.75" x14ac:dyDescent="0.25">
      <c r="A140" s="2" t="s">
        <v>9</v>
      </c>
    </row>
    <row r="141" spans="1:14" x14ac:dyDescent="0.25">
      <c r="A141" s="1" t="s">
        <v>10</v>
      </c>
      <c r="B141" s="1" t="s">
        <v>11</v>
      </c>
      <c r="C141" s="1" t="s">
        <v>6</v>
      </c>
      <c r="D141" s="1" t="s">
        <v>2</v>
      </c>
      <c r="E141" s="1" t="s">
        <v>12</v>
      </c>
      <c r="F141" s="1" t="s">
        <v>5</v>
      </c>
      <c r="G141" s="1" t="s">
        <v>69</v>
      </c>
      <c r="H141" s="1" t="s">
        <v>70</v>
      </c>
      <c r="I141" s="1" t="s">
        <v>71</v>
      </c>
      <c r="J141" s="1" t="s">
        <v>72</v>
      </c>
      <c r="K141" s="1" t="s">
        <v>73</v>
      </c>
    </row>
    <row r="142" spans="1:14" ht="15.75" x14ac:dyDescent="0.25">
      <c r="A142" s="4" t="str">
        <f>B133</f>
        <v>market for battery capacity, Li-ion, Li-O2</v>
      </c>
      <c r="B142">
        <v>1</v>
      </c>
      <c r="C142" t="str">
        <f>B138</f>
        <v>kilowatt hour</v>
      </c>
      <c r="D142" t="s">
        <v>3</v>
      </c>
      <c r="E142" t="s">
        <v>13</v>
      </c>
      <c r="F142" t="str">
        <f>B137</f>
        <v>battery capacity, Li-ion, Li-O2</v>
      </c>
    </row>
    <row r="143" spans="1:14" x14ac:dyDescent="0.25">
      <c r="A143" t="s">
        <v>44</v>
      </c>
      <c r="B143" s="3">
        <f>1/0.198</f>
        <v>5.0505050505050502</v>
      </c>
      <c r="C143" t="s">
        <v>7</v>
      </c>
      <c r="D143" t="s">
        <v>3</v>
      </c>
      <c r="E143" t="s">
        <v>14</v>
      </c>
      <c r="F143" t="s">
        <v>45</v>
      </c>
      <c r="G143">
        <v>5</v>
      </c>
      <c r="H143" s="7">
        <f>B143</f>
        <v>5.0505050505050502</v>
      </c>
      <c r="I143" s="7">
        <f>B143*0.75</f>
        <v>3.7878787878787876</v>
      </c>
      <c r="J143" s="7">
        <f>B143*1.25</f>
        <v>6.3131313131313131</v>
      </c>
    </row>
    <row r="144" spans="1:14" x14ac:dyDescent="0.25">
      <c r="A144" t="s">
        <v>63</v>
      </c>
      <c r="B144" s="3">
        <f>-1*B143</f>
        <v>-5.0505050505050502</v>
      </c>
      <c r="C144" t="s">
        <v>7</v>
      </c>
      <c r="D144" t="s">
        <v>3</v>
      </c>
      <c r="E144" t="s">
        <v>14</v>
      </c>
      <c r="F144" t="s">
        <v>64</v>
      </c>
      <c r="G144">
        <v>5</v>
      </c>
      <c r="H144" s="7">
        <f>B144</f>
        <v>-5.0505050505050502</v>
      </c>
      <c r="I144" s="7">
        <f>B144*1.25</f>
        <v>-6.3131313131313131</v>
      </c>
      <c r="J144" s="7">
        <f>B144*0.75</f>
        <v>-3.7878787878787876</v>
      </c>
      <c r="K144" t="b">
        <v>1</v>
      </c>
      <c r="M144" s="7"/>
      <c r="N144" s="7"/>
    </row>
    <row r="146" spans="1:14" ht="15.75" x14ac:dyDescent="0.25">
      <c r="A146" s="2" t="s">
        <v>0</v>
      </c>
      <c r="B146" s="2" t="s">
        <v>46</v>
      </c>
    </row>
    <row r="147" spans="1:14" x14ac:dyDescent="0.25">
      <c r="A147" t="s">
        <v>1</v>
      </c>
      <c r="B147" t="s">
        <v>88</v>
      </c>
    </row>
    <row r="148" spans="1:14" x14ac:dyDescent="0.25">
      <c r="A148" t="s">
        <v>2</v>
      </c>
      <c r="B148" t="s">
        <v>3</v>
      </c>
    </row>
    <row r="149" spans="1:14" x14ac:dyDescent="0.25">
      <c r="A149" t="s">
        <v>4</v>
      </c>
      <c r="B149">
        <v>1</v>
      </c>
    </row>
    <row r="150" spans="1:14" x14ac:dyDescent="0.25">
      <c r="A150" t="s">
        <v>5</v>
      </c>
      <c r="B150" t="s">
        <v>49</v>
      </c>
      <c r="E150" s="3"/>
    </row>
    <row r="151" spans="1:14" x14ac:dyDescent="0.25">
      <c r="A151" t="s">
        <v>6</v>
      </c>
      <c r="B151" t="s">
        <v>15</v>
      </c>
    </row>
    <row r="152" spans="1:14" x14ac:dyDescent="0.25">
      <c r="A152" t="s">
        <v>57</v>
      </c>
      <c r="B152">
        <f>1-0.25</f>
        <v>0.75</v>
      </c>
    </row>
    <row r="153" spans="1:14" ht="15.75" x14ac:dyDescent="0.25">
      <c r="A153" s="2" t="s">
        <v>9</v>
      </c>
    </row>
    <row r="154" spans="1:14" x14ac:dyDescent="0.25">
      <c r="A154" s="1" t="s">
        <v>10</v>
      </c>
      <c r="B154" s="1" t="s">
        <v>11</v>
      </c>
      <c r="C154" s="1" t="s">
        <v>6</v>
      </c>
      <c r="D154" s="1" t="s">
        <v>2</v>
      </c>
      <c r="E154" s="1" t="s">
        <v>12</v>
      </c>
      <c r="F154" s="1" t="s">
        <v>5</v>
      </c>
      <c r="G154" s="1" t="s">
        <v>69</v>
      </c>
      <c r="H154" s="1" t="s">
        <v>70</v>
      </c>
      <c r="I154" s="1" t="s">
        <v>71</v>
      </c>
      <c r="J154" s="1" t="s">
        <v>72</v>
      </c>
      <c r="K154" s="1" t="s">
        <v>73</v>
      </c>
    </row>
    <row r="155" spans="1:14" ht="15.75" x14ac:dyDescent="0.25">
      <c r="A155" s="4" t="str">
        <f>B146</f>
        <v>market for battery capacity, Sodium-ion, SiB</v>
      </c>
      <c r="B155">
        <v>1</v>
      </c>
      <c r="C155" t="str">
        <f>B151</f>
        <v>kilowatt hour</v>
      </c>
      <c r="D155" t="s">
        <v>3</v>
      </c>
      <c r="E155" t="s">
        <v>13</v>
      </c>
      <c r="F155" t="str">
        <f>B150</f>
        <v>battery capacity, Sodium-ion, SiB</v>
      </c>
    </row>
    <row r="156" spans="1:14" x14ac:dyDescent="0.25">
      <c r="A156" t="s">
        <v>47</v>
      </c>
      <c r="B156" s="3">
        <f>1/(0.16*75%)</f>
        <v>8.3333333333333339</v>
      </c>
      <c r="C156" t="s">
        <v>7</v>
      </c>
      <c r="D156" t="s">
        <v>3</v>
      </c>
      <c r="E156" t="s">
        <v>14</v>
      </c>
      <c r="F156" t="s">
        <v>48</v>
      </c>
      <c r="G156">
        <v>5</v>
      </c>
      <c r="H156" s="7">
        <f>B156</f>
        <v>8.3333333333333339</v>
      </c>
      <c r="I156" s="3">
        <f>1/(0.22*75%)</f>
        <v>6.0606060606060606</v>
      </c>
      <c r="J156" s="3">
        <f>1/(0.16*75%)</f>
        <v>8.3333333333333339</v>
      </c>
    </row>
    <row r="157" spans="1:14" x14ac:dyDescent="0.25">
      <c r="A157" t="s">
        <v>63</v>
      </c>
      <c r="B157" s="3">
        <f>-1*B156</f>
        <v>-8.3333333333333339</v>
      </c>
      <c r="C157" t="s">
        <v>7</v>
      </c>
      <c r="D157" t="s">
        <v>3</v>
      </c>
      <c r="E157" t="s">
        <v>14</v>
      </c>
      <c r="F157" t="s">
        <v>64</v>
      </c>
      <c r="G157">
        <v>5</v>
      </c>
      <c r="H157" s="7">
        <f>B157</f>
        <v>-8.3333333333333339</v>
      </c>
      <c r="I157" s="3">
        <f>-1/(0.16*75%)</f>
        <v>-8.3333333333333339</v>
      </c>
      <c r="J157" s="3">
        <f>-1/(0.22*75%)</f>
        <v>-6.0606060606060606</v>
      </c>
      <c r="K157" t="b">
        <v>1</v>
      </c>
      <c r="M157" s="3"/>
      <c r="N157" s="3"/>
    </row>
    <row r="159" spans="1:14" ht="15.75" x14ac:dyDescent="0.25">
      <c r="A159" s="2" t="s">
        <v>0</v>
      </c>
      <c r="B159" s="2" t="s">
        <v>56</v>
      </c>
    </row>
    <row r="160" spans="1:14" x14ac:dyDescent="0.25">
      <c r="A160" t="s">
        <v>1</v>
      </c>
      <c r="B160" t="s">
        <v>54</v>
      </c>
    </row>
    <row r="161" spans="1:14" x14ac:dyDescent="0.25">
      <c r="A161" t="s">
        <v>2</v>
      </c>
      <c r="B161" t="s">
        <v>3</v>
      </c>
    </row>
    <row r="162" spans="1:14" x14ac:dyDescent="0.25">
      <c r="A162" t="s">
        <v>4</v>
      </c>
      <c r="B162">
        <v>1</v>
      </c>
    </row>
    <row r="163" spans="1:14" x14ac:dyDescent="0.25">
      <c r="A163" t="s">
        <v>5</v>
      </c>
      <c r="B163" t="s">
        <v>62</v>
      </c>
    </row>
    <row r="164" spans="1:14" x14ac:dyDescent="0.25">
      <c r="A164" t="s">
        <v>6</v>
      </c>
      <c r="B164" t="s">
        <v>15</v>
      </c>
    </row>
    <row r="165" spans="1:14" x14ac:dyDescent="0.25">
      <c r="A165" t="s">
        <v>8</v>
      </c>
      <c r="B165" t="s">
        <v>53</v>
      </c>
    </row>
    <row r="166" spans="1:14" x14ac:dyDescent="0.25">
      <c r="A166" s="1" t="s">
        <v>9</v>
      </c>
      <c r="B166" s="1"/>
      <c r="C166" s="1"/>
      <c r="D166" s="1"/>
      <c r="E166" s="1"/>
      <c r="F166" s="1"/>
      <c r="G166" s="1"/>
    </row>
    <row r="167" spans="1:14" x14ac:dyDescent="0.25">
      <c r="A167" s="1" t="s">
        <v>10</v>
      </c>
      <c r="B167" s="1" t="s">
        <v>11</v>
      </c>
      <c r="C167" s="1" t="s">
        <v>6</v>
      </c>
      <c r="D167" s="1" t="s">
        <v>2</v>
      </c>
      <c r="E167" s="1" t="s">
        <v>12</v>
      </c>
      <c r="F167" s="1" t="s">
        <v>5</v>
      </c>
      <c r="G167" s="1" t="s">
        <v>69</v>
      </c>
      <c r="H167" s="1" t="s">
        <v>70</v>
      </c>
      <c r="I167" s="1" t="s">
        <v>71</v>
      </c>
      <c r="J167" s="1" t="s">
        <v>72</v>
      </c>
      <c r="K167" s="1" t="s">
        <v>73</v>
      </c>
    </row>
    <row r="168" spans="1:14" ht="15.75" x14ac:dyDescent="0.25">
      <c r="A168" s="5" t="str">
        <f>B159</f>
        <v>market for battery capacity, Sodium-Nickel-Chloride, Na-NiCl</v>
      </c>
      <c r="B168">
        <v>1</v>
      </c>
      <c r="C168" t="s">
        <v>15</v>
      </c>
      <c r="D168" t="str">
        <f>B161</f>
        <v>GLO</v>
      </c>
      <c r="E168" t="s">
        <v>13</v>
      </c>
      <c r="F168" t="str">
        <f>B163</f>
        <v>battery capacity, Na-NiCl</v>
      </c>
    </row>
    <row r="169" spans="1:14" x14ac:dyDescent="0.25">
      <c r="A169" t="s">
        <v>50</v>
      </c>
      <c r="B169" s="3">
        <f>1/0.116</f>
        <v>8.6206896551724128</v>
      </c>
      <c r="C169" t="s">
        <v>7</v>
      </c>
      <c r="D169" t="s">
        <v>3</v>
      </c>
      <c r="E169" t="s">
        <v>14</v>
      </c>
      <c r="F169" t="s">
        <v>51</v>
      </c>
      <c r="G169">
        <v>5</v>
      </c>
      <c r="H169" s="7">
        <f>B169</f>
        <v>8.6206896551724128</v>
      </c>
      <c r="I169" s="7">
        <f>B169*0.75</f>
        <v>6.4655172413793096</v>
      </c>
      <c r="J169" s="7">
        <f>B169*1.25</f>
        <v>10.775862068965516</v>
      </c>
    </row>
    <row r="170" spans="1:14" x14ac:dyDescent="0.25">
      <c r="A170" t="s">
        <v>63</v>
      </c>
      <c r="B170" s="3">
        <f>-1*B169</f>
        <v>-8.6206896551724128</v>
      </c>
      <c r="C170" t="s">
        <v>7</v>
      </c>
      <c r="D170" t="s">
        <v>3</v>
      </c>
      <c r="E170" t="s">
        <v>14</v>
      </c>
      <c r="F170" t="s">
        <v>64</v>
      </c>
      <c r="G170">
        <v>5</v>
      </c>
      <c r="H170" s="7">
        <f>B170</f>
        <v>-8.6206896551724128</v>
      </c>
      <c r="I170" s="7">
        <f>B170*1.25</f>
        <v>-10.775862068965516</v>
      </c>
      <c r="J170" s="7">
        <f>B170*0.75</f>
        <v>-6.4655172413793096</v>
      </c>
      <c r="K170" t="b">
        <v>1</v>
      </c>
      <c r="M170" s="7"/>
      <c r="N170" s="7"/>
    </row>
    <row r="172" spans="1:14" ht="15.75" x14ac:dyDescent="0.25">
      <c r="A172" s="2" t="s">
        <v>0</v>
      </c>
      <c r="B172" s="2" t="s">
        <v>93</v>
      </c>
    </row>
    <row r="173" spans="1:14" x14ac:dyDescent="0.25">
      <c r="A173" t="s">
        <v>1</v>
      </c>
      <c r="B173" t="s">
        <v>91</v>
      </c>
    </row>
    <row r="174" spans="1:14" x14ac:dyDescent="0.25">
      <c r="A174" t="s">
        <v>2</v>
      </c>
      <c r="B174" t="s">
        <v>3</v>
      </c>
    </row>
    <row r="175" spans="1:14" x14ac:dyDescent="0.25">
      <c r="A175" t="s">
        <v>4</v>
      </c>
      <c r="B175">
        <v>1</v>
      </c>
    </row>
    <row r="176" spans="1:14" x14ac:dyDescent="0.25">
      <c r="A176" t="s">
        <v>5</v>
      </c>
      <c r="B176" t="s">
        <v>35</v>
      </c>
    </row>
    <row r="177" spans="1:11" x14ac:dyDescent="0.25">
      <c r="A177" t="s">
        <v>6</v>
      </c>
      <c r="B177" t="s">
        <v>15</v>
      </c>
    </row>
    <row r="178" spans="1:11" x14ac:dyDescent="0.25">
      <c r="A178" t="s">
        <v>8</v>
      </c>
      <c r="B178" t="s">
        <v>92</v>
      </c>
    </row>
    <row r="179" spans="1:11" x14ac:dyDescent="0.25">
      <c r="A179" s="1" t="s">
        <v>9</v>
      </c>
      <c r="B179" s="1"/>
      <c r="C179" s="1"/>
      <c r="D179" s="1"/>
      <c r="E179" s="1"/>
      <c r="F179" s="1"/>
      <c r="G179" s="1"/>
    </row>
    <row r="180" spans="1:11" x14ac:dyDescent="0.25">
      <c r="A180" s="1" t="s">
        <v>10</v>
      </c>
      <c r="B180" s="1" t="s">
        <v>11</v>
      </c>
      <c r="C180" s="1" t="s">
        <v>6</v>
      </c>
      <c r="D180" s="1" t="s">
        <v>2</v>
      </c>
      <c r="E180" s="1" t="s">
        <v>12</v>
      </c>
      <c r="F180" s="1" t="s">
        <v>5</v>
      </c>
      <c r="G180" s="1"/>
      <c r="H180" s="1"/>
      <c r="I180" s="1"/>
      <c r="J180" s="1"/>
      <c r="K180" s="1"/>
    </row>
    <row r="181" spans="1:11" x14ac:dyDescent="0.25">
      <c r="A181" t="str">
        <f>B172</f>
        <v>market for battery capacity (MIX scenario)</v>
      </c>
      <c r="B181">
        <v>1</v>
      </c>
      <c r="C181" t="s">
        <v>15</v>
      </c>
      <c r="D181" t="s">
        <v>3</v>
      </c>
      <c r="E181" t="s">
        <v>13</v>
      </c>
      <c r="F181" t="s">
        <v>35</v>
      </c>
      <c r="G181" s="1"/>
      <c r="H181" s="1"/>
      <c r="I181" s="1"/>
      <c r="J181" s="1"/>
      <c r="K181" s="1"/>
    </row>
    <row r="182" spans="1:11" ht="15.75" x14ac:dyDescent="0.25">
      <c r="A182" s="4" t="s">
        <v>16</v>
      </c>
      <c r="B182">
        <v>0</v>
      </c>
      <c r="C182" t="s">
        <v>15</v>
      </c>
      <c r="D182" t="s">
        <v>3</v>
      </c>
      <c r="E182" t="s">
        <v>14</v>
      </c>
      <c r="F182" t="s">
        <v>17</v>
      </c>
    </row>
    <row r="183" spans="1:11" ht="15.75" x14ac:dyDescent="0.25">
      <c r="A183" s="4" t="s">
        <v>20</v>
      </c>
      <c r="B183">
        <v>0</v>
      </c>
      <c r="C183" t="s">
        <v>15</v>
      </c>
      <c r="D183" t="s">
        <v>3</v>
      </c>
      <c r="E183" t="s">
        <v>14</v>
      </c>
      <c r="F183" t="s">
        <v>24</v>
      </c>
    </row>
    <row r="184" spans="1:11" ht="15.75" x14ac:dyDescent="0.25">
      <c r="A184" s="4" t="s">
        <v>74</v>
      </c>
      <c r="B184">
        <v>0</v>
      </c>
      <c r="C184" t="s">
        <v>15</v>
      </c>
      <c r="D184" t="s">
        <v>3</v>
      </c>
      <c r="E184" t="s">
        <v>14</v>
      </c>
      <c r="F184" t="s">
        <v>75</v>
      </c>
    </row>
    <row r="185" spans="1:11" ht="15.75" x14ac:dyDescent="0.25">
      <c r="A185" s="4" t="s">
        <v>23</v>
      </c>
      <c r="B185">
        <v>0</v>
      </c>
      <c r="C185" t="s">
        <v>15</v>
      </c>
      <c r="D185" t="s">
        <v>3</v>
      </c>
      <c r="E185" t="s">
        <v>14</v>
      </c>
      <c r="F185" t="s">
        <v>25</v>
      </c>
    </row>
    <row r="186" spans="1:11" ht="15.75" x14ac:dyDescent="0.25">
      <c r="A186" s="4" t="s">
        <v>26</v>
      </c>
      <c r="B186">
        <v>0</v>
      </c>
      <c r="C186" t="s">
        <v>15</v>
      </c>
      <c r="D186" t="s">
        <v>3</v>
      </c>
      <c r="E186" t="s">
        <v>14</v>
      </c>
      <c r="F186" t="s">
        <v>27</v>
      </c>
    </row>
    <row r="187" spans="1:11" ht="15.75" x14ac:dyDescent="0.25">
      <c r="A187" s="4" t="s">
        <v>78</v>
      </c>
      <c r="B187">
        <v>0</v>
      </c>
      <c r="C187" t="s">
        <v>15</v>
      </c>
      <c r="D187" t="s">
        <v>3</v>
      </c>
      <c r="E187" t="s">
        <v>14</v>
      </c>
      <c r="F187" t="s">
        <v>79</v>
      </c>
    </row>
    <row r="188" spans="1:11" ht="15.75" x14ac:dyDescent="0.25">
      <c r="A188" s="4" t="s">
        <v>31</v>
      </c>
      <c r="B188">
        <v>0</v>
      </c>
      <c r="C188" t="s">
        <v>15</v>
      </c>
      <c r="D188" t="s">
        <v>3</v>
      </c>
      <c r="E188" t="s">
        <v>14</v>
      </c>
      <c r="F188" t="s">
        <v>32</v>
      </c>
    </row>
    <row r="189" spans="1:11" ht="15.75" x14ac:dyDescent="0.25">
      <c r="A189" s="6" t="s">
        <v>36</v>
      </c>
      <c r="B189">
        <v>0</v>
      </c>
      <c r="C189" t="s">
        <v>15</v>
      </c>
      <c r="D189" t="s">
        <v>3</v>
      </c>
      <c r="E189" t="s">
        <v>14</v>
      </c>
      <c r="F189" t="s">
        <v>37</v>
      </c>
    </row>
    <row r="190" spans="1:11" ht="15.75" x14ac:dyDescent="0.25">
      <c r="A190" s="6" t="s">
        <v>65</v>
      </c>
      <c r="B190">
        <v>0</v>
      </c>
      <c r="C190" t="s">
        <v>15</v>
      </c>
      <c r="D190" t="s">
        <v>3</v>
      </c>
      <c r="E190" t="s">
        <v>14</v>
      </c>
      <c r="F190" t="s">
        <v>66</v>
      </c>
    </row>
    <row r="191" spans="1:11" ht="15.75" x14ac:dyDescent="0.25">
      <c r="A191" s="4" t="s">
        <v>67</v>
      </c>
      <c r="B191">
        <v>0</v>
      </c>
      <c r="C191" t="s">
        <v>15</v>
      </c>
      <c r="D191" t="s">
        <v>3</v>
      </c>
      <c r="E191" t="s">
        <v>14</v>
      </c>
      <c r="F191" t="s">
        <v>68</v>
      </c>
    </row>
    <row r="192" spans="1:11" ht="15.75" x14ac:dyDescent="0.25">
      <c r="A192" s="4" t="s">
        <v>42</v>
      </c>
      <c r="B192">
        <v>0</v>
      </c>
      <c r="C192" t="s">
        <v>15</v>
      </c>
      <c r="D192" t="s">
        <v>3</v>
      </c>
      <c r="E192" t="s">
        <v>14</v>
      </c>
      <c r="F192" t="s">
        <v>43</v>
      </c>
    </row>
    <row r="193" spans="1:11" ht="15.75" x14ac:dyDescent="0.25">
      <c r="A193" s="4" t="s">
        <v>46</v>
      </c>
      <c r="B193">
        <v>0</v>
      </c>
      <c r="C193" t="s">
        <v>15</v>
      </c>
      <c r="D193" t="s">
        <v>3</v>
      </c>
      <c r="E193" t="s">
        <v>14</v>
      </c>
      <c r="F193" t="s">
        <v>49</v>
      </c>
    </row>
    <row r="194" spans="1:11" ht="15.75" x14ac:dyDescent="0.25">
      <c r="A194" s="5" t="s">
        <v>56</v>
      </c>
      <c r="B194">
        <v>0</v>
      </c>
      <c r="C194" t="s">
        <v>15</v>
      </c>
      <c r="D194" t="s">
        <v>3</v>
      </c>
      <c r="E194" t="s">
        <v>14</v>
      </c>
      <c r="F194" t="s">
        <v>62</v>
      </c>
    </row>
    <row r="196" spans="1:11" ht="15.75" x14ac:dyDescent="0.25">
      <c r="A196" s="2" t="s">
        <v>0</v>
      </c>
      <c r="B196" s="2" t="s">
        <v>94</v>
      </c>
    </row>
    <row r="197" spans="1:11" x14ac:dyDescent="0.25">
      <c r="A197" t="s">
        <v>1</v>
      </c>
      <c r="B197" t="s">
        <v>91</v>
      </c>
    </row>
    <row r="198" spans="1:11" x14ac:dyDescent="0.25">
      <c r="A198" t="s">
        <v>2</v>
      </c>
      <c r="B198" t="s">
        <v>3</v>
      </c>
    </row>
    <row r="199" spans="1:11" x14ac:dyDescent="0.25">
      <c r="A199" t="s">
        <v>4</v>
      </c>
      <c r="B199">
        <v>1</v>
      </c>
    </row>
    <row r="200" spans="1:11" x14ac:dyDescent="0.25">
      <c r="A200" t="s">
        <v>5</v>
      </c>
      <c r="B200" t="s">
        <v>35</v>
      </c>
    </row>
    <row r="201" spans="1:11" x14ac:dyDescent="0.25">
      <c r="A201" t="s">
        <v>6</v>
      </c>
      <c r="B201" t="s">
        <v>15</v>
      </c>
    </row>
    <row r="202" spans="1:11" x14ac:dyDescent="0.25">
      <c r="A202" t="s">
        <v>8</v>
      </c>
      <c r="B202" t="s">
        <v>92</v>
      </c>
    </row>
    <row r="203" spans="1:11" x14ac:dyDescent="0.25">
      <c r="A203" s="1" t="s">
        <v>9</v>
      </c>
      <c r="B203" s="1"/>
      <c r="C203" s="1"/>
      <c r="D203" s="1"/>
      <c r="E203" s="1"/>
      <c r="F203" s="1"/>
      <c r="G203" s="1"/>
    </row>
    <row r="204" spans="1:11" x14ac:dyDescent="0.25">
      <c r="A204" s="1" t="s">
        <v>10</v>
      </c>
      <c r="B204" s="1" t="s">
        <v>11</v>
      </c>
      <c r="C204" s="1" t="s">
        <v>6</v>
      </c>
      <c r="D204" s="1" t="s">
        <v>2</v>
      </c>
      <c r="E204" s="1" t="s">
        <v>12</v>
      </c>
      <c r="F204" s="1" t="s">
        <v>5</v>
      </c>
      <c r="G204" s="1"/>
      <c r="H204" s="1"/>
      <c r="I204" s="1"/>
      <c r="J204" s="1"/>
      <c r="K204" s="1"/>
    </row>
    <row r="205" spans="1:11" x14ac:dyDescent="0.25">
      <c r="A205" t="str">
        <f>B196</f>
        <v>market for battery capacity (LFP scenario)</v>
      </c>
      <c r="B205">
        <v>1</v>
      </c>
      <c r="C205" t="s">
        <v>15</v>
      </c>
      <c r="D205" t="s">
        <v>3</v>
      </c>
      <c r="E205" t="s">
        <v>13</v>
      </c>
      <c r="F205" t="s">
        <v>35</v>
      </c>
      <c r="G205" s="1"/>
      <c r="H205" s="1"/>
      <c r="I205" s="1"/>
      <c r="J205" s="1"/>
      <c r="K205" s="1"/>
    </row>
    <row r="206" spans="1:11" ht="15.75" x14ac:dyDescent="0.25">
      <c r="A206" s="4" t="s">
        <v>16</v>
      </c>
      <c r="B206">
        <v>0</v>
      </c>
      <c r="C206" t="s">
        <v>15</v>
      </c>
      <c r="D206" t="s">
        <v>3</v>
      </c>
      <c r="E206" t="s">
        <v>14</v>
      </c>
      <c r="F206" t="s">
        <v>17</v>
      </c>
    </row>
    <row r="207" spans="1:11" ht="15.75" x14ac:dyDescent="0.25">
      <c r="A207" s="4" t="s">
        <v>20</v>
      </c>
      <c r="B207">
        <v>0</v>
      </c>
      <c r="C207" t="s">
        <v>15</v>
      </c>
      <c r="D207" t="s">
        <v>3</v>
      </c>
      <c r="E207" t="s">
        <v>14</v>
      </c>
      <c r="F207" t="s">
        <v>24</v>
      </c>
    </row>
    <row r="208" spans="1:11" ht="15.75" x14ac:dyDescent="0.25">
      <c r="A208" s="4" t="s">
        <v>74</v>
      </c>
      <c r="B208">
        <v>0</v>
      </c>
      <c r="C208" t="s">
        <v>15</v>
      </c>
      <c r="D208" t="s">
        <v>3</v>
      </c>
      <c r="E208" t="s">
        <v>14</v>
      </c>
      <c r="F208" t="s">
        <v>75</v>
      </c>
    </row>
    <row r="209" spans="1:6" ht="15.75" x14ac:dyDescent="0.25">
      <c r="A209" s="4" t="s">
        <v>23</v>
      </c>
      <c r="B209">
        <v>0</v>
      </c>
      <c r="C209" t="s">
        <v>15</v>
      </c>
      <c r="D209" t="s">
        <v>3</v>
      </c>
      <c r="E209" t="s">
        <v>14</v>
      </c>
      <c r="F209" t="s">
        <v>25</v>
      </c>
    </row>
    <row r="210" spans="1:6" ht="15.75" x14ac:dyDescent="0.25">
      <c r="A210" s="4" t="s">
        <v>26</v>
      </c>
      <c r="B210">
        <v>0</v>
      </c>
      <c r="C210" t="s">
        <v>15</v>
      </c>
      <c r="D210" t="s">
        <v>3</v>
      </c>
      <c r="E210" t="s">
        <v>14</v>
      </c>
      <c r="F210" t="s">
        <v>27</v>
      </c>
    </row>
    <row r="211" spans="1:6" ht="15.75" x14ac:dyDescent="0.25">
      <c r="A211" s="4" t="s">
        <v>78</v>
      </c>
      <c r="B211">
        <v>0</v>
      </c>
      <c r="C211" t="s">
        <v>15</v>
      </c>
      <c r="D211" t="s">
        <v>3</v>
      </c>
      <c r="E211" t="s">
        <v>14</v>
      </c>
      <c r="F211" t="s">
        <v>79</v>
      </c>
    </row>
    <row r="212" spans="1:6" ht="15.75" x14ac:dyDescent="0.25">
      <c r="A212" s="4" t="s">
        <v>31</v>
      </c>
      <c r="B212">
        <v>0</v>
      </c>
      <c r="C212" t="s">
        <v>15</v>
      </c>
      <c r="D212" t="s">
        <v>3</v>
      </c>
      <c r="E212" t="s">
        <v>14</v>
      </c>
      <c r="F212" t="s">
        <v>32</v>
      </c>
    </row>
    <row r="213" spans="1:6" ht="15.75" x14ac:dyDescent="0.25">
      <c r="A213" s="6" t="s">
        <v>36</v>
      </c>
      <c r="B213">
        <v>0</v>
      </c>
      <c r="C213" t="s">
        <v>15</v>
      </c>
      <c r="D213" t="s">
        <v>3</v>
      </c>
      <c r="E213" t="s">
        <v>14</v>
      </c>
      <c r="F213" t="s">
        <v>37</v>
      </c>
    </row>
    <row r="214" spans="1:6" ht="15.75" x14ac:dyDescent="0.25">
      <c r="A214" s="6" t="s">
        <v>65</v>
      </c>
      <c r="B214">
        <v>0</v>
      </c>
      <c r="C214" t="s">
        <v>15</v>
      </c>
      <c r="D214" t="s">
        <v>3</v>
      </c>
      <c r="E214" t="s">
        <v>14</v>
      </c>
      <c r="F214" t="s">
        <v>66</v>
      </c>
    </row>
    <row r="215" spans="1:6" ht="15.75" x14ac:dyDescent="0.25">
      <c r="A215" s="4" t="s">
        <v>67</v>
      </c>
      <c r="B215">
        <v>0</v>
      </c>
      <c r="C215" t="s">
        <v>15</v>
      </c>
      <c r="D215" t="s">
        <v>3</v>
      </c>
      <c r="E215" t="s">
        <v>14</v>
      </c>
      <c r="F215" t="s">
        <v>68</v>
      </c>
    </row>
    <row r="216" spans="1:6" ht="15.75" x14ac:dyDescent="0.25">
      <c r="A216" s="4" t="s">
        <v>42</v>
      </c>
      <c r="B216">
        <v>0</v>
      </c>
      <c r="C216" t="s">
        <v>15</v>
      </c>
      <c r="D216" t="s">
        <v>3</v>
      </c>
      <c r="E216" t="s">
        <v>14</v>
      </c>
      <c r="F216" t="s">
        <v>43</v>
      </c>
    </row>
    <row r="217" spans="1:6" ht="15.75" x14ac:dyDescent="0.25">
      <c r="A217" s="4" t="s">
        <v>46</v>
      </c>
      <c r="B217">
        <v>0</v>
      </c>
      <c r="C217" t="s">
        <v>15</v>
      </c>
      <c r="D217" t="s">
        <v>3</v>
      </c>
      <c r="E217" t="s">
        <v>14</v>
      </c>
      <c r="F217" t="s">
        <v>49</v>
      </c>
    </row>
    <row r="218" spans="1:6" ht="15.75" x14ac:dyDescent="0.25">
      <c r="A218" s="5" t="s">
        <v>56</v>
      </c>
      <c r="B218">
        <v>0</v>
      </c>
      <c r="C218" t="s">
        <v>15</v>
      </c>
      <c r="D218" t="s">
        <v>3</v>
      </c>
      <c r="E218" t="s">
        <v>14</v>
      </c>
      <c r="F218" t="s">
        <v>62</v>
      </c>
    </row>
    <row r="220" spans="1:6" ht="15.75" x14ac:dyDescent="0.25">
      <c r="A220" s="2" t="s">
        <v>0</v>
      </c>
      <c r="B220" s="2" t="s">
        <v>95</v>
      </c>
    </row>
    <row r="221" spans="1:6" x14ac:dyDescent="0.25">
      <c r="A221" t="s">
        <v>1</v>
      </c>
      <c r="B221" t="s">
        <v>91</v>
      </c>
    </row>
    <row r="222" spans="1:6" x14ac:dyDescent="0.25">
      <c r="A222" t="s">
        <v>2</v>
      </c>
      <c r="B222" t="s">
        <v>3</v>
      </c>
    </row>
    <row r="223" spans="1:6" x14ac:dyDescent="0.25">
      <c r="A223" t="s">
        <v>4</v>
      </c>
      <c r="B223">
        <v>1</v>
      </c>
    </row>
    <row r="224" spans="1:6" x14ac:dyDescent="0.25">
      <c r="A224" t="s">
        <v>5</v>
      </c>
      <c r="B224" t="s">
        <v>35</v>
      </c>
    </row>
    <row r="225" spans="1:11" x14ac:dyDescent="0.25">
      <c r="A225" t="s">
        <v>6</v>
      </c>
      <c r="B225" t="s">
        <v>15</v>
      </c>
    </row>
    <row r="226" spans="1:11" x14ac:dyDescent="0.25">
      <c r="A226" t="s">
        <v>8</v>
      </c>
      <c r="B226" t="s">
        <v>92</v>
      </c>
    </row>
    <row r="227" spans="1:11" x14ac:dyDescent="0.25">
      <c r="A227" s="1" t="s">
        <v>9</v>
      </c>
      <c r="B227" s="1"/>
      <c r="C227" s="1"/>
      <c r="D227" s="1"/>
      <c r="E227" s="1"/>
      <c r="F227" s="1"/>
      <c r="G227" s="1"/>
    </row>
    <row r="228" spans="1:11" x14ac:dyDescent="0.25">
      <c r="A228" s="1" t="s">
        <v>10</v>
      </c>
      <c r="B228" s="1" t="s">
        <v>11</v>
      </c>
      <c r="C228" s="1" t="s">
        <v>6</v>
      </c>
      <c r="D228" s="1" t="s">
        <v>2</v>
      </c>
      <c r="E228" s="1" t="s">
        <v>12</v>
      </c>
      <c r="F228" s="1" t="s">
        <v>5</v>
      </c>
      <c r="G228" s="1"/>
      <c r="H228" s="1"/>
      <c r="I228" s="1"/>
      <c r="J228" s="1"/>
      <c r="K228" s="1"/>
    </row>
    <row r="229" spans="1:11" x14ac:dyDescent="0.25">
      <c r="A229" t="str">
        <f>B220</f>
        <v>market for battery capacity (NCx scenario)</v>
      </c>
      <c r="B229">
        <v>1</v>
      </c>
      <c r="C229" t="s">
        <v>15</v>
      </c>
      <c r="D229" t="s">
        <v>3</v>
      </c>
      <c r="E229" t="s">
        <v>13</v>
      </c>
      <c r="F229" t="s">
        <v>35</v>
      </c>
      <c r="G229" s="1"/>
      <c r="H229" s="1"/>
      <c r="I229" s="1"/>
      <c r="J229" s="1"/>
      <c r="K229" s="1"/>
    </row>
    <row r="230" spans="1:11" ht="15.75" x14ac:dyDescent="0.25">
      <c r="A230" s="4" t="s">
        <v>16</v>
      </c>
      <c r="B230">
        <v>0</v>
      </c>
      <c r="C230" t="s">
        <v>15</v>
      </c>
      <c r="D230" t="s">
        <v>3</v>
      </c>
      <c r="E230" t="s">
        <v>14</v>
      </c>
      <c r="F230" t="s">
        <v>17</v>
      </c>
    </row>
    <row r="231" spans="1:11" ht="15.75" x14ac:dyDescent="0.25">
      <c r="A231" s="4" t="s">
        <v>20</v>
      </c>
      <c r="B231">
        <v>0</v>
      </c>
      <c r="C231" t="s">
        <v>15</v>
      </c>
      <c r="D231" t="s">
        <v>3</v>
      </c>
      <c r="E231" t="s">
        <v>14</v>
      </c>
      <c r="F231" t="s">
        <v>24</v>
      </c>
    </row>
    <row r="232" spans="1:11" ht="15.75" x14ac:dyDescent="0.25">
      <c r="A232" s="4" t="s">
        <v>74</v>
      </c>
      <c r="B232">
        <v>0</v>
      </c>
      <c r="C232" t="s">
        <v>15</v>
      </c>
      <c r="D232" t="s">
        <v>3</v>
      </c>
      <c r="E232" t="s">
        <v>14</v>
      </c>
      <c r="F232" t="s">
        <v>75</v>
      </c>
    </row>
    <row r="233" spans="1:11" ht="15.75" x14ac:dyDescent="0.25">
      <c r="A233" s="4" t="s">
        <v>23</v>
      </c>
      <c r="B233">
        <v>0</v>
      </c>
      <c r="C233" t="s">
        <v>15</v>
      </c>
      <c r="D233" t="s">
        <v>3</v>
      </c>
      <c r="E233" t="s">
        <v>14</v>
      </c>
      <c r="F233" t="s">
        <v>25</v>
      </c>
    </row>
    <row r="234" spans="1:11" ht="15.75" x14ac:dyDescent="0.25">
      <c r="A234" s="4" t="s">
        <v>26</v>
      </c>
      <c r="B234">
        <v>0</v>
      </c>
      <c r="C234" t="s">
        <v>15</v>
      </c>
      <c r="D234" t="s">
        <v>3</v>
      </c>
      <c r="E234" t="s">
        <v>14</v>
      </c>
      <c r="F234" t="s">
        <v>27</v>
      </c>
    </row>
    <row r="235" spans="1:11" ht="15.75" x14ac:dyDescent="0.25">
      <c r="A235" s="4" t="s">
        <v>78</v>
      </c>
      <c r="B235">
        <v>0</v>
      </c>
      <c r="C235" t="s">
        <v>15</v>
      </c>
      <c r="D235" t="s">
        <v>3</v>
      </c>
      <c r="E235" t="s">
        <v>14</v>
      </c>
      <c r="F235" t="s">
        <v>79</v>
      </c>
    </row>
    <row r="236" spans="1:11" ht="15.75" x14ac:dyDescent="0.25">
      <c r="A236" s="4" t="s">
        <v>31</v>
      </c>
      <c r="B236">
        <v>0</v>
      </c>
      <c r="C236" t="s">
        <v>15</v>
      </c>
      <c r="D236" t="s">
        <v>3</v>
      </c>
      <c r="E236" t="s">
        <v>14</v>
      </c>
      <c r="F236" t="s">
        <v>32</v>
      </c>
    </row>
    <row r="237" spans="1:11" ht="15.75" x14ac:dyDescent="0.25">
      <c r="A237" s="6" t="s">
        <v>36</v>
      </c>
      <c r="B237">
        <v>0</v>
      </c>
      <c r="C237" t="s">
        <v>15</v>
      </c>
      <c r="D237" t="s">
        <v>3</v>
      </c>
      <c r="E237" t="s">
        <v>14</v>
      </c>
      <c r="F237" t="s">
        <v>37</v>
      </c>
    </row>
    <row r="238" spans="1:11" ht="15.75" x14ac:dyDescent="0.25">
      <c r="A238" s="6" t="s">
        <v>65</v>
      </c>
      <c r="B238">
        <v>0</v>
      </c>
      <c r="C238" t="s">
        <v>15</v>
      </c>
      <c r="D238" t="s">
        <v>3</v>
      </c>
      <c r="E238" t="s">
        <v>14</v>
      </c>
      <c r="F238" t="s">
        <v>66</v>
      </c>
    </row>
    <row r="239" spans="1:11" ht="15.75" x14ac:dyDescent="0.25">
      <c r="A239" s="4" t="s">
        <v>67</v>
      </c>
      <c r="B239">
        <v>0</v>
      </c>
      <c r="C239" t="s">
        <v>15</v>
      </c>
      <c r="D239" t="s">
        <v>3</v>
      </c>
      <c r="E239" t="s">
        <v>14</v>
      </c>
      <c r="F239" t="s">
        <v>68</v>
      </c>
    </row>
    <row r="240" spans="1:11" ht="15.75" x14ac:dyDescent="0.25">
      <c r="A240" s="4" t="s">
        <v>42</v>
      </c>
      <c r="B240">
        <v>0</v>
      </c>
      <c r="C240" t="s">
        <v>15</v>
      </c>
      <c r="D240" t="s">
        <v>3</v>
      </c>
      <c r="E240" t="s">
        <v>14</v>
      </c>
      <c r="F240" t="s">
        <v>43</v>
      </c>
    </row>
    <row r="241" spans="1:11" ht="15.75" x14ac:dyDescent="0.25">
      <c r="A241" s="4" t="s">
        <v>46</v>
      </c>
      <c r="B241">
        <v>0</v>
      </c>
      <c r="C241" t="s">
        <v>15</v>
      </c>
      <c r="D241" t="s">
        <v>3</v>
      </c>
      <c r="E241" t="s">
        <v>14</v>
      </c>
      <c r="F241" t="s">
        <v>49</v>
      </c>
    </row>
    <row r="242" spans="1:11" ht="15.75" x14ac:dyDescent="0.25">
      <c r="A242" s="5" t="s">
        <v>56</v>
      </c>
      <c r="B242">
        <v>0</v>
      </c>
      <c r="C242" t="s">
        <v>15</v>
      </c>
      <c r="D242" t="s">
        <v>3</v>
      </c>
      <c r="E242" t="s">
        <v>14</v>
      </c>
      <c r="F242" t="s">
        <v>62</v>
      </c>
    </row>
    <row r="244" spans="1:11" ht="15.75" x14ac:dyDescent="0.25">
      <c r="A244" s="2" t="s">
        <v>0</v>
      </c>
      <c r="B244" s="2" t="s">
        <v>96</v>
      </c>
    </row>
    <row r="245" spans="1:11" x14ac:dyDescent="0.25">
      <c r="A245" t="s">
        <v>1</v>
      </c>
      <c r="B245" t="s">
        <v>91</v>
      </c>
    </row>
    <row r="246" spans="1:11" x14ac:dyDescent="0.25">
      <c r="A246" t="s">
        <v>2</v>
      </c>
      <c r="B246" t="s">
        <v>3</v>
      </c>
    </row>
    <row r="247" spans="1:11" x14ac:dyDescent="0.25">
      <c r="A247" t="s">
        <v>4</v>
      </c>
      <c r="B247">
        <v>1</v>
      </c>
    </row>
    <row r="248" spans="1:11" x14ac:dyDescent="0.25">
      <c r="A248" t="s">
        <v>5</v>
      </c>
      <c r="B248" t="s">
        <v>35</v>
      </c>
    </row>
    <row r="249" spans="1:11" x14ac:dyDescent="0.25">
      <c r="A249" t="s">
        <v>6</v>
      </c>
      <c r="B249" t="s">
        <v>15</v>
      </c>
    </row>
    <row r="250" spans="1:11" x14ac:dyDescent="0.25">
      <c r="A250" t="s">
        <v>8</v>
      </c>
      <c r="B250" t="s">
        <v>92</v>
      </c>
    </row>
    <row r="251" spans="1:11" x14ac:dyDescent="0.25">
      <c r="A251" s="1" t="s">
        <v>9</v>
      </c>
      <c r="B251" s="1"/>
      <c r="C251" s="1"/>
      <c r="D251" s="1"/>
      <c r="E251" s="1"/>
      <c r="F251" s="1"/>
      <c r="G251" s="1"/>
    </row>
    <row r="252" spans="1:11" x14ac:dyDescent="0.25">
      <c r="A252" s="1" t="s">
        <v>10</v>
      </c>
      <c r="B252" s="1" t="s">
        <v>11</v>
      </c>
      <c r="C252" s="1" t="s">
        <v>6</v>
      </c>
      <c r="D252" s="1" t="s">
        <v>2</v>
      </c>
      <c r="E252" s="1" t="s">
        <v>12</v>
      </c>
      <c r="F252" s="1" t="s">
        <v>5</v>
      </c>
      <c r="G252" s="1"/>
      <c r="H252" s="1"/>
      <c r="I252" s="1"/>
      <c r="J252" s="1"/>
      <c r="K252" s="1"/>
    </row>
    <row r="253" spans="1:11" x14ac:dyDescent="0.25">
      <c r="A253" t="str">
        <f>B244</f>
        <v>market for battery capacity (PLiB scenario)</v>
      </c>
      <c r="B253">
        <v>1</v>
      </c>
      <c r="C253" t="s">
        <v>15</v>
      </c>
      <c r="D253" t="s">
        <v>3</v>
      </c>
      <c r="E253" t="s">
        <v>13</v>
      </c>
      <c r="F253" t="s">
        <v>35</v>
      </c>
      <c r="G253" s="1"/>
      <c r="H253" s="1"/>
      <c r="I253" s="1"/>
      <c r="J253" s="1"/>
      <c r="K253" s="1"/>
    </row>
    <row r="254" spans="1:11" ht="15.75" x14ac:dyDescent="0.25">
      <c r="A254" s="4" t="s">
        <v>16</v>
      </c>
      <c r="B254">
        <v>0</v>
      </c>
      <c r="C254" t="s">
        <v>15</v>
      </c>
      <c r="D254" t="s">
        <v>3</v>
      </c>
      <c r="E254" t="s">
        <v>14</v>
      </c>
      <c r="F254" t="s">
        <v>17</v>
      </c>
    </row>
    <row r="255" spans="1:11" ht="15.75" x14ac:dyDescent="0.25">
      <c r="A255" s="4" t="s">
        <v>20</v>
      </c>
      <c r="B255">
        <v>0</v>
      </c>
      <c r="C255" t="s">
        <v>15</v>
      </c>
      <c r="D255" t="s">
        <v>3</v>
      </c>
      <c r="E255" t="s">
        <v>14</v>
      </c>
      <c r="F255" t="s">
        <v>24</v>
      </c>
    </row>
    <row r="256" spans="1:11" ht="15.75" x14ac:dyDescent="0.25">
      <c r="A256" s="4" t="s">
        <v>74</v>
      </c>
      <c r="B256">
        <v>0</v>
      </c>
      <c r="C256" t="s">
        <v>15</v>
      </c>
      <c r="D256" t="s">
        <v>3</v>
      </c>
      <c r="E256" t="s">
        <v>14</v>
      </c>
      <c r="F256" t="s">
        <v>75</v>
      </c>
    </row>
    <row r="257" spans="1:6" ht="15.75" x14ac:dyDescent="0.25">
      <c r="A257" s="4" t="s">
        <v>23</v>
      </c>
      <c r="B257">
        <v>0</v>
      </c>
      <c r="C257" t="s">
        <v>15</v>
      </c>
      <c r="D257" t="s">
        <v>3</v>
      </c>
      <c r="E257" t="s">
        <v>14</v>
      </c>
      <c r="F257" t="s">
        <v>25</v>
      </c>
    </row>
    <row r="258" spans="1:6" ht="15.75" x14ac:dyDescent="0.25">
      <c r="A258" s="4" t="s">
        <v>26</v>
      </c>
      <c r="B258">
        <v>0</v>
      </c>
      <c r="C258" t="s">
        <v>15</v>
      </c>
      <c r="D258" t="s">
        <v>3</v>
      </c>
      <c r="E258" t="s">
        <v>14</v>
      </c>
      <c r="F258" t="s">
        <v>27</v>
      </c>
    </row>
    <row r="259" spans="1:6" ht="15.75" x14ac:dyDescent="0.25">
      <c r="A259" s="4" t="s">
        <v>78</v>
      </c>
      <c r="B259">
        <v>0</v>
      </c>
      <c r="C259" t="s">
        <v>15</v>
      </c>
      <c r="D259" t="s">
        <v>3</v>
      </c>
      <c r="E259" t="s">
        <v>14</v>
      </c>
      <c r="F259" t="s">
        <v>79</v>
      </c>
    </row>
    <row r="260" spans="1:6" ht="15.75" x14ac:dyDescent="0.25">
      <c r="A260" s="4" t="s">
        <v>31</v>
      </c>
      <c r="B260">
        <v>0</v>
      </c>
      <c r="C260" t="s">
        <v>15</v>
      </c>
      <c r="D260" t="s">
        <v>3</v>
      </c>
      <c r="E260" t="s">
        <v>14</v>
      </c>
      <c r="F260" t="s">
        <v>32</v>
      </c>
    </row>
    <row r="261" spans="1:6" ht="15.75" x14ac:dyDescent="0.25">
      <c r="A261" s="6" t="s">
        <v>36</v>
      </c>
      <c r="B261">
        <v>0</v>
      </c>
      <c r="C261" t="s">
        <v>15</v>
      </c>
      <c r="D261" t="s">
        <v>3</v>
      </c>
      <c r="E261" t="s">
        <v>14</v>
      </c>
      <c r="F261" t="s">
        <v>37</v>
      </c>
    </row>
    <row r="262" spans="1:6" ht="15.75" x14ac:dyDescent="0.25">
      <c r="A262" s="6" t="s">
        <v>65</v>
      </c>
      <c r="B262">
        <v>0</v>
      </c>
      <c r="C262" t="s">
        <v>15</v>
      </c>
      <c r="D262" t="s">
        <v>3</v>
      </c>
      <c r="E262" t="s">
        <v>14</v>
      </c>
      <c r="F262" t="s">
        <v>66</v>
      </c>
    </row>
    <row r="263" spans="1:6" ht="15.75" x14ac:dyDescent="0.25">
      <c r="A263" s="4" t="s">
        <v>67</v>
      </c>
      <c r="B263">
        <v>0</v>
      </c>
      <c r="C263" t="s">
        <v>15</v>
      </c>
      <c r="D263" t="s">
        <v>3</v>
      </c>
      <c r="E263" t="s">
        <v>14</v>
      </c>
      <c r="F263" t="s">
        <v>68</v>
      </c>
    </row>
    <row r="264" spans="1:6" ht="15.75" x14ac:dyDescent="0.25">
      <c r="A264" s="4" t="s">
        <v>42</v>
      </c>
      <c r="B264">
        <v>0</v>
      </c>
      <c r="C264" t="s">
        <v>15</v>
      </c>
      <c r="D264" t="s">
        <v>3</v>
      </c>
      <c r="E264" t="s">
        <v>14</v>
      </c>
      <c r="F264" t="s">
        <v>43</v>
      </c>
    </row>
    <row r="265" spans="1:6" ht="15.75" x14ac:dyDescent="0.25">
      <c r="A265" s="4" t="s">
        <v>46</v>
      </c>
      <c r="B265">
        <v>0</v>
      </c>
      <c r="C265" t="s">
        <v>15</v>
      </c>
      <c r="D265" t="s">
        <v>3</v>
      </c>
      <c r="E265" t="s">
        <v>14</v>
      </c>
      <c r="F265" t="s">
        <v>49</v>
      </c>
    </row>
    <row r="266" spans="1:6" ht="15.75" x14ac:dyDescent="0.25">
      <c r="A266" s="5" t="s">
        <v>56</v>
      </c>
      <c r="B266">
        <v>0</v>
      </c>
      <c r="C266" t="s">
        <v>15</v>
      </c>
      <c r="D266" t="s">
        <v>3</v>
      </c>
      <c r="E266" t="s">
        <v>14</v>
      </c>
      <c r="F266" t="s">
        <v>62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F433-64CA-4C75-A0BC-FFEEC2922B0D}">
  <dimension ref="A1:N203"/>
  <sheetViews>
    <sheetView tabSelected="1" topLeftCell="A154" workbookViewId="0">
      <selection activeCell="A173" sqref="A173"/>
    </sheetView>
  </sheetViews>
  <sheetFormatPr defaultColWidth="8.85546875" defaultRowHeight="15" x14ac:dyDescent="0.25"/>
  <cols>
    <col min="1" max="1" width="69.42578125" bestFit="1" customWidth="1"/>
    <col min="2" max="2" width="24.140625" customWidth="1"/>
    <col min="6" max="6" width="28.7109375" customWidth="1"/>
  </cols>
  <sheetData>
    <row r="1" spans="1:14" ht="15.75" x14ac:dyDescent="0.25">
      <c r="A1" s="2" t="s">
        <v>0</v>
      </c>
      <c r="B1" s="2" t="s">
        <v>97</v>
      </c>
    </row>
    <row r="2" spans="1:14" x14ac:dyDescent="0.25">
      <c r="A2" t="s">
        <v>1</v>
      </c>
      <c r="B2" t="s">
        <v>82</v>
      </c>
    </row>
    <row r="3" spans="1:14" x14ac:dyDescent="0.25">
      <c r="A3" t="s">
        <v>2</v>
      </c>
      <c r="B3" t="s">
        <v>3</v>
      </c>
    </row>
    <row r="4" spans="1:14" x14ac:dyDescent="0.25">
      <c r="A4" t="s">
        <v>4</v>
      </c>
      <c r="B4">
        <v>1</v>
      </c>
    </row>
    <row r="5" spans="1:14" x14ac:dyDescent="0.25">
      <c r="A5" t="s">
        <v>5</v>
      </c>
      <c r="B5" t="s">
        <v>17</v>
      </c>
    </row>
    <row r="6" spans="1:14" x14ac:dyDescent="0.25">
      <c r="A6" t="s">
        <v>6</v>
      </c>
      <c r="B6" t="s">
        <v>15</v>
      </c>
      <c r="F6" s="7"/>
    </row>
    <row r="7" spans="1:14" x14ac:dyDescent="0.25">
      <c r="A7" t="s">
        <v>57</v>
      </c>
      <c r="B7">
        <f>1-0.27</f>
        <v>0.73</v>
      </c>
    </row>
    <row r="8" spans="1:14" ht="15.75" x14ac:dyDescent="0.25">
      <c r="A8" s="2" t="s">
        <v>9</v>
      </c>
      <c r="B8" s="7"/>
    </row>
    <row r="9" spans="1:14" x14ac:dyDescent="0.25">
      <c r="A9" s="1" t="s">
        <v>10</v>
      </c>
      <c r="B9" s="1" t="s">
        <v>11</v>
      </c>
      <c r="C9" s="1" t="s">
        <v>6</v>
      </c>
      <c r="D9" s="1" t="s">
        <v>2</v>
      </c>
      <c r="E9" s="1" t="s">
        <v>12</v>
      </c>
      <c r="F9" s="1" t="s">
        <v>5</v>
      </c>
      <c r="G9" s="1" t="s">
        <v>69</v>
      </c>
      <c r="H9" s="1" t="s">
        <v>70</v>
      </c>
      <c r="I9" s="1" t="s">
        <v>71</v>
      </c>
      <c r="J9" s="1" t="s">
        <v>72</v>
      </c>
      <c r="K9" s="1" t="s">
        <v>73</v>
      </c>
    </row>
    <row r="10" spans="1:14" ht="15.75" x14ac:dyDescent="0.25">
      <c r="A10" s="4" t="str">
        <f>B1</f>
        <v>market for battery capacity, Li-ion, LFP, stationary</v>
      </c>
      <c r="B10">
        <v>1</v>
      </c>
      <c r="C10" t="str">
        <f>B6</f>
        <v>kilowatt hour</v>
      </c>
      <c r="D10" t="s">
        <v>3</v>
      </c>
      <c r="E10" t="s">
        <v>13</v>
      </c>
      <c r="F10" t="str">
        <f>B5</f>
        <v>battery capacity, Li-ion, LFP</v>
      </c>
    </row>
    <row r="11" spans="1:14" x14ac:dyDescent="0.25">
      <c r="A11" t="s">
        <v>18</v>
      </c>
      <c r="B11" s="7">
        <f>1/(0.16*(1-27%))</f>
        <v>8.5616438356164384</v>
      </c>
      <c r="C11" t="s">
        <v>7</v>
      </c>
      <c r="D11" t="s">
        <v>3</v>
      </c>
      <c r="E11" t="s">
        <v>14</v>
      </c>
      <c r="F11" t="s">
        <v>19</v>
      </c>
      <c r="G11">
        <v>5</v>
      </c>
      <c r="H11" s="7">
        <f>B11</f>
        <v>8.5616438356164384</v>
      </c>
      <c r="I11" s="7">
        <f>1/(0.19*(1-27%))</f>
        <v>7.2098053352559486</v>
      </c>
      <c r="J11" s="7">
        <f>1/(0.14*(1-27%))</f>
        <v>9.7847358121330714</v>
      </c>
    </row>
    <row r="12" spans="1:14" x14ac:dyDescent="0.25">
      <c r="A12" t="s">
        <v>63</v>
      </c>
      <c r="B12" s="7">
        <f>-1*B11</f>
        <v>-8.5616438356164384</v>
      </c>
      <c r="C12" t="s">
        <v>7</v>
      </c>
      <c r="D12" t="s">
        <v>3</v>
      </c>
      <c r="E12" t="s">
        <v>14</v>
      </c>
      <c r="F12" t="s">
        <v>64</v>
      </c>
      <c r="G12">
        <v>5</v>
      </c>
      <c r="H12" s="7">
        <f>B12</f>
        <v>-8.5616438356164384</v>
      </c>
      <c r="I12" s="7">
        <f>-1/(0.14*(1-27%))</f>
        <v>-9.7847358121330714</v>
      </c>
      <c r="J12" s="7">
        <f>-1/(0.19*(1-27%))</f>
        <v>-7.2098053352559486</v>
      </c>
      <c r="K12" t="b">
        <v>1</v>
      </c>
      <c r="M12" s="7"/>
      <c r="N12" s="7"/>
    </row>
    <row r="14" spans="1:14" ht="15.75" x14ac:dyDescent="0.25">
      <c r="A14" s="2" t="s">
        <v>0</v>
      </c>
      <c r="B14" s="2" t="s">
        <v>98</v>
      </c>
    </row>
    <row r="15" spans="1:14" x14ac:dyDescent="0.25">
      <c r="A15" t="s">
        <v>1</v>
      </c>
      <c r="B15" t="s">
        <v>83</v>
      </c>
    </row>
    <row r="16" spans="1:14" x14ac:dyDescent="0.25">
      <c r="A16" t="s">
        <v>2</v>
      </c>
      <c r="B16" t="s">
        <v>3</v>
      </c>
    </row>
    <row r="17" spans="1:14" x14ac:dyDescent="0.25">
      <c r="A17" t="s">
        <v>4</v>
      </c>
      <c r="B17">
        <v>1</v>
      </c>
    </row>
    <row r="18" spans="1:14" x14ac:dyDescent="0.25">
      <c r="A18" t="s">
        <v>5</v>
      </c>
      <c r="B18" t="s">
        <v>24</v>
      </c>
    </row>
    <row r="19" spans="1:14" x14ac:dyDescent="0.25">
      <c r="A19" t="s">
        <v>6</v>
      </c>
      <c r="B19" t="s">
        <v>15</v>
      </c>
    </row>
    <row r="20" spans="1:14" x14ac:dyDescent="0.25">
      <c r="A20" t="s">
        <v>57</v>
      </c>
      <c r="B20">
        <f>1-0.27</f>
        <v>0.73</v>
      </c>
    </row>
    <row r="21" spans="1:14" ht="15.75" x14ac:dyDescent="0.25">
      <c r="A21" s="2" t="s">
        <v>9</v>
      </c>
      <c r="B21" s="3"/>
    </row>
    <row r="22" spans="1:14" x14ac:dyDescent="0.25">
      <c r="A22" s="1" t="s">
        <v>10</v>
      </c>
      <c r="B22" s="1" t="s">
        <v>11</v>
      </c>
      <c r="C22" s="1" t="s">
        <v>6</v>
      </c>
      <c r="D22" s="1" t="s">
        <v>2</v>
      </c>
      <c r="E22" s="1" t="s">
        <v>12</v>
      </c>
      <c r="F22" s="1" t="s">
        <v>5</v>
      </c>
      <c r="G22" s="1" t="s">
        <v>69</v>
      </c>
      <c r="H22" s="1" t="s">
        <v>70</v>
      </c>
      <c r="I22" s="1" t="s">
        <v>71</v>
      </c>
      <c r="J22" s="1" t="s">
        <v>72</v>
      </c>
      <c r="K22" s="1" t="s">
        <v>73</v>
      </c>
    </row>
    <row r="23" spans="1:14" ht="15.75" x14ac:dyDescent="0.25">
      <c r="A23" s="4" t="str">
        <f>B14</f>
        <v>market for battery capacity, Li-ion, NMC111, stationary</v>
      </c>
      <c r="B23">
        <v>1</v>
      </c>
      <c r="C23" t="str">
        <f>B19</f>
        <v>kilowatt hour</v>
      </c>
      <c r="D23" t="s">
        <v>3</v>
      </c>
      <c r="E23" t="s">
        <v>13</v>
      </c>
      <c r="F23" t="str">
        <f>B18</f>
        <v>battery capacity, Li-ion, NMC111</v>
      </c>
    </row>
    <row r="24" spans="1:14" x14ac:dyDescent="0.25">
      <c r="A24" t="s">
        <v>21</v>
      </c>
      <c r="B24" s="3">
        <f>1/(0.18*73%)</f>
        <v>7.6103500761035017</v>
      </c>
      <c r="C24" t="s">
        <v>7</v>
      </c>
      <c r="D24" t="s">
        <v>3</v>
      </c>
      <c r="E24" t="s">
        <v>14</v>
      </c>
      <c r="F24" t="s">
        <v>22</v>
      </c>
      <c r="G24">
        <v>5</v>
      </c>
      <c r="H24" s="7">
        <f>B24</f>
        <v>7.6103500761035017</v>
      </c>
      <c r="I24" s="7">
        <f>1/(0.19*73%)</f>
        <v>7.2098053352559486</v>
      </c>
      <c r="J24" s="7">
        <f>1/(0.14*73%)</f>
        <v>9.7847358121330714</v>
      </c>
    </row>
    <row r="25" spans="1:14" x14ac:dyDescent="0.25">
      <c r="A25" t="s">
        <v>63</v>
      </c>
      <c r="B25" s="3">
        <f>-1*B24</f>
        <v>-7.6103500761035017</v>
      </c>
      <c r="C25" t="s">
        <v>7</v>
      </c>
      <c r="D25" t="s">
        <v>3</v>
      </c>
      <c r="E25" t="s">
        <v>14</v>
      </c>
      <c r="F25" t="s">
        <v>64</v>
      </c>
      <c r="G25">
        <v>5</v>
      </c>
      <c r="H25" s="7">
        <f>B25</f>
        <v>-7.6103500761035017</v>
      </c>
      <c r="I25" s="7">
        <f>-1/(0.14*(1-27%))</f>
        <v>-9.7847358121330714</v>
      </c>
      <c r="J25" s="7">
        <f>-1/(0.19*73%)</f>
        <v>-7.2098053352559486</v>
      </c>
      <c r="K25" t="b">
        <v>1</v>
      </c>
      <c r="M25" s="7"/>
      <c r="N25" s="7"/>
    </row>
    <row r="27" spans="1:14" ht="15.75" x14ac:dyDescent="0.25">
      <c r="A27" s="2" t="s">
        <v>0</v>
      </c>
      <c r="B27" s="2" t="s">
        <v>99</v>
      </c>
    </row>
    <row r="28" spans="1:14" x14ac:dyDescent="0.25">
      <c r="A28" t="s">
        <v>1</v>
      </c>
      <c r="B28" t="s">
        <v>84</v>
      </c>
    </row>
    <row r="29" spans="1:14" x14ac:dyDescent="0.25">
      <c r="A29" t="s">
        <v>2</v>
      </c>
      <c r="B29" t="s">
        <v>3</v>
      </c>
    </row>
    <row r="30" spans="1:14" x14ac:dyDescent="0.25">
      <c r="A30" t="s">
        <v>4</v>
      </c>
      <c r="B30">
        <v>1</v>
      </c>
    </row>
    <row r="31" spans="1:14" x14ac:dyDescent="0.25">
      <c r="A31" t="s">
        <v>5</v>
      </c>
      <c r="B31" t="s">
        <v>75</v>
      </c>
    </row>
    <row r="32" spans="1:14" x14ac:dyDescent="0.25">
      <c r="A32" t="s">
        <v>6</v>
      </c>
      <c r="B32" t="s">
        <v>15</v>
      </c>
    </row>
    <row r="33" spans="1:14" x14ac:dyDescent="0.25">
      <c r="A33" t="s">
        <v>57</v>
      </c>
      <c r="B33">
        <f>1-0.27</f>
        <v>0.73</v>
      </c>
    </row>
    <row r="34" spans="1:14" ht="15.75" x14ac:dyDescent="0.25">
      <c r="A34" s="2" t="s">
        <v>9</v>
      </c>
      <c r="B34" s="3"/>
    </row>
    <row r="35" spans="1:14" x14ac:dyDescent="0.25">
      <c r="A35" s="1" t="s">
        <v>10</v>
      </c>
      <c r="B35" s="1" t="s">
        <v>11</v>
      </c>
      <c r="C35" s="1" t="s">
        <v>6</v>
      </c>
      <c r="D35" s="1" t="s">
        <v>2</v>
      </c>
      <c r="E35" s="1" t="s">
        <v>12</v>
      </c>
      <c r="F35" s="1" t="s">
        <v>5</v>
      </c>
      <c r="G35" s="1" t="s">
        <v>69</v>
      </c>
      <c r="H35" s="1" t="s">
        <v>70</v>
      </c>
      <c r="I35" s="1" t="s">
        <v>71</v>
      </c>
      <c r="J35" s="1" t="s">
        <v>72</v>
      </c>
      <c r="K35" s="1" t="s">
        <v>73</v>
      </c>
    </row>
    <row r="36" spans="1:14" ht="15.75" x14ac:dyDescent="0.25">
      <c r="A36" s="4" t="str">
        <f>B27</f>
        <v>market for battery capacity, Li-ion, NMC523, stationary</v>
      </c>
      <c r="B36">
        <v>1</v>
      </c>
      <c r="C36" t="str">
        <f>B32</f>
        <v>kilowatt hour</v>
      </c>
      <c r="D36" t="s">
        <v>3</v>
      </c>
      <c r="E36" t="s">
        <v>13</v>
      </c>
      <c r="F36" t="str">
        <f>B31</f>
        <v>battery capacity, Li-ion, NMC523</v>
      </c>
    </row>
    <row r="37" spans="1:14" x14ac:dyDescent="0.25">
      <c r="A37" t="s">
        <v>76</v>
      </c>
      <c r="B37" s="3">
        <f>1/(0.2*73%)</f>
        <v>6.8493150684931514</v>
      </c>
      <c r="C37" t="s">
        <v>7</v>
      </c>
      <c r="D37" t="s">
        <v>3</v>
      </c>
      <c r="E37" t="s">
        <v>14</v>
      </c>
      <c r="F37" t="s">
        <v>77</v>
      </c>
      <c r="G37">
        <v>5</v>
      </c>
      <c r="H37" s="7">
        <f>B37</f>
        <v>6.8493150684931514</v>
      </c>
      <c r="I37" s="3">
        <f>1/(0.22*73%)</f>
        <v>6.2266500622665006</v>
      </c>
      <c r="J37" s="3">
        <f>1/(0.17*73%)</f>
        <v>8.058017727639001</v>
      </c>
    </row>
    <row r="38" spans="1:14" x14ac:dyDescent="0.25">
      <c r="A38" t="s">
        <v>63</v>
      </c>
      <c r="B38" s="3">
        <f>-1*B37</f>
        <v>-6.8493150684931514</v>
      </c>
      <c r="C38" t="s">
        <v>7</v>
      </c>
      <c r="D38" t="s">
        <v>3</v>
      </c>
      <c r="E38" t="s">
        <v>14</v>
      </c>
      <c r="F38" t="s">
        <v>64</v>
      </c>
      <c r="G38">
        <v>5</v>
      </c>
      <c r="H38" s="7">
        <f>B38</f>
        <v>-6.8493150684931514</v>
      </c>
      <c r="I38" s="3">
        <f>-1/(0.17*73%)</f>
        <v>-8.058017727639001</v>
      </c>
      <c r="J38" s="3">
        <f>-1/(0.22*73%)</f>
        <v>-6.2266500622665006</v>
      </c>
      <c r="K38" t="b">
        <v>1</v>
      </c>
      <c r="M38" s="3"/>
      <c r="N38" s="3"/>
    </row>
    <row r="40" spans="1:14" ht="15.75" x14ac:dyDescent="0.25">
      <c r="A40" s="2" t="s">
        <v>0</v>
      </c>
      <c r="B40" s="2" t="s">
        <v>100</v>
      </c>
    </row>
    <row r="41" spans="1:14" x14ac:dyDescent="0.25">
      <c r="A41" t="s">
        <v>1</v>
      </c>
      <c r="B41" t="s">
        <v>85</v>
      </c>
    </row>
    <row r="42" spans="1:14" x14ac:dyDescent="0.25">
      <c r="A42" t="s">
        <v>2</v>
      </c>
      <c r="B42" t="s">
        <v>3</v>
      </c>
    </row>
    <row r="43" spans="1:14" x14ac:dyDescent="0.25">
      <c r="A43" t="s">
        <v>4</v>
      </c>
      <c r="B43">
        <v>1</v>
      </c>
    </row>
    <row r="44" spans="1:14" x14ac:dyDescent="0.25">
      <c r="A44" t="s">
        <v>5</v>
      </c>
      <c r="B44" t="s">
        <v>25</v>
      </c>
      <c r="E44" s="3"/>
    </row>
    <row r="45" spans="1:14" x14ac:dyDescent="0.25">
      <c r="A45" t="s">
        <v>6</v>
      </c>
      <c r="B45" t="s">
        <v>15</v>
      </c>
      <c r="E45" s="3"/>
    </row>
    <row r="46" spans="1:14" x14ac:dyDescent="0.25">
      <c r="A46" t="s">
        <v>57</v>
      </c>
      <c r="B46">
        <f>1-0.27</f>
        <v>0.73</v>
      </c>
    </row>
    <row r="47" spans="1:14" ht="15.75" x14ac:dyDescent="0.25">
      <c r="A47" s="2" t="s">
        <v>9</v>
      </c>
      <c r="B47" s="3"/>
    </row>
    <row r="48" spans="1:14" x14ac:dyDescent="0.25">
      <c r="A48" s="1" t="s">
        <v>10</v>
      </c>
      <c r="B48" s="1" t="s">
        <v>11</v>
      </c>
      <c r="C48" s="1" t="s">
        <v>6</v>
      </c>
      <c r="D48" s="1" t="s">
        <v>2</v>
      </c>
      <c r="E48" s="1" t="s">
        <v>12</v>
      </c>
      <c r="F48" s="1" t="s">
        <v>5</v>
      </c>
      <c r="G48" s="1" t="s">
        <v>69</v>
      </c>
      <c r="H48" s="1" t="s">
        <v>70</v>
      </c>
      <c r="I48" s="1" t="s">
        <v>71</v>
      </c>
      <c r="J48" s="1" t="s">
        <v>72</v>
      </c>
      <c r="K48" s="1" t="s">
        <v>73</v>
      </c>
    </row>
    <row r="49" spans="1:14" ht="15.75" x14ac:dyDescent="0.25">
      <c r="A49" s="4" t="str">
        <f>B40</f>
        <v>market for battery capacity, Li-ion, NMC622, stationary</v>
      </c>
      <c r="B49">
        <v>1</v>
      </c>
      <c r="C49" t="str">
        <f>B45</f>
        <v>kilowatt hour</v>
      </c>
      <c r="D49" t="s">
        <v>3</v>
      </c>
      <c r="E49" t="s">
        <v>13</v>
      </c>
      <c r="F49" t="str">
        <f>B44</f>
        <v>battery capacity, Li-ion, NMC622</v>
      </c>
    </row>
    <row r="50" spans="1:14" x14ac:dyDescent="0.25">
      <c r="A50" t="s">
        <v>29</v>
      </c>
      <c r="B50" s="3">
        <f>1/(0.24*73%)</f>
        <v>5.7077625570776256</v>
      </c>
      <c r="C50" t="s">
        <v>7</v>
      </c>
      <c r="D50" t="s">
        <v>3</v>
      </c>
      <c r="E50" t="s">
        <v>14</v>
      </c>
      <c r="F50" t="s">
        <v>30</v>
      </c>
      <c r="G50">
        <v>5</v>
      </c>
      <c r="H50" s="7">
        <f>B50</f>
        <v>5.7077625570776256</v>
      </c>
      <c r="I50" s="3">
        <f>1/(0.28*73%)</f>
        <v>4.8923679060665357</v>
      </c>
      <c r="J50" s="3">
        <f>1/(0.2*73%)</f>
        <v>6.8493150684931514</v>
      </c>
    </row>
    <row r="51" spans="1:14" x14ac:dyDescent="0.25">
      <c r="A51" t="s">
        <v>63</v>
      </c>
      <c r="B51" s="3">
        <f>-1*B50</f>
        <v>-5.7077625570776256</v>
      </c>
      <c r="C51" t="s">
        <v>7</v>
      </c>
      <c r="D51" t="s">
        <v>3</v>
      </c>
      <c r="E51" t="s">
        <v>14</v>
      </c>
      <c r="F51" t="s">
        <v>64</v>
      </c>
      <c r="G51">
        <v>5</v>
      </c>
      <c r="H51" s="7">
        <f>B51</f>
        <v>-5.7077625570776256</v>
      </c>
      <c r="I51" s="3">
        <f>-1/(0.2*73%)</f>
        <v>-6.8493150684931514</v>
      </c>
      <c r="J51" s="3">
        <f>-1/(0.28*73%)</f>
        <v>-4.8923679060665357</v>
      </c>
      <c r="K51" t="b">
        <v>1</v>
      </c>
      <c r="M51" s="3"/>
      <c r="N51" s="3"/>
    </row>
    <row r="53" spans="1:14" ht="15.75" x14ac:dyDescent="0.25">
      <c r="A53" s="2" t="s">
        <v>0</v>
      </c>
      <c r="B53" s="2" t="s">
        <v>101</v>
      </c>
    </row>
    <row r="54" spans="1:14" x14ac:dyDescent="0.25">
      <c r="A54" t="s">
        <v>1</v>
      </c>
      <c r="B54" t="s">
        <v>86</v>
      </c>
    </row>
    <row r="55" spans="1:14" x14ac:dyDescent="0.25">
      <c r="A55" t="s">
        <v>2</v>
      </c>
      <c r="B55" t="s">
        <v>3</v>
      </c>
    </row>
    <row r="56" spans="1:14" x14ac:dyDescent="0.25">
      <c r="A56" t="s">
        <v>4</v>
      </c>
      <c r="B56">
        <v>1</v>
      </c>
    </row>
    <row r="57" spans="1:14" x14ac:dyDescent="0.25">
      <c r="A57" t="s">
        <v>5</v>
      </c>
      <c r="B57" t="s">
        <v>27</v>
      </c>
    </row>
    <row r="58" spans="1:14" x14ac:dyDescent="0.25">
      <c r="A58" t="s">
        <v>6</v>
      </c>
      <c r="B58" t="s">
        <v>15</v>
      </c>
      <c r="E58" s="3"/>
    </row>
    <row r="59" spans="1:14" x14ac:dyDescent="0.25">
      <c r="A59" t="s">
        <v>57</v>
      </c>
    </row>
    <row r="60" spans="1:14" ht="15.75" x14ac:dyDescent="0.25">
      <c r="A60" s="2" t="s">
        <v>9</v>
      </c>
      <c r="B60" s="3">
        <f>(0.28*71%)</f>
        <v>0.1988</v>
      </c>
    </row>
    <row r="61" spans="1:14" x14ac:dyDescent="0.25">
      <c r="A61" s="1" t="s">
        <v>10</v>
      </c>
      <c r="B61" s="1" t="s">
        <v>11</v>
      </c>
      <c r="C61" s="1" t="s">
        <v>6</v>
      </c>
      <c r="D61" s="1" t="s">
        <v>2</v>
      </c>
      <c r="E61" s="1" t="s">
        <v>12</v>
      </c>
      <c r="F61" s="1" t="s">
        <v>5</v>
      </c>
      <c r="G61" s="1" t="s">
        <v>69</v>
      </c>
      <c r="H61" s="1" t="s">
        <v>70</v>
      </c>
      <c r="I61" s="1" t="s">
        <v>71</v>
      </c>
      <c r="J61" s="1" t="s">
        <v>72</v>
      </c>
      <c r="K61" s="1" t="s">
        <v>73</v>
      </c>
    </row>
    <row r="62" spans="1:14" ht="15.75" x14ac:dyDescent="0.25">
      <c r="A62" s="4" t="str">
        <f>B53</f>
        <v>market for battery capacity, Li-ion, NMC811, stationary</v>
      </c>
      <c r="B62">
        <v>1</v>
      </c>
      <c r="C62" t="str">
        <f>B58</f>
        <v>kilowatt hour</v>
      </c>
      <c r="D62" t="s">
        <v>3</v>
      </c>
      <c r="E62" t="s">
        <v>13</v>
      </c>
      <c r="F62" t="str">
        <f>B57</f>
        <v>battery capacity, Li-ion, NMC811</v>
      </c>
    </row>
    <row r="63" spans="1:14" x14ac:dyDescent="0.25">
      <c r="A63" t="s">
        <v>28</v>
      </c>
      <c r="B63" s="3">
        <f>1/(0.28*71%)</f>
        <v>5.0301810865191143</v>
      </c>
      <c r="C63" t="s">
        <v>7</v>
      </c>
      <c r="D63" t="s">
        <v>3</v>
      </c>
      <c r="E63" t="s">
        <v>14</v>
      </c>
      <c r="F63" t="s">
        <v>55</v>
      </c>
      <c r="G63">
        <v>5</v>
      </c>
      <c r="H63" s="7">
        <f>B63</f>
        <v>5.0301810865191143</v>
      </c>
      <c r="I63" s="3">
        <f>1/(0.34*71%)</f>
        <v>4.1425020712510356</v>
      </c>
      <c r="J63" s="3">
        <f>1/(0.24*71%)</f>
        <v>5.868544600938967</v>
      </c>
    </row>
    <row r="64" spans="1:14" x14ac:dyDescent="0.25">
      <c r="A64" t="s">
        <v>63</v>
      </c>
      <c r="B64" s="3">
        <f>-1*B63</f>
        <v>-5.0301810865191143</v>
      </c>
      <c r="C64" t="s">
        <v>7</v>
      </c>
      <c r="D64" t="s">
        <v>3</v>
      </c>
      <c r="E64" t="s">
        <v>14</v>
      </c>
      <c r="F64" t="s">
        <v>64</v>
      </c>
      <c r="G64">
        <v>5</v>
      </c>
      <c r="H64" s="7">
        <f>B64</f>
        <v>-5.0301810865191143</v>
      </c>
      <c r="I64" s="3">
        <f>-1/(0.24*71%)</f>
        <v>-5.868544600938967</v>
      </c>
      <c r="J64" s="3">
        <f>-1/(0.34*71%)</f>
        <v>-4.1425020712510356</v>
      </c>
      <c r="K64" t="b">
        <v>1</v>
      </c>
      <c r="M64" s="3"/>
      <c r="N64" s="3"/>
    </row>
    <row r="66" spans="1:14" ht="15.75" x14ac:dyDescent="0.25">
      <c r="A66" s="2" t="s">
        <v>0</v>
      </c>
      <c r="B66" s="2" t="s">
        <v>102</v>
      </c>
    </row>
    <row r="67" spans="1:14" x14ac:dyDescent="0.25">
      <c r="A67" t="s">
        <v>1</v>
      </c>
      <c r="B67" t="s">
        <v>90</v>
      </c>
    </row>
    <row r="68" spans="1:14" x14ac:dyDescent="0.25">
      <c r="A68" t="s">
        <v>2</v>
      </c>
      <c r="B68" t="s">
        <v>3</v>
      </c>
    </row>
    <row r="69" spans="1:14" x14ac:dyDescent="0.25">
      <c r="A69" t="s">
        <v>4</v>
      </c>
      <c r="B69">
        <v>1</v>
      </c>
    </row>
    <row r="70" spans="1:14" x14ac:dyDescent="0.25">
      <c r="A70" t="s">
        <v>5</v>
      </c>
      <c r="B70" t="s">
        <v>79</v>
      </c>
    </row>
    <row r="71" spans="1:14" x14ac:dyDescent="0.25">
      <c r="A71" t="s">
        <v>6</v>
      </c>
      <c r="B71" t="s">
        <v>15</v>
      </c>
      <c r="E71" s="3"/>
    </row>
    <row r="72" spans="1:14" x14ac:dyDescent="0.25">
      <c r="A72" t="s">
        <v>57</v>
      </c>
      <c r="B72">
        <f>1-0.29</f>
        <v>0.71</v>
      </c>
    </row>
    <row r="73" spans="1:14" ht="15.75" x14ac:dyDescent="0.25">
      <c r="A73" s="2" t="s">
        <v>9</v>
      </c>
    </row>
    <row r="74" spans="1:14" x14ac:dyDescent="0.25">
      <c r="A74" s="1" t="s">
        <v>10</v>
      </c>
      <c r="B74" s="1" t="s">
        <v>11</v>
      </c>
      <c r="C74" s="1" t="s">
        <v>6</v>
      </c>
      <c r="D74" s="1" t="s">
        <v>2</v>
      </c>
      <c r="E74" s="1" t="s">
        <v>12</v>
      </c>
      <c r="F74" s="1" t="s">
        <v>5</v>
      </c>
      <c r="G74" s="1" t="s">
        <v>69</v>
      </c>
      <c r="H74" s="1" t="s">
        <v>70</v>
      </c>
      <c r="I74" s="1" t="s">
        <v>71</v>
      </c>
      <c r="J74" s="1" t="s">
        <v>72</v>
      </c>
      <c r="K74" s="1" t="s">
        <v>73</v>
      </c>
    </row>
    <row r="75" spans="1:14" ht="15.75" x14ac:dyDescent="0.25">
      <c r="A75" s="4" t="str">
        <f>B66</f>
        <v>market for battery capacity, Li-ion, NMC955, stationary</v>
      </c>
      <c r="B75">
        <v>1</v>
      </c>
      <c r="C75" t="str">
        <f>B71</f>
        <v>kilowatt hour</v>
      </c>
      <c r="D75" t="s">
        <v>3</v>
      </c>
      <c r="E75" t="s">
        <v>13</v>
      </c>
      <c r="F75" t="str">
        <f>B70</f>
        <v>battery capacity, Li-ion, NMC955</v>
      </c>
    </row>
    <row r="76" spans="1:14" x14ac:dyDescent="0.25">
      <c r="A76" t="s">
        <v>80</v>
      </c>
      <c r="B76" s="3">
        <f>1/(0.34*71%)</f>
        <v>4.1425020712510356</v>
      </c>
      <c r="C76" t="s">
        <v>7</v>
      </c>
      <c r="D76" t="s">
        <v>3</v>
      </c>
      <c r="E76" t="s">
        <v>14</v>
      </c>
      <c r="F76" t="s">
        <v>81</v>
      </c>
      <c r="G76">
        <v>5</v>
      </c>
      <c r="H76" s="7">
        <f>B76</f>
        <v>4.1425020712510356</v>
      </c>
      <c r="I76" s="3">
        <f>1/(0.38*71%)</f>
        <v>3.7064492216456637</v>
      </c>
      <c r="J76" s="3">
        <f>1/(0.3*71%)</f>
        <v>4.694835680751174</v>
      </c>
    </row>
    <row r="77" spans="1:14" x14ac:dyDescent="0.25">
      <c r="A77" t="s">
        <v>63</v>
      </c>
      <c r="B77" s="3">
        <f>-1*B76</f>
        <v>-4.1425020712510356</v>
      </c>
      <c r="C77" t="s">
        <v>7</v>
      </c>
      <c r="D77" t="s">
        <v>3</v>
      </c>
      <c r="E77" t="s">
        <v>14</v>
      </c>
      <c r="F77" t="s">
        <v>64</v>
      </c>
      <c r="G77">
        <v>5</v>
      </c>
      <c r="H77" s="7">
        <f>B77</f>
        <v>-4.1425020712510356</v>
      </c>
      <c r="I77" s="3">
        <f>-1/(0.3*71%)</f>
        <v>-4.694835680751174</v>
      </c>
      <c r="J77" s="3">
        <f>-1/(0.38*71%)</f>
        <v>-3.7064492216456637</v>
      </c>
      <c r="K77" t="b">
        <v>1</v>
      </c>
      <c r="M77" s="3"/>
      <c r="N77" s="3"/>
    </row>
    <row r="80" spans="1:14" ht="15.75" x14ac:dyDescent="0.25">
      <c r="A80" s="2" t="s">
        <v>0</v>
      </c>
      <c r="B80" s="2" t="s">
        <v>121</v>
      </c>
    </row>
    <row r="81" spans="1:11" x14ac:dyDescent="0.25">
      <c r="A81" t="s">
        <v>1</v>
      </c>
      <c r="B81" t="s">
        <v>107</v>
      </c>
    </row>
    <row r="82" spans="1:11" x14ac:dyDescent="0.25">
      <c r="A82" t="s">
        <v>2</v>
      </c>
      <c r="B82" t="s">
        <v>3</v>
      </c>
    </row>
    <row r="83" spans="1:11" x14ac:dyDescent="0.25">
      <c r="A83" t="s">
        <v>4</v>
      </c>
      <c r="B83">
        <v>1</v>
      </c>
    </row>
    <row r="84" spans="1:11" x14ac:dyDescent="0.25">
      <c r="A84" t="s">
        <v>5</v>
      </c>
      <c r="B84" t="s">
        <v>123</v>
      </c>
      <c r="E84" s="3"/>
    </row>
    <row r="85" spans="1:11" x14ac:dyDescent="0.25">
      <c r="A85" t="s">
        <v>6</v>
      </c>
      <c r="B85" t="s">
        <v>15</v>
      </c>
    </row>
    <row r="86" spans="1:11" x14ac:dyDescent="0.25">
      <c r="A86" t="s">
        <v>57</v>
      </c>
      <c r="B86">
        <v>1</v>
      </c>
    </row>
    <row r="87" spans="1:11" ht="15.75" x14ac:dyDescent="0.25">
      <c r="A87" s="2" t="s">
        <v>9</v>
      </c>
    </row>
    <row r="88" spans="1:11" x14ac:dyDescent="0.25">
      <c r="A88" s="1" t="s">
        <v>10</v>
      </c>
      <c r="B88" s="1" t="s">
        <v>11</v>
      </c>
      <c r="C88" s="1" t="s">
        <v>6</v>
      </c>
      <c r="D88" s="1" t="s">
        <v>2</v>
      </c>
      <c r="E88" s="1" t="s">
        <v>12</v>
      </c>
      <c r="F88" s="1" t="s">
        <v>5</v>
      </c>
      <c r="G88" s="1" t="s">
        <v>69</v>
      </c>
      <c r="H88" s="1" t="s">
        <v>70</v>
      </c>
      <c r="I88" s="1" t="s">
        <v>71</v>
      </c>
      <c r="J88" s="1" t="s">
        <v>72</v>
      </c>
      <c r="K88" s="1" t="s">
        <v>73</v>
      </c>
    </row>
    <row r="89" spans="1:11" ht="15.75" x14ac:dyDescent="0.25">
      <c r="A89" s="4" t="str">
        <f>B80</f>
        <v>market for battery capacity, redox-flow, Vanadium, stationary</v>
      </c>
      <c r="B89">
        <v>1</v>
      </c>
      <c r="C89" t="str">
        <f>B85</f>
        <v>kilowatt hour</v>
      </c>
      <c r="D89" t="s">
        <v>3</v>
      </c>
      <c r="E89" t="s">
        <v>13</v>
      </c>
      <c r="F89" t="str">
        <f>B84</f>
        <v>battery capacity, redox-flow, Vanadium</v>
      </c>
    </row>
    <row r="90" spans="1:11" x14ac:dyDescent="0.25">
      <c r="A90" t="s">
        <v>104</v>
      </c>
      <c r="B90" s="3">
        <f>1/(0.0194)</f>
        <v>51.546391752577321</v>
      </c>
      <c r="C90" t="s">
        <v>7</v>
      </c>
      <c r="D90" t="s">
        <v>3</v>
      </c>
      <c r="E90" t="s">
        <v>14</v>
      </c>
      <c r="F90" t="s">
        <v>118</v>
      </c>
      <c r="G90">
        <v>5</v>
      </c>
      <c r="H90" s="7">
        <f>B90</f>
        <v>51.546391752577321</v>
      </c>
      <c r="I90" s="3">
        <f>1/(0.02)</f>
        <v>50</v>
      </c>
      <c r="J90" s="3">
        <f>1/(0.06)</f>
        <v>16.666666666666668</v>
      </c>
    </row>
    <row r="91" spans="1:11" x14ac:dyDescent="0.25">
      <c r="A91" t="s">
        <v>105</v>
      </c>
      <c r="B91" s="3">
        <f>-1*B90</f>
        <v>-51.546391752577321</v>
      </c>
      <c r="C91" t="s">
        <v>7</v>
      </c>
      <c r="D91" t="s">
        <v>3</v>
      </c>
      <c r="E91" t="s">
        <v>14</v>
      </c>
      <c r="F91" t="s">
        <v>106</v>
      </c>
      <c r="G91">
        <v>5</v>
      </c>
      <c r="H91" s="7">
        <f>B91</f>
        <v>-51.546391752577321</v>
      </c>
      <c r="I91" s="3">
        <f>-1/(0.06)</f>
        <v>-16.666666666666668</v>
      </c>
      <c r="J91" s="3">
        <f>-1/(0.02)</f>
        <v>-50</v>
      </c>
      <c r="K91" t="b">
        <v>1</v>
      </c>
    </row>
    <row r="92" spans="1:11" x14ac:dyDescent="0.25">
      <c r="B92" s="3"/>
      <c r="H92" s="7"/>
      <c r="I92" s="3"/>
      <c r="J92" s="3"/>
    </row>
    <row r="93" spans="1:11" x14ac:dyDescent="0.25">
      <c r="B93" s="3"/>
      <c r="H93" s="7"/>
      <c r="I93" s="3"/>
      <c r="J93" s="3"/>
    </row>
    <row r="94" spans="1:11" ht="15.75" x14ac:dyDescent="0.25">
      <c r="A94" s="2" t="s">
        <v>0</v>
      </c>
      <c r="B94" s="2" t="s">
        <v>108</v>
      </c>
    </row>
    <row r="95" spans="1:11" x14ac:dyDescent="0.25">
      <c r="A95" t="s">
        <v>1</v>
      </c>
      <c r="B95" t="s">
        <v>114</v>
      </c>
    </row>
    <row r="96" spans="1:11" x14ac:dyDescent="0.25">
      <c r="A96" t="s">
        <v>2</v>
      </c>
      <c r="B96" t="s">
        <v>3</v>
      </c>
    </row>
    <row r="97" spans="1:11" x14ac:dyDescent="0.25">
      <c r="A97" t="s">
        <v>4</v>
      </c>
      <c r="B97">
        <v>1</v>
      </c>
    </row>
    <row r="98" spans="1:11" x14ac:dyDescent="0.25">
      <c r="A98" t="s">
        <v>5</v>
      </c>
      <c r="B98" t="s">
        <v>109</v>
      </c>
      <c r="E98" s="3"/>
    </row>
    <row r="99" spans="1:11" x14ac:dyDescent="0.25">
      <c r="A99" t="s">
        <v>6</v>
      </c>
      <c r="B99" t="s">
        <v>15</v>
      </c>
    </row>
    <row r="100" spans="1:11" x14ac:dyDescent="0.25">
      <c r="A100" t="s">
        <v>57</v>
      </c>
      <c r="B100">
        <v>1</v>
      </c>
    </row>
    <row r="101" spans="1:11" ht="15.75" x14ac:dyDescent="0.25">
      <c r="A101" s="2" t="s">
        <v>9</v>
      </c>
    </row>
    <row r="102" spans="1:11" x14ac:dyDescent="0.25">
      <c r="A102" s="1" t="s">
        <v>10</v>
      </c>
      <c r="B102" s="1" t="s">
        <v>11</v>
      </c>
      <c r="C102" s="1" t="s">
        <v>6</v>
      </c>
      <c r="D102" s="1" t="s">
        <v>2</v>
      </c>
      <c r="E102" s="1" t="s">
        <v>12</v>
      </c>
      <c r="F102" s="1" t="s">
        <v>5</v>
      </c>
      <c r="G102" s="1" t="s">
        <v>69</v>
      </c>
      <c r="H102" s="1" t="s">
        <v>70</v>
      </c>
      <c r="I102" s="1" t="s">
        <v>71</v>
      </c>
      <c r="J102" s="1" t="s">
        <v>72</v>
      </c>
      <c r="K102" s="1" t="s">
        <v>73</v>
      </c>
    </row>
    <row r="103" spans="1:11" ht="15.75" x14ac:dyDescent="0.25">
      <c r="A103" s="4" t="str">
        <f>B94</f>
        <v>market for battery capacity, lead acid, rechargeable, stationary</v>
      </c>
      <c r="B103">
        <v>1</v>
      </c>
      <c r="C103" t="str">
        <f>B99</f>
        <v>kilowatt hour</v>
      </c>
      <c r="D103" t="s">
        <v>3</v>
      </c>
      <c r="E103" t="s">
        <v>13</v>
      </c>
      <c r="F103" t="str">
        <f>B98</f>
        <v>battery capacity, lead acid</v>
      </c>
    </row>
    <row r="104" spans="1:11" x14ac:dyDescent="0.25">
      <c r="A104" t="s">
        <v>110</v>
      </c>
      <c r="B104" s="3">
        <f>1/0.03</f>
        <v>33.333333333333336</v>
      </c>
      <c r="C104" t="s">
        <v>7</v>
      </c>
      <c r="D104" t="s">
        <v>3</v>
      </c>
      <c r="E104" t="s">
        <v>14</v>
      </c>
      <c r="F104" t="s">
        <v>111</v>
      </c>
      <c r="G104">
        <v>5</v>
      </c>
      <c r="H104" s="7">
        <f>B104</f>
        <v>33.333333333333336</v>
      </c>
      <c r="I104" s="3">
        <f>1/(0.027)</f>
        <v>37.037037037037038</v>
      </c>
      <c r="J104" s="3">
        <f>1/(0.032)</f>
        <v>31.25</v>
      </c>
    </row>
    <row r="105" spans="1:11" x14ac:dyDescent="0.25">
      <c r="A105" t="s">
        <v>112</v>
      </c>
      <c r="B105" s="3">
        <f>-1*B104</f>
        <v>-33.333333333333336</v>
      </c>
      <c r="C105" t="s">
        <v>7</v>
      </c>
      <c r="D105" t="s">
        <v>3</v>
      </c>
      <c r="E105" t="s">
        <v>14</v>
      </c>
      <c r="F105" t="s">
        <v>113</v>
      </c>
      <c r="G105">
        <v>5</v>
      </c>
      <c r="H105" s="7">
        <f>B105</f>
        <v>-33.333333333333336</v>
      </c>
      <c r="I105" s="3">
        <f>-J104</f>
        <v>-31.25</v>
      </c>
      <c r="J105" s="3">
        <f>-I104</f>
        <v>-37.037037037037038</v>
      </c>
      <c r="K105" t="b">
        <v>1</v>
      </c>
    </row>
    <row r="106" spans="1:11" x14ac:dyDescent="0.25">
      <c r="B106" s="3"/>
      <c r="H106" s="7"/>
      <c r="I106" s="3"/>
      <c r="J106" s="3"/>
    </row>
    <row r="108" spans="1:11" ht="15.75" x14ac:dyDescent="0.25">
      <c r="A108" s="2" t="s">
        <v>0</v>
      </c>
      <c r="B108" s="2" t="s">
        <v>103</v>
      </c>
    </row>
    <row r="109" spans="1:11" x14ac:dyDescent="0.25">
      <c r="A109" t="s">
        <v>1</v>
      </c>
      <c r="B109" t="s">
        <v>88</v>
      </c>
    </row>
    <row r="110" spans="1:11" x14ac:dyDescent="0.25">
      <c r="A110" t="s">
        <v>2</v>
      </c>
      <c r="B110" t="s">
        <v>3</v>
      </c>
    </row>
    <row r="111" spans="1:11" x14ac:dyDescent="0.25">
      <c r="A111" t="s">
        <v>4</v>
      </c>
      <c r="B111">
        <v>1</v>
      </c>
    </row>
    <row r="112" spans="1:11" x14ac:dyDescent="0.25">
      <c r="A112" t="s">
        <v>5</v>
      </c>
      <c r="B112" t="s">
        <v>49</v>
      </c>
      <c r="E112" s="3"/>
    </row>
    <row r="113" spans="1:14" x14ac:dyDescent="0.25">
      <c r="A113" t="s">
        <v>6</v>
      </c>
      <c r="B113" t="s">
        <v>15</v>
      </c>
    </row>
    <row r="114" spans="1:14" x14ac:dyDescent="0.25">
      <c r="A114" t="s">
        <v>57</v>
      </c>
      <c r="B114">
        <f>1-0.25</f>
        <v>0.75</v>
      </c>
    </row>
    <row r="115" spans="1:14" ht="15.75" x14ac:dyDescent="0.25">
      <c r="A115" s="2" t="s">
        <v>9</v>
      </c>
    </row>
    <row r="116" spans="1:14" x14ac:dyDescent="0.25">
      <c r="A116" s="1" t="s">
        <v>10</v>
      </c>
      <c r="B116" s="1" t="s">
        <v>11</v>
      </c>
      <c r="C116" s="1" t="s">
        <v>6</v>
      </c>
      <c r="D116" s="1" t="s">
        <v>2</v>
      </c>
      <c r="E116" s="1" t="s">
        <v>12</v>
      </c>
      <c r="F116" s="1" t="s">
        <v>5</v>
      </c>
      <c r="G116" s="1" t="s">
        <v>69</v>
      </c>
      <c r="H116" s="1" t="s">
        <v>70</v>
      </c>
      <c r="I116" s="1" t="s">
        <v>71</v>
      </c>
      <c r="J116" s="1" t="s">
        <v>72</v>
      </c>
      <c r="K116" s="1" t="s">
        <v>73</v>
      </c>
    </row>
    <row r="117" spans="1:14" ht="15.75" x14ac:dyDescent="0.25">
      <c r="A117" s="4" t="str">
        <f>B108</f>
        <v>market for battery capacity, Sodium-ion, SiB, stationary</v>
      </c>
      <c r="B117">
        <v>1</v>
      </c>
      <c r="C117" t="str">
        <f>B113</f>
        <v>kilowatt hour</v>
      </c>
      <c r="D117" t="s">
        <v>3</v>
      </c>
      <c r="E117" t="s">
        <v>13</v>
      </c>
      <c r="F117" t="str">
        <f>B112</f>
        <v>battery capacity, Sodium-ion, SiB</v>
      </c>
    </row>
    <row r="118" spans="1:14" x14ac:dyDescent="0.25">
      <c r="A118" t="s">
        <v>47</v>
      </c>
      <c r="B118" s="3">
        <f>1/(0.16*75%)</f>
        <v>8.3333333333333339</v>
      </c>
      <c r="C118" t="s">
        <v>7</v>
      </c>
      <c r="D118" t="s">
        <v>3</v>
      </c>
      <c r="E118" t="s">
        <v>14</v>
      </c>
      <c r="F118" t="s">
        <v>48</v>
      </c>
      <c r="G118">
        <v>5</v>
      </c>
      <c r="H118" s="7">
        <f>B118</f>
        <v>8.3333333333333339</v>
      </c>
      <c r="I118" s="3">
        <f>1/(0.22*75%)</f>
        <v>6.0606060606060606</v>
      </c>
      <c r="J118" s="3">
        <f>1/(0.16*75%)</f>
        <v>8.3333333333333339</v>
      </c>
    </row>
    <row r="119" spans="1:14" x14ac:dyDescent="0.25">
      <c r="A119" t="s">
        <v>63</v>
      </c>
      <c r="B119" s="3">
        <f>-1*B118</f>
        <v>-8.3333333333333339</v>
      </c>
      <c r="C119" t="s">
        <v>7</v>
      </c>
      <c r="D119" t="s">
        <v>3</v>
      </c>
      <c r="E119" t="s">
        <v>14</v>
      </c>
      <c r="F119" t="s">
        <v>64</v>
      </c>
      <c r="G119">
        <v>5</v>
      </c>
      <c r="H119" s="7">
        <f>B119</f>
        <v>-8.3333333333333339</v>
      </c>
      <c r="I119" s="3">
        <f>-1/(0.16*75%)</f>
        <v>-8.3333333333333339</v>
      </c>
      <c r="J119" s="3">
        <f>-1/(0.22*75%)</f>
        <v>-6.0606060606060606</v>
      </c>
      <c r="K119" t="b">
        <v>1</v>
      </c>
      <c r="M119" s="3"/>
      <c r="N119" s="3"/>
    </row>
    <row r="121" spans="1:14" ht="15.75" x14ac:dyDescent="0.25">
      <c r="A121" s="2" t="s">
        <v>0</v>
      </c>
      <c r="B121" s="2" t="s">
        <v>115</v>
      </c>
    </row>
    <row r="122" spans="1:14" x14ac:dyDescent="0.25">
      <c r="A122" t="s">
        <v>1</v>
      </c>
      <c r="B122" t="s">
        <v>54</v>
      </c>
    </row>
    <row r="123" spans="1:14" x14ac:dyDescent="0.25">
      <c r="A123" t="s">
        <v>2</v>
      </c>
      <c r="B123" t="s">
        <v>3</v>
      </c>
    </row>
    <row r="124" spans="1:14" x14ac:dyDescent="0.25">
      <c r="A124" t="s">
        <v>4</v>
      </c>
      <c r="B124">
        <v>1</v>
      </c>
    </row>
    <row r="125" spans="1:14" x14ac:dyDescent="0.25">
      <c r="A125" t="s">
        <v>5</v>
      </c>
      <c r="B125" t="s">
        <v>62</v>
      </c>
    </row>
    <row r="126" spans="1:14" x14ac:dyDescent="0.25">
      <c r="A126" t="s">
        <v>6</v>
      </c>
      <c r="B126" t="s">
        <v>15</v>
      </c>
    </row>
    <row r="127" spans="1:14" x14ac:dyDescent="0.25">
      <c r="A127" t="s">
        <v>8</v>
      </c>
      <c r="B127" t="s">
        <v>53</v>
      </c>
    </row>
    <row r="128" spans="1:14" x14ac:dyDescent="0.25">
      <c r="A128" s="1" t="s">
        <v>9</v>
      </c>
      <c r="B128" s="1"/>
      <c r="C128" s="1"/>
      <c r="D128" s="1"/>
      <c r="E128" s="1"/>
      <c r="F128" s="1"/>
      <c r="G128" s="1"/>
    </row>
    <row r="129" spans="1:11" x14ac:dyDescent="0.25">
      <c r="A129" s="1" t="s">
        <v>10</v>
      </c>
      <c r="B129" s="1" t="s">
        <v>11</v>
      </c>
      <c r="C129" s="1" t="s">
        <v>6</v>
      </c>
      <c r="D129" s="1" t="s">
        <v>2</v>
      </c>
      <c r="E129" s="1" t="s">
        <v>12</v>
      </c>
      <c r="F129" s="1" t="s">
        <v>5</v>
      </c>
      <c r="G129" s="1" t="s">
        <v>69</v>
      </c>
      <c r="H129" s="1" t="s">
        <v>70</v>
      </c>
      <c r="I129" s="1" t="s">
        <v>71</v>
      </c>
      <c r="J129" s="1" t="s">
        <v>72</v>
      </c>
      <c r="K129" s="1" t="s">
        <v>73</v>
      </c>
    </row>
    <row r="130" spans="1:11" ht="15.75" x14ac:dyDescent="0.25">
      <c r="A130" s="5" t="str">
        <f>B121</f>
        <v>market for battery capacity, Sodium-Nickel-Chloride, Na-NiCl, stationary</v>
      </c>
      <c r="B130">
        <v>1</v>
      </c>
      <c r="C130" t="s">
        <v>15</v>
      </c>
      <c r="D130" t="str">
        <f>B123</f>
        <v>GLO</v>
      </c>
      <c r="E130" t="s">
        <v>13</v>
      </c>
      <c r="F130" t="str">
        <f>B125</f>
        <v>battery capacity, Na-NiCl</v>
      </c>
    </row>
    <row r="131" spans="1:11" x14ac:dyDescent="0.25">
      <c r="A131" t="s">
        <v>50</v>
      </c>
      <c r="B131" s="3">
        <f>1/0.116</f>
        <v>8.6206896551724128</v>
      </c>
      <c r="C131" t="s">
        <v>7</v>
      </c>
      <c r="D131" t="s">
        <v>3</v>
      </c>
      <c r="E131" t="s">
        <v>14</v>
      </c>
      <c r="F131" t="s">
        <v>51</v>
      </c>
      <c r="G131">
        <v>5</v>
      </c>
      <c r="H131" s="7">
        <f>B131</f>
        <v>8.6206896551724128</v>
      </c>
      <c r="I131" s="7">
        <f>B131*0.75</f>
        <v>6.4655172413793096</v>
      </c>
      <c r="J131" s="7">
        <f>B131*1.25</f>
        <v>10.775862068965516</v>
      </c>
    </row>
    <row r="132" spans="1:11" x14ac:dyDescent="0.25">
      <c r="A132" t="s">
        <v>63</v>
      </c>
      <c r="B132" s="3">
        <f>-1*B131</f>
        <v>-8.6206896551724128</v>
      </c>
      <c r="C132" t="s">
        <v>7</v>
      </c>
      <c r="D132" t="s">
        <v>3</v>
      </c>
      <c r="E132" t="s">
        <v>14</v>
      </c>
      <c r="F132" t="s">
        <v>64</v>
      </c>
      <c r="G132">
        <v>5</v>
      </c>
      <c r="H132" s="7">
        <f>B132</f>
        <v>-8.6206896551724128</v>
      </c>
      <c r="I132" s="7">
        <f>B132*1.25</f>
        <v>-10.775862068965516</v>
      </c>
      <c r="J132" s="7">
        <f>B132*0.75</f>
        <v>-6.4655172413793096</v>
      </c>
      <c r="K132" t="b">
        <v>1</v>
      </c>
    </row>
    <row r="133" spans="1:11" x14ac:dyDescent="0.25">
      <c r="B133" s="3"/>
      <c r="H133" s="7"/>
      <c r="I133" s="7"/>
      <c r="J133" s="7"/>
    </row>
    <row r="135" spans="1:11" ht="15.75" x14ac:dyDescent="0.25">
      <c r="A135" s="2" t="s">
        <v>0</v>
      </c>
      <c r="B135" s="2" t="s">
        <v>116</v>
      </c>
    </row>
    <row r="136" spans="1:11" x14ac:dyDescent="0.25">
      <c r="A136" t="s">
        <v>1</v>
      </c>
      <c r="B136" t="s">
        <v>122</v>
      </c>
    </row>
    <row r="137" spans="1:11" x14ac:dyDescent="0.25">
      <c r="A137" t="s">
        <v>2</v>
      </c>
      <c r="B137" t="s">
        <v>3</v>
      </c>
    </row>
    <row r="138" spans="1:11" x14ac:dyDescent="0.25">
      <c r="A138" t="s">
        <v>4</v>
      </c>
      <c r="B138">
        <v>1</v>
      </c>
    </row>
    <row r="139" spans="1:11" x14ac:dyDescent="0.25">
      <c r="A139" t="s">
        <v>5</v>
      </c>
      <c r="B139" t="s">
        <v>35</v>
      </c>
    </row>
    <row r="140" spans="1:11" x14ac:dyDescent="0.25">
      <c r="A140" t="s">
        <v>6</v>
      </c>
      <c r="B140" t="s">
        <v>15</v>
      </c>
    </row>
    <row r="141" spans="1:11" s="6" customFormat="1" ht="15.75" x14ac:dyDescent="0.25">
      <c r="A141" t="s">
        <v>8</v>
      </c>
      <c r="B141" t="s">
        <v>92</v>
      </c>
      <c r="C141"/>
      <c r="D141"/>
      <c r="E141"/>
      <c r="F141"/>
      <c r="G141"/>
      <c r="H141"/>
      <c r="I141"/>
      <c r="J141"/>
      <c r="K141"/>
    </row>
    <row r="142" spans="1:11" x14ac:dyDescent="0.25">
      <c r="A142" s="1" t="s">
        <v>9</v>
      </c>
      <c r="B142" s="1"/>
      <c r="C142" s="1"/>
      <c r="D142" s="1"/>
      <c r="E142" s="1"/>
      <c r="F142" s="1"/>
      <c r="G142" s="1"/>
    </row>
    <row r="143" spans="1:11" x14ac:dyDescent="0.25">
      <c r="A143" s="1" t="s">
        <v>10</v>
      </c>
      <c r="B143" s="1" t="s">
        <v>11</v>
      </c>
      <c r="C143" s="1" t="s">
        <v>6</v>
      </c>
      <c r="D143" s="1" t="s">
        <v>2</v>
      </c>
      <c r="E143" s="1" t="s">
        <v>12</v>
      </c>
      <c r="F143" s="1" t="s">
        <v>5</v>
      </c>
      <c r="G143" s="1"/>
      <c r="H143" s="1"/>
      <c r="I143" s="1"/>
      <c r="J143" s="1"/>
      <c r="K143" s="1"/>
    </row>
    <row r="144" spans="1:11" x14ac:dyDescent="0.25">
      <c r="A144" t="str">
        <f>B135</f>
        <v>market for battery capacity, stationary (CONT scenario)</v>
      </c>
      <c r="B144">
        <v>1</v>
      </c>
      <c r="C144" t="s">
        <v>15</v>
      </c>
      <c r="D144" t="s">
        <v>3</v>
      </c>
      <c r="E144" t="s">
        <v>13</v>
      </c>
      <c r="F144" t="s">
        <v>35</v>
      </c>
      <c r="G144" s="1"/>
      <c r="H144" s="1"/>
      <c r="I144" s="1"/>
      <c r="J144" s="1"/>
      <c r="K144" s="1"/>
    </row>
    <row r="145" spans="1:11" ht="15.75" x14ac:dyDescent="0.25">
      <c r="A145" s="6" t="s">
        <v>97</v>
      </c>
      <c r="B145">
        <v>0</v>
      </c>
      <c r="C145" t="s">
        <v>15</v>
      </c>
      <c r="D145" t="s">
        <v>3</v>
      </c>
      <c r="E145" t="s">
        <v>14</v>
      </c>
      <c r="F145" t="s">
        <v>17</v>
      </c>
    </row>
    <row r="146" spans="1:11" ht="15.75" x14ac:dyDescent="0.25">
      <c r="A146" s="6" t="s">
        <v>98</v>
      </c>
      <c r="B146">
        <v>0</v>
      </c>
      <c r="C146" t="s">
        <v>15</v>
      </c>
      <c r="D146" t="s">
        <v>3</v>
      </c>
      <c r="E146" t="s">
        <v>14</v>
      </c>
      <c r="F146" t="s">
        <v>24</v>
      </c>
    </row>
    <row r="147" spans="1:11" ht="15.75" x14ac:dyDescent="0.25">
      <c r="A147" s="6" t="s">
        <v>99</v>
      </c>
      <c r="B147">
        <v>0</v>
      </c>
      <c r="C147" t="s">
        <v>15</v>
      </c>
      <c r="D147" t="s">
        <v>3</v>
      </c>
      <c r="E147" t="s">
        <v>14</v>
      </c>
      <c r="F147" t="s">
        <v>75</v>
      </c>
    </row>
    <row r="148" spans="1:11" ht="15.75" x14ac:dyDescent="0.25">
      <c r="A148" s="6" t="s">
        <v>100</v>
      </c>
      <c r="B148">
        <v>0</v>
      </c>
      <c r="C148" t="s">
        <v>15</v>
      </c>
      <c r="D148" t="s">
        <v>3</v>
      </c>
      <c r="E148" t="s">
        <v>14</v>
      </c>
      <c r="F148" t="s">
        <v>25</v>
      </c>
    </row>
    <row r="149" spans="1:11" ht="15.75" x14ac:dyDescent="0.25">
      <c r="A149" s="6" t="s">
        <v>101</v>
      </c>
      <c r="B149">
        <v>0</v>
      </c>
      <c r="C149" t="s">
        <v>15</v>
      </c>
      <c r="D149" t="s">
        <v>3</v>
      </c>
      <c r="E149" t="s">
        <v>14</v>
      </c>
      <c r="F149" t="s">
        <v>27</v>
      </c>
    </row>
    <row r="150" spans="1:11" ht="15.75" x14ac:dyDescent="0.25">
      <c r="A150" s="6" t="s">
        <v>102</v>
      </c>
      <c r="B150">
        <v>0</v>
      </c>
      <c r="C150" t="s">
        <v>15</v>
      </c>
      <c r="D150" t="s">
        <v>3</v>
      </c>
      <c r="E150" t="s">
        <v>14</v>
      </c>
      <c r="F150" t="s">
        <v>79</v>
      </c>
    </row>
    <row r="151" spans="1:11" ht="15.75" x14ac:dyDescent="0.25">
      <c r="A151" s="6" t="s">
        <v>103</v>
      </c>
      <c r="B151">
        <v>0</v>
      </c>
      <c r="C151" t="s">
        <v>15</v>
      </c>
      <c r="D151" t="s">
        <v>3</v>
      </c>
      <c r="E151" t="s">
        <v>14</v>
      </c>
      <c r="F151" t="s">
        <v>49</v>
      </c>
    </row>
    <row r="152" spans="1:11" ht="15.75" x14ac:dyDescent="0.25">
      <c r="A152" s="4" t="s">
        <v>121</v>
      </c>
      <c r="B152">
        <v>0</v>
      </c>
      <c r="C152" t="s">
        <v>15</v>
      </c>
      <c r="D152" t="s">
        <v>3</v>
      </c>
      <c r="E152" t="s">
        <v>14</v>
      </c>
      <c r="F152" t="s">
        <v>123</v>
      </c>
    </row>
    <row r="153" spans="1:11" ht="15.75" x14ac:dyDescent="0.25">
      <c r="A153" s="6" t="s">
        <v>108</v>
      </c>
      <c r="B153" s="6">
        <v>0</v>
      </c>
      <c r="C153" t="s">
        <v>15</v>
      </c>
      <c r="D153" t="s">
        <v>3</v>
      </c>
      <c r="E153" t="s">
        <v>14</v>
      </c>
      <c r="F153" t="s">
        <v>109</v>
      </c>
      <c r="G153" s="6"/>
      <c r="H153" s="6"/>
      <c r="I153" s="6"/>
      <c r="J153" s="6"/>
      <c r="K153" s="6"/>
    </row>
    <row r="154" spans="1:11" ht="15.75" x14ac:dyDescent="0.25">
      <c r="A154" s="6" t="s">
        <v>115</v>
      </c>
      <c r="B154">
        <v>0</v>
      </c>
      <c r="C154" t="s">
        <v>15</v>
      </c>
      <c r="D154" t="s">
        <v>3</v>
      </c>
      <c r="E154" t="s">
        <v>14</v>
      </c>
      <c r="F154" t="s">
        <v>62</v>
      </c>
    </row>
    <row r="156" spans="1:11" ht="15.75" x14ac:dyDescent="0.25">
      <c r="A156" s="2" t="s">
        <v>0</v>
      </c>
      <c r="B156" s="2" t="s">
        <v>117</v>
      </c>
    </row>
    <row r="157" spans="1:11" x14ac:dyDescent="0.25">
      <c r="A157" t="s">
        <v>1</v>
      </c>
      <c r="B157" t="s">
        <v>122</v>
      </c>
    </row>
    <row r="158" spans="1:11" x14ac:dyDescent="0.25">
      <c r="A158" t="s">
        <v>2</v>
      </c>
      <c r="B158" t="s">
        <v>3</v>
      </c>
    </row>
    <row r="159" spans="1:11" x14ac:dyDescent="0.25">
      <c r="A159" t="s">
        <v>4</v>
      </c>
      <c r="B159">
        <v>1</v>
      </c>
    </row>
    <row r="160" spans="1:11" x14ac:dyDescent="0.25">
      <c r="A160" t="s">
        <v>5</v>
      </c>
      <c r="B160" t="s">
        <v>35</v>
      </c>
    </row>
    <row r="161" spans="1:11" x14ac:dyDescent="0.25">
      <c r="A161" t="s">
        <v>6</v>
      </c>
      <c r="B161" t="s">
        <v>15</v>
      </c>
    </row>
    <row r="162" spans="1:11" x14ac:dyDescent="0.25">
      <c r="A162" t="s">
        <v>8</v>
      </c>
      <c r="B162" t="s">
        <v>92</v>
      </c>
    </row>
    <row r="163" spans="1:11" x14ac:dyDescent="0.25">
      <c r="A163" s="1" t="s">
        <v>9</v>
      </c>
      <c r="B163" s="1"/>
      <c r="C163" s="1"/>
      <c r="D163" s="1"/>
      <c r="E163" s="1"/>
      <c r="F163" s="1"/>
      <c r="G163" s="1"/>
    </row>
    <row r="164" spans="1:11" x14ac:dyDescent="0.25">
      <c r="A164" s="1" t="s">
        <v>10</v>
      </c>
      <c r="B164" s="1" t="s">
        <v>11</v>
      </c>
      <c r="C164" s="1" t="s">
        <v>6</v>
      </c>
      <c r="D164" s="1" t="s">
        <v>2</v>
      </c>
      <c r="E164" s="1" t="s">
        <v>12</v>
      </c>
      <c r="F164" s="1" t="s">
        <v>5</v>
      </c>
      <c r="G164" s="1"/>
      <c r="H164" s="1"/>
      <c r="I164" s="1"/>
      <c r="J164" s="1"/>
      <c r="K164" s="1"/>
    </row>
    <row r="165" spans="1:11" x14ac:dyDescent="0.25">
      <c r="A165" t="str">
        <f>B156</f>
        <v>market for battery capacity, stationary (TC scenario)</v>
      </c>
      <c r="B165">
        <v>1</v>
      </c>
      <c r="C165" t="s">
        <v>15</v>
      </c>
      <c r="D165" t="s">
        <v>3</v>
      </c>
      <c r="E165" t="s">
        <v>13</v>
      </c>
      <c r="F165" t="s">
        <v>35</v>
      </c>
      <c r="G165" s="1"/>
      <c r="H165" s="1"/>
      <c r="I165" s="1"/>
      <c r="J165" s="1"/>
      <c r="K165" s="1"/>
    </row>
    <row r="166" spans="1:11" ht="15.75" x14ac:dyDescent="0.25">
      <c r="A166" s="6" t="s">
        <v>97</v>
      </c>
      <c r="B166">
        <v>0</v>
      </c>
      <c r="C166" t="s">
        <v>15</v>
      </c>
      <c r="D166" t="s">
        <v>3</v>
      </c>
      <c r="E166" t="s">
        <v>14</v>
      </c>
      <c r="F166" t="s">
        <v>17</v>
      </c>
    </row>
    <row r="167" spans="1:11" ht="15.75" x14ac:dyDescent="0.25">
      <c r="A167" s="6" t="s">
        <v>98</v>
      </c>
      <c r="B167">
        <v>0</v>
      </c>
      <c r="C167" t="s">
        <v>15</v>
      </c>
      <c r="D167" t="s">
        <v>3</v>
      </c>
      <c r="E167" t="s">
        <v>14</v>
      </c>
      <c r="F167" t="s">
        <v>24</v>
      </c>
    </row>
    <row r="168" spans="1:11" ht="15.75" x14ac:dyDescent="0.25">
      <c r="A168" s="6" t="s">
        <v>99</v>
      </c>
      <c r="B168">
        <v>0</v>
      </c>
      <c r="C168" t="s">
        <v>15</v>
      </c>
      <c r="D168" t="s">
        <v>3</v>
      </c>
      <c r="E168" t="s">
        <v>14</v>
      </c>
      <c r="F168" t="s">
        <v>75</v>
      </c>
    </row>
    <row r="169" spans="1:11" ht="15.75" x14ac:dyDescent="0.25">
      <c r="A169" s="6" t="s">
        <v>100</v>
      </c>
      <c r="B169">
        <v>0</v>
      </c>
      <c r="C169" t="s">
        <v>15</v>
      </c>
      <c r="D169" t="s">
        <v>3</v>
      </c>
      <c r="E169" t="s">
        <v>14</v>
      </c>
      <c r="F169" t="s">
        <v>25</v>
      </c>
    </row>
    <row r="170" spans="1:11" ht="15.75" x14ac:dyDescent="0.25">
      <c r="A170" s="6" t="s">
        <v>101</v>
      </c>
      <c r="B170">
        <v>0</v>
      </c>
      <c r="C170" t="s">
        <v>15</v>
      </c>
      <c r="D170" t="s">
        <v>3</v>
      </c>
      <c r="E170" t="s">
        <v>14</v>
      </c>
      <c r="F170" t="s">
        <v>27</v>
      </c>
    </row>
    <row r="171" spans="1:11" ht="15.75" x14ac:dyDescent="0.25">
      <c r="A171" s="6" t="s">
        <v>102</v>
      </c>
      <c r="B171">
        <v>0</v>
      </c>
      <c r="C171" t="s">
        <v>15</v>
      </c>
      <c r="D171" t="s">
        <v>3</v>
      </c>
      <c r="E171" t="s">
        <v>14</v>
      </c>
      <c r="F171" t="s">
        <v>79</v>
      </c>
    </row>
    <row r="172" spans="1:11" ht="15.75" x14ac:dyDescent="0.25">
      <c r="A172" s="6" t="s">
        <v>103</v>
      </c>
      <c r="B172">
        <v>0</v>
      </c>
      <c r="C172" t="s">
        <v>15</v>
      </c>
      <c r="D172" t="s">
        <v>3</v>
      </c>
      <c r="E172" t="s">
        <v>14</v>
      </c>
      <c r="F172" t="s">
        <v>49</v>
      </c>
    </row>
    <row r="173" spans="1:11" ht="15.75" x14ac:dyDescent="0.25">
      <c r="A173" s="6" t="s">
        <v>121</v>
      </c>
      <c r="B173">
        <v>0</v>
      </c>
      <c r="C173" t="s">
        <v>15</v>
      </c>
      <c r="D173" t="s">
        <v>3</v>
      </c>
      <c r="E173" t="s">
        <v>14</v>
      </c>
      <c r="F173" t="s">
        <v>123</v>
      </c>
    </row>
    <row r="174" spans="1:11" ht="15.75" x14ac:dyDescent="0.25">
      <c r="A174" s="6" t="s">
        <v>108</v>
      </c>
      <c r="B174" s="6">
        <v>0</v>
      </c>
      <c r="C174" t="s">
        <v>15</v>
      </c>
      <c r="D174" t="s">
        <v>3</v>
      </c>
      <c r="E174" t="s">
        <v>14</v>
      </c>
      <c r="F174" t="s">
        <v>109</v>
      </c>
      <c r="G174" s="6"/>
      <c r="H174" s="6"/>
    </row>
    <row r="175" spans="1:11" ht="15.75" x14ac:dyDescent="0.25">
      <c r="A175" s="6" t="s">
        <v>115</v>
      </c>
      <c r="B175">
        <v>0</v>
      </c>
      <c r="C175" t="s">
        <v>15</v>
      </c>
      <c r="D175" t="s">
        <v>3</v>
      </c>
      <c r="E175" t="s">
        <v>14</v>
      </c>
      <c r="F175" t="s">
        <v>62</v>
      </c>
    </row>
    <row r="177" spans="1:11" ht="15.75" x14ac:dyDescent="0.25">
      <c r="A177" s="4"/>
    </row>
    <row r="178" spans="1:11" ht="15.75" x14ac:dyDescent="0.25">
      <c r="A178" s="4"/>
    </row>
    <row r="179" spans="1:11" ht="15.75" x14ac:dyDescent="0.25">
      <c r="A179" s="5"/>
    </row>
    <row r="181" spans="1:11" ht="15.75" x14ac:dyDescent="0.25">
      <c r="A181" s="2"/>
      <c r="B181" s="2"/>
    </row>
    <row r="188" spans="1:11" x14ac:dyDescent="0.25">
      <c r="A188" s="1"/>
      <c r="B188" s="1"/>
      <c r="C188" s="1"/>
      <c r="D188" s="1"/>
      <c r="E188" s="1"/>
      <c r="F188" s="1"/>
      <c r="G188" s="1"/>
    </row>
    <row r="189" spans="1:11" x14ac:dyDescent="0.25">
      <c r="A189" s="1"/>
      <c r="B189" s="1"/>
      <c r="C189" s="1"/>
      <c r="D189" s="1"/>
      <c r="E189" s="1"/>
      <c r="F189" s="1"/>
      <c r="G189" s="1"/>
      <c r="H189" s="1"/>
      <c r="I189" s="1"/>
      <c r="J189" s="1"/>
      <c r="K189" s="1"/>
    </row>
    <row r="190" spans="1:11" x14ac:dyDescent="0.25">
      <c r="G190" s="1"/>
      <c r="H190" s="1"/>
      <c r="I190" s="1"/>
      <c r="J190" s="1"/>
      <c r="K190" s="1"/>
    </row>
    <row r="191" spans="1:11" ht="15.75" x14ac:dyDescent="0.25">
      <c r="A191" s="6"/>
    </row>
    <row r="192" spans="1:11" ht="15.75" x14ac:dyDescent="0.25">
      <c r="A192" s="6"/>
    </row>
    <row r="193" spans="1:7" ht="15.75" x14ac:dyDescent="0.25">
      <c r="A193" s="6"/>
    </row>
    <row r="194" spans="1:7" ht="15.75" x14ac:dyDescent="0.25">
      <c r="A194" s="6"/>
    </row>
    <row r="195" spans="1:7" ht="15.75" x14ac:dyDescent="0.25">
      <c r="A195" s="6"/>
    </row>
    <row r="196" spans="1:7" ht="15.75" x14ac:dyDescent="0.25">
      <c r="A196" s="6"/>
    </row>
    <row r="197" spans="1:7" ht="15.75" x14ac:dyDescent="0.25">
      <c r="A197" s="6"/>
    </row>
    <row r="198" spans="1:7" ht="15.75" x14ac:dyDescent="0.25">
      <c r="A198" s="6"/>
    </row>
    <row r="199" spans="1:7" ht="15.75" x14ac:dyDescent="0.25">
      <c r="A199" s="6"/>
      <c r="B199" s="6"/>
      <c r="G199" s="6"/>
    </row>
    <row r="200" spans="1:7" ht="15.75" x14ac:dyDescent="0.25">
      <c r="A200" s="6"/>
    </row>
    <row r="201" spans="1:7" ht="15.75" x14ac:dyDescent="0.25">
      <c r="A201" s="4"/>
    </row>
    <row r="202" spans="1:7" ht="15.75" x14ac:dyDescent="0.25">
      <c r="A202" s="4"/>
    </row>
    <row r="203" spans="1:7" ht="15.75" x14ac:dyDescent="0.25">
      <c r="A203"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Battery - NMC</vt:lpstr>
      <vt:lpstr>Battery - stationary</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2021-12-06T10:43:53Z</dcterms:created>
  <dcterms:modified xsi:type="dcterms:W3CDTF">2024-07-31T07:41:18Z</dcterms:modified>
</cp:coreProperties>
</file>