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430B552-DEF7-1D4F-9BAE-C65E3E5754A5}" xr6:coauthVersionLast="47" xr6:coauthVersionMax="47" xr10:uidLastSave="{00000000-0000-0000-0000-000000000000}"/>
  <bookViews>
    <workbookView xWindow="0" yWindow="760" windowWidth="30240" windowHeight="18880" xr2:uid="{00000000-000D-0000-FFFF-FFFF00000000}"/>
  </bookViews>
  <sheets>
    <sheet name="Battery - NMC" sheetId="1" r:id="rId1"/>
  </sheets>
  <definedNames>
    <definedName name="_xlnm._FilterDatabase" localSheetId="0" hidden="1">'Battery - NMC'!$A$1:$H$170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53" i="1" l="1"/>
  <c r="A229" i="1"/>
  <c r="A205" i="1"/>
  <c r="A181" i="1"/>
  <c r="J130" i="1" l="1"/>
  <c r="I130" i="1"/>
  <c r="J157" i="1"/>
  <c r="I157" i="1"/>
  <c r="J92" i="1"/>
  <c r="I92" i="1"/>
  <c r="J79" i="1"/>
  <c r="I79" i="1"/>
  <c r="J66" i="1"/>
  <c r="I66" i="1"/>
  <c r="J53" i="1"/>
  <c r="I53" i="1"/>
  <c r="J40" i="1"/>
  <c r="I40" i="1"/>
  <c r="J27" i="1"/>
  <c r="I27" i="1"/>
  <c r="I14" i="1"/>
  <c r="J14" i="1"/>
  <c r="I156" i="1" l="1"/>
  <c r="I78" i="1"/>
  <c r="J131" i="1"/>
  <c r="I131" i="1"/>
  <c r="B156" i="1"/>
  <c r="J156" i="1"/>
  <c r="J78" i="1"/>
  <c r="H78" i="1"/>
  <c r="B78" i="1"/>
  <c r="B79" i="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J144" i="1" l="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<sst xmlns="http://schemas.openxmlformats.org/spreadsheetml/2006/main" count="827" uniqueCount="98">
  <si>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</si>
  <si>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</si>
  <si>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</si>
  <si>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</si>
  <si>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</si>
  <si>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</si>
  <si>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</si>
  <si>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</si>
  <si>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</si>
  <si>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</si>
  <si>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</si>
  <si>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</si>
  <si>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</si>
  <si>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</si>
  <si>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</si>
  <si>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</si>
  <si>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database</t>
  </si>
  <si>
    <t>market for battery capacity, Li-ion, LFP</t>
  </si>
  <si>
    <t>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</si>
  <si>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</si>
  <si>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</si>
  <si>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</si>
  <si>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</si>
  <si>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</si>
  <si>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</si>
  <si>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battery capacity, Li-ion, NMC111</t>
  </si>
  <si>
    <t>battery capacity, Li-ion, NMC622</t>
  </si>
  <si>
    <t>market for battery capacity, Li-ion, NMC811</t>
  </si>
  <si>
    <t>battery capacity, Li-ion, NMC811</t>
  </si>
  <si>
    <t>market for battery, Li-ion, NMC811, rechargeable, prismatic</t>
  </si>
  <si>
    <t>market for battery, Li-ion, NMC622</t>
  </si>
  <si>
    <t>battery, Li-ion, NMC622</t>
  </si>
  <si>
    <t>market for battery capacity, Li-ion, NCA</t>
  </si>
  <si>
    <t>battery capacity, Li-ion, NCA</t>
  </si>
  <si>
    <t>market for battery, Li-ion, NCA, rechargeable, prismatic</t>
  </si>
  <si>
    <t>battery, Li-ion, NCA, rechargeable, prismatic</t>
  </si>
  <si>
    <t>battery capacity</t>
  </si>
  <si>
    <t>market for battery capacity, Li-ion, LTO</t>
  </si>
  <si>
    <t>battery capacity, Li-ion, LTO</t>
  </si>
  <si>
    <t>market for battery, Li-ion, LTO</t>
  </si>
  <si>
    <t>battery, Li-ion, LTO</t>
  </si>
  <si>
    <t>market for battery, Li-sulfur, Li-S</t>
  </si>
  <si>
    <t>battery, Li-S</t>
  </si>
  <si>
    <t>market for battery capacity, Li-ion, Li-O2</t>
  </si>
  <si>
    <t>battery capacity, Li-ion, Li-O2</t>
  </si>
  <si>
    <t>market for battery, Li-oxygen, Li-O2</t>
  </si>
  <si>
    <t>battery, Li-O2</t>
  </si>
  <si>
    <t>market for battery capacity, Sodium-ion, SiB</t>
  </si>
  <si>
    <t>market for battery, Sodium-ion, SiB</t>
  </si>
  <si>
    <t>battery, SiB</t>
  </si>
  <si>
    <t>battery capacity, Sodium-ion,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</si>
  <si>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</si>
  <si>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</si>
  <si>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</si>
  <si>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</si>
  <si>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</si>
  <si>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</si>
  <si>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</si>
  <si>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</si>
  <si>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</si>
  <si>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</si>
  <si>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</si>
  <si>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</si>
  <si>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battery capacity, Na-NiCl</t>
  </si>
  <si>
    <t>market for used Li-ion battery</t>
  </si>
  <si>
    <t>used Li-ion battery</t>
  </si>
  <si>
    <t>market for battery capacity, Li-ion, LiMn2O4</t>
  </si>
  <si>
    <t>battery capacity, Li-ion, LiMn2O4</t>
  </si>
  <si>
    <t>market for battery capacity, Li-sulfur, Li-S</t>
  </si>
  <si>
    <t>battery capacity, Li-sulfur, Li-S</t>
  </si>
  <si>
    <t>uncertainty type</t>
  </si>
  <si>
    <t>loc</t>
  </si>
  <si>
    <t>minimum</t>
  </si>
  <si>
    <t>maximum</t>
  </si>
  <si>
    <t>negative</t>
  </si>
  <si>
    <t>market for battery capacity, Li-ion, NMC523</t>
  </si>
  <si>
    <t>battery capacity, Li-ion, NMC523</t>
  </si>
  <si>
    <t>market for battery, Li-ion, NMC523</t>
  </si>
  <si>
    <t>battery, Li-ion, NMC523</t>
  </si>
  <si>
    <t>market for battery capacity, Li-ion, NMC955</t>
  </si>
  <si>
    <t>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</si>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</sst>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8">
    <xf numFmtId="0" fontId="0" fillId="0" borderId="0" xfId="0"/>
    <xf numFmtId="0" fontId="5" fillId="0" borderId="0" xfId="0" applyFont="1"/>
    <xf numFmtId="0" fontId="6" fillId="0" borderId="0" xfId="0" applyFont="1"/>
    <xf numFmtId="2" fontId="0" fillId="0" borderId="0" xfId="0" applyNumberFormat="1"/>
    <xf numFmtId="0" fontId="3" fillId="0" borderId="0" xfId="0" applyFont="1"/>
    <xf numFmtId="0" fontId="2" fillId="0" borderId="0" xfId="0" applyFont="1"/>
    <xf numFmtId="0" fontId="1" fillId="0" borderId="0" xfId="0" applyFont="1"/>
    <xf numFmtId="164" fontId="0" fillId="0" borderId="0" xfId="0" applyNumberForma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66"/>
  <sheetViews>
    <sheetView tabSelected="1" topLeftCell="A97" workbookViewId="0">
      <selection activeCell="B120" sqref="B120"/>
    </sheetView>
  </sheetViews>
  <sheetFormatPr baseColWidth="10" defaultColWidth="8.83203125" defaultRowHeight="15" x14ac:dyDescent="0.2"/>
  <cols>
    <col min="1" max="1" width="46.5" customWidth="1"/>
    <col min="2" max="2" width="24.1640625" customWidth="1"/>
  </cols>
  <sheetData>
    <row r="1" spans="1:14" x14ac:dyDescent="0.2">
      <c r="A1" s="1" t="s">
        <v>16</v>
      </c>
      <c r="B1" t="s">
        <v>36</v>
      </c>
    </row>
    <row r="3" spans="1:14" ht="16" x14ac:dyDescent="0.2">
      <c r="A3" s="2" t="s">
        <v>0</v>
      </c>
      <c r="B3" s="2" t="s">
        <v>17</v>
      </c>
    </row>
    <row r="4" spans="1:14" x14ac:dyDescent="0.2">
      <c r="A4" t="s">
        <v>1</v>
      </c>
      <c r="B4" t="s">
        <v>83</v>
      </c>
    </row>
    <row r="5" spans="1:14" x14ac:dyDescent="0.2">
      <c r="A5" t="s">
        <v>2</v>
      </c>
      <c r="B5" t="s">
        <v>3</v>
      </c>
    </row>
    <row r="6" spans="1:14" x14ac:dyDescent="0.2">
      <c r="A6" t="s">
        <v>4</v>
      </c>
      <c r="B6">
        <v>1</v>
      </c>
    </row>
    <row r="7" spans="1:14" x14ac:dyDescent="0.2">
      <c r="A7" t="s">
        <v>5</v>
      </c>
      <c r="B7" t="s">
        <v>18</v>
      </c>
    </row>
    <row r="8" spans="1:14" x14ac:dyDescent="0.2">
      <c r="A8" t="s">
        <v>6</v>
      </c>
      <c r="B8" t="s">
        <v>15</v>
      </c>
      <c r="F8" s="7"/>
    </row>
    <row r="9" spans="1:14" x14ac:dyDescent="0.2">
      <c r="A9" t="s">
        <v>58</v>
      </c>
      <c r="B9">
        <f>1-0.27</f>
        <v>0.73</v>
      </c>
    </row>
    <row r="10" spans="1:14" ht="16" x14ac:dyDescent="0.2">
      <c r="A10" s="2" t="s">
        <v>9</v>
      </c>
      <c r="B10" s="7"/>
    </row>
    <row r="11" spans="1:14" x14ac:dyDescent="0.2">
      <c r="A11" s="1" t="s">
        <v>10</v>
      </c>
      <c r="B11" s="1" t="s">
        <v>11</v>
      </c>
      <c r="C11" s="1" t="s">
        <v>6</v>
      </c>
      <c r="D11" s="1" t="s">
        <v>2</v>
      </c>
      <c r="E11" s="1" t="s">
        <v>12</v>
      </c>
      <c r="F11" s="1" t="s">
        <v>5</v>
      </c>
      <c r="G11" s="1" t="s">
        <v>70</v>
      </c>
      <c r="H11" s="1" t="s">
        <v>71</v>
      </c>
      <c r="I11" s="1" t="s">
        <v>72</v>
      </c>
      <c r="J11" s="1" t="s">
        <v>73</v>
      </c>
      <c r="K11" s="1" t="s">
        <v>74</v>
      </c>
    </row>
    <row r="12" spans="1:14" ht="16" x14ac:dyDescent="0.2">
      <c r="A12" s="4" t="str">
        <f>B3</f>
        <v>market for battery capacity, Li-ion, LFP</v>
      </c>
      <c r="B12">
        <v>1</v>
      </c>
      <c r="C12" t="str">
        <f>B8</f>
        <v>kilowatt hour</v>
      </c>
      <c r="D12" t="s">
        <v>3</v>
      </c>
      <c r="E12" t="s">
        <v>13</v>
      </c>
      <c r="F12" t="str">
        <f>B7</f>
        <v>battery capacity, Li-ion, LFP</v>
      </c>
    </row>
    <row r="13" spans="1:14" x14ac:dyDescent="0.2">
      <c r="A13" t="s">
        <v>19</v>
      </c>
      <c r="B13" s="7">
        <f>1/(0.16*(1-27%))</f>
        <v>8.5616438356164384</v>
      </c>
      <c r="C13" t="s">
        <v>7</v>
      </c>
      <c r="D13" t="s">
        <v>3</v>
      </c>
      <c r="E13" t="s">
        <v>14</v>
      </c>
      <c r="F13" t="s">
        <v>20</v>
      </c>
      <c r="G13">
        <v>5</v>
      </c>
      <c r="H13" s="7">
        <f>B13</f>
        <v>8.5616438356164384</v>
      </c>
      <c r="I13" s="7">
        <f>1/(0.19*(1-27%))</f>
        <v>7.2098053352559486</v>
      </c>
      <c r="J13" s="7">
        <f>1/(0.14*(1-27%))</f>
        <v>9.7847358121330714</v>
      </c>
    </row>
    <row r="14" spans="1:14" x14ac:dyDescent="0.2">
      <c r="A14" t="s">
        <v>64</v>
      </c>
      <c r="B14" s="7">
        <f>-1*B13</f>
        <v>-8.5616438356164384</v>
      </c>
      <c r="C14" t="s">
        <v>7</v>
      </c>
      <c r="D14" t="s">
        <v>3</v>
      </c>
      <c r="E14" t="s">
        <v>14</v>
      </c>
      <c r="F14" t="s">
        <v>65</v>
      </c>
      <c r="G14">
        <v>5</v>
      </c>
      <c r="H14" s="7">
        <f>B14</f>
        <v>-8.5616438356164384</v>
      </c>
      <c r="I14" s="7">
        <f>-1/(0.14*(1-27%))</f>
        <v>-9.7847358121330714</v>
      </c>
      <c r="J14" s="7">
        <f>-1/(0.19*(1-27%))</f>
        <v>-7.2098053352559486</v>
      </c>
      <c r="K14" t="b">
        <v>1</v>
      </c>
      <c r="M14" s="7"/>
      <c r="N14" s="7"/>
    </row>
    <row r="16" spans="1:14" ht="16" x14ac:dyDescent="0.2">
      <c r="A16" s="2" t="s">
        <v>0</v>
      </c>
      <c r="B16" s="2" t="s">
        <v>21</v>
      </c>
    </row>
    <row r="17" spans="1:14" x14ac:dyDescent="0.2">
      <c r="A17" t="s">
        <v>1</v>
      </c>
      <c r="B17" t="s">
        <v>84</v>
      </c>
    </row>
    <row r="18" spans="1:14" x14ac:dyDescent="0.2">
      <c r="A18" t="s">
        <v>2</v>
      </c>
      <c r="B18" t="s">
        <v>3</v>
      </c>
    </row>
    <row r="19" spans="1:14" x14ac:dyDescent="0.2">
      <c r="A19" t="s">
        <v>4</v>
      </c>
      <c r="B19">
        <v>1</v>
      </c>
    </row>
    <row r="20" spans="1:14" x14ac:dyDescent="0.2">
      <c r="A20" t="s">
        <v>5</v>
      </c>
      <c r="B20" t="s">
        <v>25</v>
      </c>
    </row>
    <row r="21" spans="1:14" x14ac:dyDescent="0.2">
      <c r="A21" t="s">
        <v>6</v>
      </c>
      <c r="B21" t="s">
        <v>15</v>
      </c>
    </row>
    <row r="22" spans="1:14" x14ac:dyDescent="0.2">
      <c r="A22" t="s">
        <v>58</v>
      </c>
      <c r="B22">
        <f>1-0.27</f>
        <v>0.73</v>
      </c>
    </row>
    <row r="23" spans="1:14" ht="16" x14ac:dyDescent="0.2">
      <c r="A23" s="2" t="s">
        <v>9</v>
      </c>
      <c r="B23" s="3"/>
    </row>
    <row r="24" spans="1:14" x14ac:dyDescent="0.2">
      <c r="A24" s="1" t="s">
        <v>10</v>
      </c>
      <c r="B24" s="1" t="s">
        <v>11</v>
      </c>
      <c r="C24" s="1" t="s">
        <v>6</v>
      </c>
      <c r="D24" s="1" t="s">
        <v>2</v>
      </c>
      <c r="E24" s="1" t="s">
        <v>12</v>
      </c>
      <c r="F24" s="1" t="s">
        <v>5</v>
      </c>
      <c r="G24" s="1" t="s">
        <v>70</v>
      </c>
      <c r="H24" s="1" t="s">
        <v>71</v>
      </c>
      <c r="I24" s="1" t="s">
        <v>72</v>
      </c>
      <c r="J24" s="1" t="s">
        <v>73</v>
      </c>
      <c r="K24" s="1" t="s">
        <v>74</v>
      </c>
    </row>
    <row r="25" spans="1:14" ht="16" x14ac:dyDescent="0.2">
      <c r="A25" s="4" t="str">
        <f>B16</f>
        <v>market for battery capacity, Li-ion, NMC111</v>
      </c>
      <c r="B25">
        <v>1</v>
      </c>
      <c r="C25" t="str">
        <f>B21</f>
        <v>kilowatt hour</v>
      </c>
      <c r="D25" t="s">
        <v>3</v>
      </c>
      <c r="E25" t="s">
        <v>13</v>
      </c>
      <c r="F25" t="str">
        <f>B20</f>
        <v>battery capacity, Li-ion, NMC111</v>
      </c>
    </row>
    <row r="26" spans="1:14" x14ac:dyDescent="0.2">
      <c r="A26" t="s">
        <v>22</v>
      </c>
      <c r="B26" s="3">
        <f>1/(0.18*73%)</f>
        <v>7.6103500761035017</v>
      </c>
      <c r="C26" t="s">
        <v>7</v>
      </c>
      <c r="D26" t="s">
        <v>3</v>
      </c>
      <c r="E26" t="s">
        <v>14</v>
      </c>
      <c r="F26" t="s">
        <v>23</v>
      </c>
      <c r="G26">
        <v>5</v>
      </c>
      <c r="H26" s="7">
        <f>B26</f>
        <v>7.6103500761035017</v>
      </c>
      <c r="I26" s="7">
        <f>1/(0.19*73%)</f>
        <v>7.2098053352559486</v>
      </c>
      <c r="J26" s="7">
        <f>1/(0.14*73%)</f>
        <v>9.7847358121330714</v>
      </c>
    </row>
    <row r="27" spans="1:14" x14ac:dyDescent="0.2">
      <c r="A27" t="s">
        <v>64</v>
      </c>
      <c r="B27" s="3">
        <f>-1*B26</f>
        <v>-7.6103500761035017</v>
      </c>
      <c r="C27" t="s">
        <v>7</v>
      </c>
      <c r="D27" t="s">
        <v>3</v>
      </c>
      <c r="E27" t="s">
        <v>14</v>
      </c>
      <c r="F27" t="s">
        <v>65</v>
      </c>
      <c r="G27">
        <v>5</v>
      </c>
      <c r="H27" s="7">
        <f>B27</f>
        <v>-7.6103500761035017</v>
      </c>
      <c r="I27" s="7">
        <f>-1/(0.14*(1-27%))</f>
        <v>-9.7847358121330714</v>
      </c>
      <c r="J27" s="7">
        <f>-1/(0.19*73%)</f>
        <v>-7.2098053352559486</v>
      </c>
      <c r="K27" t="b">
        <v>1</v>
      </c>
      <c r="M27" s="7"/>
      <c r="N27" s="7"/>
    </row>
    <row r="29" spans="1:14" ht="16" x14ac:dyDescent="0.2">
      <c r="A29" s="2" t="s">
        <v>0</v>
      </c>
      <c r="B29" s="2" t="s">
        <v>75</v>
      </c>
    </row>
    <row r="30" spans="1:14" x14ac:dyDescent="0.2">
      <c r="A30" t="s">
        <v>1</v>
      </c>
      <c r="B30" t="s">
        <v>85</v>
      </c>
    </row>
    <row r="31" spans="1:14" x14ac:dyDescent="0.2">
      <c r="A31" t="s">
        <v>2</v>
      </c>
      <c r="B31" t="s">
        <v>3</v>
      </c>
    </row>
    <row r="32" spans="1:14" x14ac:dyDescent="0.2">
      <c r="A32" t="s">
        <v>4</v>
      </c>
      <c r="B32">
        <v>1</v>
      </c>
    </row>
    <row r="33" spans="1:14" x14ac:dyDescent="0.2">
      <c r="A33" t="s">
        <v>5</v>
      </c>
      <c r="B33" t="s">
        <v>76</v>
      </c>
    </row>
    <row r="34" spans="1:14" x14ac:dyDescent="0.2">
      <c r="A34" t="s">
        <v>6</v>
      </c>
      <c r="B34" t="s">
        <v>15</v>
      </c>
    </row>
    <row r="35" spans="1:14" x14ac:dyDescent="0.2">
      <c r="A35" t="s">
        <v>58</v>
      </c>
      <c r="B35">
        <f>1-0.27</f>
        <v>0.73</v>
      </c>
    </row>
    <row r="36" spans="1:14" ht="16" x14ac:dyDescent="0.2">
      <c r="A36" s="2" t="s">
        <v>9</v>
      </c>
      <c r="B36" s="3"/>
    </row>
    <row r="37" spans="1:14" x14ac:dyDescent="0.2">
      <c r="A37" s="1" t="s">
        <v>10</v>
      </c>
      <c r="B37" s="1" t="s">
        <v>11</v>
      </c>
      <c r="C37" s="1" t="s">
        <v>6</v>
      </c>
      <c r="D37" s="1" t="s">
        <v>2</v>
      </c>
      <c r="E37" s="1" t="s">
        <v>12</v>
      </c>
      <c r="F37" s="1" t="s">
        <v>5</v>
      </c>
      <c r="G37" s="1" t="s">
        <v>70</v>
      </c>
      <c r="H37" s="1" t="s">
        <v>71</v>
      </c>
      <c r="I37" s="1" t="s">
        <v>72</v>
      </c>
      <c r="J37" s="1" t="s">
        <v>73</v>
      </c>
      <c r="K37" s="1" t="s">
        <v>74</v>
      </c>
    </row>
    <row r="38" spans="1:14" ht="16" x14ac:dyDescent="0.2">
      <c r="A38" s="4" t="str">
        <f>B29</f>
        <v>market for battery capacity, Li-ion, NMC523</v>
      </c>
      <c r="B38">
        <v>1</v>
      </c>
      <c r="C38" t="str">
        <f>B34</f>
        <v>kilowatt hour</v>
      </c>
      <c r="D38" t="s">
        <v>3</v>
      </c>
      <c r="E38" t="s">
        <v>13</v>
      </c>
      <c r="F38" t="str">
        <f>B33</f>
        <v>battery capacity, Li-ion, NMC523</v>
      </c>
    </row>
    <row r="39" spans="1:14" x14ac:dyDescent="0.2">
      <c r="A39" t="s">
        <v>77</v>
      </c>
      <c r="B39" s="3">
        <f>1/(0.2*73%)</f>
        <v>6.8493150684931514</v>
      </c>
      <c r="C39" t="s">
        <v>7</v>
      </c>
      <c r="D39" t="s">
        <v>3</v>
      </c>
      <c r="E39" t="s">
        <v>14</v>
      </c>
      <c r="F39" t="s">
        <v>78</v>
      </c>
      <c r="G39">
        <v>5</v>
      </c>
      <c r="H39" s="7">
        <f>B39</f>
        <v>6.8493150684931514</v>
      </c>
      <c r="I39" s="3">
        <f>1/(0.22*73%)</f>
        <v>6.2266500622665006</v>
      </c>
      <c r="J39" s="3">
        <f>1/(0.17*73%)</f>
        <v>8.058017727639001</v>
      </c>
    </row>
    <row r="40" spans="1:14" x14ac:dyDescent="0.2">
      <c r="A40" t="s">
        <v>64</v>
      </c>
      <c r="B40" s="3">
        <f>-1*B39</f>
        <v>-6.8493150684931514</v>
      </c>
      <c r="C40" t="s">
        <v>7</v>
      </c>
      <c r="D40" t="s">
        <v>3</v>
      </c>
      <c r="E40" t="s">
        <v>14</v>
      </c>
      <c r="F40" t="s">
        <v>65</v>
      </c>
      <c r="G40">
        <v>5</v>
      </c>
      <c r="H40" s="7">
        <f>B40</f>
        <v>-6.8493150684931514</v>
      </c>
      <c r="I40" s="3">
        <f>-1/(0.17*73%)</f>
        <v>-8.058017727639001</v>
      </c>
      <c r="J40" s="3">
        <f>-1/(0.22*73%)</f>
        <v>-6.2266500622665006</v>
      </c>
      <c r="K40" t="b">
        <v>1</v>
      </c>
      <c r="M40" s="3"/>
      <c r="N40" s="3"/>
    </row>
    <row r="42" spans="1:14" ht="16" x14ac:dyDescent="0.2">
      <c r="A42" s="2" t="s">
        <v>0</v>
      </c>
      <c r="B42" s="2" t="s">
        <v>24</v>
      </c>
    </row>
    <row r="43" spans="1:14" x14ac:dyDescent="0.2">
      <c r="A43" t="s">
        <v>1</v>
      </c>
      <c r="B43" t="s">
        <v>86</v>
      </c>
    </row>
    <row r="44" spans="1:14" x14ac:dyDescent="0.2">
      <c r="A44" t="s">
        <v>2</v>
      </c>
      <c r="B44" t="s">
        <v>3</v>
      </c>
    </row>
    <row r="45" spans="1:14" x14ac:dyDescent="0.2">
      <c r="A45" t="s">
        <v>4</v>
      </c>
      <c r="B45">
        <v>1</v>
      </c>
    </row>
    <row r="46" spans="1:14" x14ac:dyDescent="0.2">
      <c r="A46" t="s">
        <v>5</v>
      </c>
      <c r="B46" t="s">
        <v>26</v>
      </c>
      <c r="E46" s="3"/>
    </row>
    <row r="47" spans="1:14" x14ac:dyDescent="0.2">
      <c r="A47" t="s">
        <v>6</v>
      </c>
      <c r="B47" t="s">
        <v>15</v>
      </c>
      <c r="E47" s="3"/>
    </row>
    <row r="48" spans="1:14" x14ac:dyDescent="0.2">
      <c r="A48" t="s">
        <v>58</v>
      </c>
      <c r="B48">
        <f>1-0.27</f>
        <v>0.73</v>
      </c>
    </row>
    <row r="49" spans="1:14" ht="16" x14ac:dyDescent="0.2">
      <c r="A49" s="2" t="s">
        <v>9</v>
      </c>
      <c r="B49" s="3"/>
    </row>
    <row r="50" spans="1:14" x14ac:dyDescent="0.2">
      <c r="A50" s="1" t="s">
        <v>10</v>
      </c>
      <c r="B50" s="1" t="s">
        <v>11</v>
      </c>
      <c r="C50" s="1" t="s">
        <v>6</v>
      </c>
      <c r="D50" s="1" t="s">
        <v>2</v>
      </c>
      <c r="E50" s="1" t="s">
        <v>12</v>
      </c>
      <c r="F50" s="1" t="s">
        <v>5</v>
      </c>
      <c r="G50" s="1" t="s">
        <v>70</v>
      </c>
      <c r="H50" s="1" t="s">
        <v>71</v>
      </c>
      <c r="I50" s="1" t="s">
        <v>72</v>
      </c>
      <c r="J50" s="1" t="s">
        <v>73</v>
      </c>
      <c r="K50" s="1" t="s">
        <v>74</v>
      </c>
    </row>
    <row r="51" spans="1:14" ht="16" x14ac:dyDescent="0.2">
      <c r="A51" s="4" t="str">
        <f>B42</f>
        <v>market for battery capacity, Li-ion, NMC622</v>
      </c>
      <c r="B51">
        <v>1</v>
      </c>
      <c r="C51" t="str">
        <f>B47</f>
        <v>kilowatt hour</v>
      </c>
      <c r="D51" t="s">
        <v>3</v>
      </c>
      <c r="E51" t="s">
        <v>13</v>
      </c>
      <c r="F51" t="str">
        <f>B46</f>
        <v>battery capacity, Li-ion, NMC622</v>
      </c>
    </row>
    <row r="52" spans="1:14" x14ac:dyDescent="0.2">
      <c r="A52" t="s">
        <v>30</v>
      </c>
      <c r="B52" s="3">
        <f>1/(0.24*73%)</f>
        <v>5.7077625570776256</v>
      </c>
      <c r="C52" t="s">
        <v>7</v>
      </c>
      <c r="D52" t="s">
        <v>3</v>
      </c>
      <c r="E52" t="s">
        <v>14</v>
      </c>
      <c r="F52" t="s">
        <v>31</v>
      </c>
      <c r="G52">
        <v>5</v>
      </c>
      <c r="H52" s="7">
        <f>B52</f>
        <v>5.7077625570776256</v>
      </c>
      <c r="I52" s="3">
        <f>1/(0.28*73%)</f>
        <v>4.8923679060665357</v>
      </c>
      <c r="J52" s="3">
        <f>1/(0.2*73%)</f>
        <v>6.8493150684931514</v>
      </c>
    </row>
    <row r="53" spans="1:14" x14ac:dyDescent="0.2">
      <c r="A53" t="s">
        <v>64</v>
      </c>
      <c r="B53" s="3">
        <f>-1*B52</f>
        <v>-5.7077625570776256</v>
      </c>
      <c r="C53" t="s">
        <v>7</v>
      </c>
      <c r="D53" t="s">
        <v>3</v>
      </c>
      <c r="E53" t="s">
        <v>14</v>
      </c>
      <c r="F53" t="s">
        <v>65</v>
      </c>
      <c r="G53">
        <v>5</v>
      </c>
      <c r="H53" s="7">
        <f>B53</f>
        <v>-5.7077625570776256</v>
      </c>
      <c r="I53" s="3">
        <f>-1/(0.2*73%)</f>
        <v>-6.8493150684931514</v>
      </c>
      <c r="J53" s="3">
        <f>-1/(0.28*73%)</f>
        <v>-4.8923679060665357</v>
      </c>
      <c r="K53" t="b">
        <v>1</v>
      </c>
      <c r="M53" s="3"/>
      <c r="N53" s="3"/>
    </row>
    <row r="55" spans="1:14" ht="16" x14ac:dyDescent="0.2">
      <c r="A55" s="2" t="s">
        <v>0</v>
      </c>
      <c r="B55" s="2" t="s">
        <v>27</v>
      </c>
    </row>
    <row r="56" spans="1:14" x14ac:dyDescent="0.2">
      <c r="A56" t="s">
        <v>1</v>
      </c>
      <c r="B56" t="s">
        <v>87</v>
      </c>
    </row>
    <row r="57" spans="1:14" x14ac:dyDescent="0.2">
      <c r="A57" t="s">
        <v>2</v>
      </c>
      <c r="B57" t="s">
        <v>3</v>
      </c>
    </row>
    <row r="58" spans="1:14" x14ac:dyDescent="0.2">
      <c r="A58" t="s">
        <v>4</v>
      </c>
      <c r="B58">
        <v>1</v>
      </c>
    </row>
    <row r="59" spans="1:14" x14ac:dyDescent="0.2">
      <c r="A59" t="s">
        <v>5</v>
      </c>
      <c r="B59" t="s">
        <v>28</v>
      </c>
    </row>
    <row r="60" spans="1:14" x14ac:dyDescent="0.2">
      <c r="A60" t="s">
        <v>6</v>
      </c>
      <c r="B60" t="s">
        <v>15</v>
      </c>
      <c r="E60" s="3"/>
    </row>
    <row r="61" spans="1:14" x14ac:dyDescent="0.2">
      <c r="A61" t="s">
        <v>58</v>
      </c>
    </row>
    <row r="62" spans="1:14" ht="16" x14ac:dyDescent="0.2">
      <c r="A62" s="2" t="s">
        <v>9</v>
      </c>
      <c r="B62" s="3">
        <f>(0.28*71%)</f>
        <v>0.1988</v>
      </c>
    </row>
    <row r="63" spans="1:14" x14ac:dyDescent="0.2">
      <c r="A63" s="1" t="s">
        <v>10</v>
      </c>
      <c r="B63" s="1" t="s">
        <v>11</v>
      </c>
      <c r="C63" s="1" t="s">
        <v>6</v>
      </c>
      <c r="D63" s="1" t="s">
        <v>2</v>
      </c>
      <c r="E63" s="1" t="s">
        <v>12</v>
      </c>
      <c r="F63" s="1" t="s">
        <v>5</v>
      </c>
      <c r="G63" s="1" t="s">
        <v>70</v>
      </c>
      <c r="H63" s="1" t="s">
        <v>71</v>
      </c>
      <c r="I63" s="1" t="s">
        <v>72</v>
      </c>
      <c r="J63" s="1" t="s">
        <v>73</v>
      </c>
      <c r="K63" s="1" t="s">
        <v>74</v>
      </c>
    </row>
    <row r="64" spans="1:14" ht="16" x14ac:dyDescent="0.2">
      <c r="A64" s="4" t="str">
        <f>B55</f>
        <v>market for battery capacity, Li-ion, NMC811</v>
      </c>
      <c r="B64">
        <v>1</v>
      </c>
      <c r="C64" t="str">
        <f>B60</f>
        <v>kilowatt hour</v>
      </c>
      <c r="D64" t="s">
        <v>3</v>
      </c>
      <c r="E64" t="s">
        <v>13</v>
      </c>
      <c r="F64" t="str">
        <f>B59</f>
        <v>battery capacity, Li-ion, NMC811</v>
      </c>
    </row>
    <row r="65" spans="1:14" x14ac:dyDescent="0.2">
      <c r="A65" t="s">
        <v>29</v>
      </c>
      <c r="B65" s="3">
        <f>1/(0.28*71%)</f>
        <v>5.0301810865191143</v>
      </c>
      <c r="C65" t="s">
        <v>7</v>
      </c>
      <c r="D65" t="s">
        <v>3</v>
      </c>
      <c r="E65" t="s">
        <v>14</v>
      </c>
      <c r="F65" t="s">
        <v>56</v>
      </c>
      <c r="G65">
        <v>5</v>
      </c>
      <c r="H65" s="7">
        <f>B65</f>
        <v>5.0301810865191143</v>
      </c>
      <c r="I65" s="3">
        <f>1/(0.34*71%)</f>
        <v>4.1425020712510356</v>
      </c>
      <c r="J65" s="3">
        <f>1/(0.24*71%)</f>
        <v>5.868544600938967</v>
      </c>
    </row>
    <row r="66" spans="1:14" x14ac:dyDescent="0.2">
      <c r="A66" t="s">
        <v>64</v>
      </c>
      <c r="B66" s="3">
        <f>-1*B65</f>
        <v>-5.0301810865191143</v>
      </c>
      <c r="C66" t="s">
        <v>7</v>
      </c>
      <c r="D66" t="s">
        <v>3</v>
      </c>
      <c r="E66" t="s">
        <v>14</v>
      </c>
      <c r="F66" t="s">
        <v>65</v>
      </c>
      <c r="G66">
        <v>5</v>
      </c>
      <c r="H66" s="7">
        <f>B66</f>
        <v>-5.0301810865191143</v>
      </c>
      <c r="I66" s="3">
        <f>-1/(0.24*71%)</f>
        <v>-5.868544600938967</v>
      </c>
      <c r="J66" s="3">
        <f>-1/(0.34*71%)</f>
        <v>-4.1425020712510356</v>
      </c>
      <c r="K66" t="b">
        <v>1</v>
      </c>
      <c r="M66" s="3"/>
      <c r="N66" s="3"/>
    </row>
    <row r="68" spans="1:14" ht="16" x14ac:dyDescent="0.2">
      <c r="A68" s="2" t="s">
        <v>0</v>
      </c>
      <c r="B68" s="2" t="s">
        <v>79</v>
      </c>
    </row>
    <row r="69" spans="1:14" x14ac:dyDescent="0.2">
      <c r="A69" t="s">
        <v>1</v>
      </c>
      <c r="B69" t="s">
        <v>91</v>
      </c>
    </row>
    <row r="70" spans="1:14" x14ac:dyDescent="0.2">
      <c r="A70" t="s">
        <v>2</v>
      </c>
      <c r="B70" t="s">
        <v>3</v>
      </c>
    </row>
    <row r="71" spans="1:14" x14ac:dyDescent="0.2">
      <c r="A71" t="s">
        <v>4</v>
      </c>
      <c r="B71">
        <v>1</v>
      </c>
    </row>
    <row r="72" spans="1:14" x14ac:dyDescent="0.2">
      <c r="A72" t="s">
        <v>5</v>
      </c>
      <c r="B72" t="s">
        <v>80</v>
      </c>
    </row>
    <row r="73" spans="1:14" x14ac:dyDescent="0.2">
      <c r="A73" t="s">
        <v>6</v>
      </c>
      <c r="B73" t="s">
        <v>15</v>
      </c>
      <c r="E73" s="3"/>
    </row>
    <row r="74" spans="1:14" x14ac:dyDescent="0.2">
      <c r="A74" t="s">
        <v>58</v>
      </c>
      <c r="B74">
        <f>1-0.29</f>
        <v>0.71</v>
      </c>
    </row>
    <row r="75" spans="1:14" ht="16" x14ac:dyDescent="0.2">
      <c r="A75" s="2" t="s">
        <v>9</v>
      </c>
    </row>
    <row r="76" spans="1:14" x14ac:dyDescent="0.2">
      <c r="A76" s="1" t="s">
        <v>10</v>
      </c>
      <c r="B76" s="1" t="s">
        <v>11</v>
      </c>
      <c r="C76" s="1" t="s">
        <v>6</v>
      </c>
      <c r="D76" s="1" t="s">
        <v>2</v>
      </c>
      <c r="E76" s="1" t="s">
        <v>12</v>
      </c>
      <c r="F76" s="1" t="s">
        <v>5</v>
      </c>
      <c r="G76" s="1" t="s">
        <v>70</v>
      </c>
      <c r="H76" s="1" t="s">
        <v>71</v>
      </c>
      <c r="I76" s="1" t="s">
        <v>72</v>
      </c>
      <c r="J76" s="1" t="s">
        <v>73</v>
      </c>
      <c r="K76" s="1" t="s">
        <v>74</v>
      </c>
    </row>
    <row r="77" spans="1:14" ht="16" x14ac:dyDescent="0.2">
      <c r="A77" s="4" t="str">
        <f>B68</f>
        <v>market for battery capacity, Li-ion, NMC955</v>
      </c>
      <c r="B77">
        <v>1</v>
      </c>
      <c r="C77" t="str">
        <f>B73</f>
        <v>kilowatt hour</v>
      </c>
      <c r="D77" t="s">
        <v>3</v>
      </c>
      <c r="E77" t="s">
        <v>13</v>
      </c>
      <c r="F77" t="str">
        <f>B72</f>
        <v>battery capacity, Li-ion, NMC955</v>
      </c>
    </row>
    <row r="78" spans="1:14" x14ac:dyDescent="0.2">
      <c r="A78" t="s">
        <v>81</v>
      </c>
      <c r="B78" s="3">
        <f>1/(0.34*71%)</f>
        <v>4.1425020712510356</v>
      </c>
      <c r="C78" t="s">
        <v>7</v>
      </c>
      <c r="D78" t="s">
        <v>3</v>
      </c>
      <c r="E78" t="s">
        <v>14</v>
      </c>
      <c r="F78" t="s">
        <v>82</v>
      </c>
      <c r="G78">
        <v>5</v>
      </c>
      <c r="H78" s="7">
        <f>B78</f>
        <v>4.1425020712510356</v>
      </c>
      <c r="I78" s="3">
        <f>1/(0.38*71%)</f>
        <v>3.7064492216456637</v>
      </c>
      <c r="J78" s="3">
        <f>1/(0.3*71%)</f>
        <v>4.694835680751174</v>
      </c>
    </row>
    <row r="79" spans="1:14" x14ac:dyDescent="0.2">
      <c r="A79" t="s">
        <v>64</v>
      </c>
      <c r="B79" s="3">
        <f>-1*B78</f>
        <v>-4.1425020712510356</v>
      </c>
      <c r="C79" t="s">
        <v>7</v>
      </c>
      <c r="D79" t="s">
        <v>3</v>
      </c>
      <c r="E79" t="s">
        <v>14</v>
      </c>
      <c r="F79" t="s">
        <v>65</v>
      </c>
      <c r="G79">
        <v>5</v>
      </c>
      <c r="H79" s="7">
        <f>B79</f>
        <v>-4.1425020712510356</v>
      </c>
      <c r="I79" s="3">
        <f>-1/(0.3*71%)</f>
        <v>-4.694835680751174</v>
      </c>
      <c r="J79" s="3">
        <f>-1/(0.38*71%)</f>
        <v>-3.7064492216456637</v>
      </c>
      <c r="K79" t="b">
        <v>1</v>
      </c>
      <c r="M79" s="3"/>
      <c r="N79" s="3"/>
    </row>
    <row r="81" spans="1:14" ht="16" x14ac:dyDescent="0.2">
      <c r="A81" s="2" t="s">
        <v>0</v>
      </c>
      <c r="B81" s="2" t="s">
        <v>32</v>
      </c>
    </row>
    <row r="82" spans="1:14" x14ac:dyDescent="0.2">
      <c r="A82" t="s">
        <v>1</v>
      </c>
      <c r="B82" t="s">
        <v>88</v>
      </c>
    </row>
    <row r="83" spans="1:14" x14ac:dyDescent="0.2">
      <c r="A83" t="s">
        <v>2</v>
      </c>
      <c r="B83" t="s">
        <v>3</v>
      </c>
    </row>
    <row r="84" spans="1:14" x14ac:dyDescent="0.2">
      <c r="A84" t="s">
        <v>4</v>
      </c>
      <c r="B84">
        <v>1</v>
      </c>
    </row>
    <row r="85" spans="1:14" x14ac:dyDescent="0.2">
      <c r="A85" t="s">
        <v>5</v>
      </c>
      <c r="B85" t="s">
        <v>33</v>
      </c>
    </row>
    <row r="86" spans="1:14" x14ac:dyDescent="0.2">
      <c r="A86" t="s">
        <v>6</v>
      </c>
      <c r="B86" t="s">
        <v>15</v>
      </c>
      <c r="D86" s="3"/>
    </row>
    <row r="87" spans="1:14" x14ac:dyDescent="0.2">
      <c r="A87" t="s">
        <v>58</v>
      </c>
      <c r="B87">
        <f>1-0.293</f>
        <v>0.70700000000000007</v>
      </c>
    </row>
    <row r="88" spans="1:14" ht="16" x14ac:dyDescent="0.2">
      <c r="A88" s="2" t="s">
        <v>9</v>
      </c>
    </row>
    <row r="89" spans="1:14" x14ac:dyDescent="0.2">
      <c r="A89" s="1" t="s">
        <v>10</v>
      </c>
      <c r="B89" s="1" t="s">
        <v>11</v>
      </c>
      <c r="C89" s="1" t="s">
        <v>6</v>
      </c>
      <c r="D89" s="1" t="s">
        <v>2</v>
      </c>
      <c r="E89" s="1" t="s">
        <v>12</v>
      </c>
      <c r="F89" s="1" t="s">
        <v>5</v>
      </c>
      <c r="G89" s="1" t="s">
        <v>70</v>
      </c>
      <c r="H89" s="1" t="s">
        <v>71</v>
      </c>
      <c r="I89" s="1" t="s">
        <v>72</v>
      </c>
      <c r="J89" s="1" t="s">
        <v>73</v>
      </c>
      <c r="K89" s="1" t="s">
        <v>74</v>
      </c>
    </row>
    <row r="90" spans="1:14" ht="16" x14ac:dyDescent="0.2">
      <c r="A90" s="4" t="str">
        <f>B81</f>
        <v>market for battery capacity, Li-ion, NCA</v>
      </c>
      <c r="B90">
        <v>1</v>
      </c>
      <c r="C90" t="str">
        <f>B86</f>
        <v>kilowatt hour</v>
      </c>
      <c r="D90" t="s">
        <v>3</v>
      </c>
      <c r="E90" t="s">
        <v>13</v>
      </c>
      <c r="F90" t="str">
        <f>B85</f>
        <v>battery capacity, Li-ion, NCA</v>
      </c>
    </row>
    <row r="91" spans="1:14" x14ac:dyDescent="0.2">
      <c r="A91" t="s">
        <v>34</v>
      </c>
      <c r="B91" s="3">
        <f>1/(0.28*71%)</f>
        <v>5.0301810865191143</v>
      </c>
      <c r="C91" t="s">
        <v>7</v>
      </c>
      <c r="D91" t="s">
        <v>3</v>
      </c>
      <c r="E91" t="s">
        <v>14</v>
      </c>
      <c r="F91" t="s">
        <v>35</v>
      </c>
      <c r="G91">
        <v>5</v>
      </c>
      <c r="H91" s="7">
        <f>B91</f>
        <v>5.0301810865191143</v>
      </c>
      <c r="I91" s="3">
        <f>1/(0.34*71%)</f>
        <v>4.1425020712510356</v>
      </c>
      <c r="J91" s="3">
        <f>1/(0.24*71%)</f>
        <v>5.868544600938967</v>
      </c>
    </row>
    <row r="92" spans="1:14" x14ac:dyDescent="0.2">
      <c r="A92" t="s">
        <v>64</v>
      </c>
      <c r="B92" s="3">
        <f>-1*B91</f>
        <v>-5.0301810865191143</v>
      </c>
      <c r="C92" t="s">
        <v>7</v>
      </c>
      <c r="D92" t="s">
        <v>3</v>
      </c>
      <c r="E92" t="s">
        <v>14</v>
      </c>
      <c r="F92" t="s">
        <v>65</v>
      </c>
      <c r="G92">
        <v>5</v>
      </c>
      <c r="H92" s="7">
        <f>B92</f>
        <v>-5.0301810865191143</v>
      </c>
      <c r="I92" s="3">
        <f>-1/(0.24*71%)</f>
        <v>-5.868544600938967</v>
      </c>
      <c r="J92" s="3">
        <f>-1/(0.34*71%)</f>
        <v>-4.1425020712510356</v>
      </c>
      <c r="K92" t="b">
        <v>1</v>
      </c>
      <c r="M92" s="3"/>
      <c r="N92" s="3"/>
    </row>
    <row r="94" spans="1:14" ht="16" x14ac:dyDescent="0.2">
      <c r="A94" s="2" t="s">
        <v>0</v>
      </c>
      <c r="B94" s="2" t="s">
        <v>37</v>
      </c>
    </row>
    <row r="95" spans="1:14" x14ac:dyDescent="0.2">
      <c r="A95" t="s">
        <v>1</v>
      </c>
      <c r="B95" t="s">
        <v>53</v>
      </c>
    </row>
    <row r="96" spans="1:14" x14ac:dyDescent="0.2">
      <c r="A96" t="s">
        <v>2</v>
      </c>
      <c r="B96" t="s">
        <v>3</v>
      </c>
    </row>
    <row r="97" spans="1:14" x14ac:dyDescent="0.2">
      <c r="A97" t="s">
        <v>4</v>
      </c>
      <c r="B97">
        <v>1</v>
      </c>
    </row>
    <row r="98" spans="1:14" x14ac:dyDescent="0.2">
      <c r="A98" t="s">
        <v>5</v>
      </c>
      <c r="B98" t="s">
        <v>38</v>
      </c>
      <c r="E98" s="3"/>
    </row>
    <row r="99" spans="1:14" x14ac:dyDescent="0.2">
      <c r="A99" t="s">
        <v>6</v>
      </c>
      <c r="B99" t="s">
        <v>15</v>
      </c>
    </row>
    <row r="100" spans="1:14" x14ac:dyDescent="0.2">
      <c r="A100" t="s">
        <v>58</v>
      </c>
      <c r="B100">
        <f>1-0.36</f>
        <v>0.64</v>
      </c>
    </row>
    <row r="101" spans="1:14" ht="16" x14ac:dyDescent="0.2">
      <c r="A101" s="2" t="s">
        <v>9</v>
      </c>
    </row>
    <row r="102" spans="1:14" x14ac:dyDescent="0.2">
      <c r="A102" s="1" t="s">
        <v>10</v>
      </c>
      <c r="B102" s="1" t="s">
        <v>11</v>
      </c>
      <c r="C102" s="1" t="s">
        <v>6</v>
      </c>
      <c r="D102" s="1" t="s">
        <v>2</v>
      </c>
      <c r="E102" s="1" t="s">
        <v>12</v>
      </c>
      <c r="F102" s="1" t="s">
        <v>5</v>
      </c>
      <c r="G102" s="1" t="s">
        <v>70</v>
      </c>
      <c r="H102" s="1" t="s">
        <v>71</v>
      </c>
      <c r="I102" s="1" t="s">
        <v>72</v>
      </c>
      <c r="J102" s="1" t="s">
        <v>73</v>
      </c>
      <c r="K102" s="1" t="s">
        <v>74</v>
      </c>
    </row>
    <row r="103" spans="1:14" ht="16" x14ac:dyDescent="0.2">
      <c r="A103" s="6" t="str">
        <f>B94</f>
        <v>market for battery capacity, Li-ion, LTO</v>
      </c>
      <c r="B103">
        <v>1</v>
      </c>
      <c r="C103" t="str">
        <f>B99</f>
        <v>kilowatt hour</v>
      </c>
      <c r="D103" t="s">
        <v>3</v>
      </c>
      <c r="E103" t="s">
        <v>13</v>
      </c>
      <c r="F103" t="str">
        <f>B98</f>
        <v>battery capacity, Li-ion, LTO</v>
      </c>
    </row>
    <row r="104" spans="1:14" x14ac:dyDescent="0.2">
      <c r="A104" t="s">
        <v>39</v>
      </c>
      <c r="B104" s="3">
        <f>1/(0.085*64%)</f>
        <v>18.382352941176471</v>
      </c>
      <c r="C104" t="s">
        <v>7</v>
      </c>
      <c r="D104" t="s">
        <v>3</v>
      </c>
      <c r="E104" t="s">
        <v>14</v>
      </c>
      <c r="F104" t="s">
        <v>40</v>
      </c>
      <c r="G104">
        <v>5</v>
      </c>
      <c r="H104" s="7">
        <f>B104</f>
        <v>18.382352941176471</v>
      </c>
      <c r="I104" s="7">
        <f>B104*0.75</f>
        <v>13.786764705882353</v>
      </c>
      <c r="J104" s="7">
        <f>B104*1.25</f>
        <v>22.977941176470587</v>
      </c>
    </row>
    <row r="105" spans="1:14" x14ac:dyDescent="0.2">
      <c r="A105" t="s">
        <v>64</v>
      </c>
      <c r="B105" s="3">
        <f>-1*B104</f>
        <v>-18.382352941176471</v>
      </c>
      <c r="C105" t="s">
        <v>7</v>
      </c>
      <c r="D105" t="s">
        <v>3</v>
      </c>
      <c r="E105" t="s">
        <v>14</v>
      </c>
      <c r="F105" t="s">
        <v>65</v>
      </c>
      <c r="G105">
        <v>5</v>
      </c>
      <c r="H105" s="7">
        <f>B105</f>
        <v>-18.382352941176471</v>
      </c>
      <c r="I105" s="7">
        <f>B105*1.25</f>
        <v>-22.977941176470587</v>
      </c>
      <c r="J105" s="7">
        <f>B105*0.75</f>
        <v>-13.786764705882353</v>
      </c>
      <c r="K105" t="b">
        <v>1</v>
      </c>
      <c r="M105" s="7"/>
      <c r="N105" s="7"/>
    </row>
    <row r="107" spans="1:14" ht="16" x14ac:dyDescent="0.2">
      <c r="A107" s="2" t="s">
        <v>0</v>
      </c>
      <c r="B107" s="2" t="s">
        <v>66</v>
      </c>
    </row>
    <row r="108" spans="1:14" x14ac:dyDescent="0.2">
      <c r="A108" t="s">
        <v>1</v>
      </c>
      <c r="B108" t="s">
        <v>62</v>
      </c>
    </row>
    <row r="109" spans="1:14" x14ac:dyDescent="0.2">
      <c r="A109" t="s">
        <v>2</v>
      </c>
      <c r="B109" t="s">
        <v>3</v>
      </c>
    </row>
    <row r="110" spans="1:14" x14ac:dyDescent="0.2">
      <c r="A110" t="s">
        <v>4</v>
      </c>
      <c r="B110">
        <v>1</v>
      </c>
    </row>
    <row r="111" spans="1:14" x14ac:dyDescent="0.2">
      <c r="A111" t="s">
        <v>5</v>
      </c>
      <c r="B111" t="s">
        <v>67</v>
      </c>
    </row>
    <row r="112" spans="1:14" x14ac:dyDescent="0.2">
      <c r="A112" t="s">
        <v>6</v>
      </c>
      <c r="B112" t="s">
        <v>15</v>
      </c>
      <c r="E112" s="3"/>
    </row>
    <row r="113" spans="1:14" x14ac:dyDescent="0.2">
      <c r="A113" t="s">
        <v>58</v>
      </c>
      <c r="B113">
        <f>1-0.13</f>
        <v>0.87</v>
      </c>
    </row>
    <row r="114" spans="1:14" ht="16" x14ac:dyDescent="0.2">
      <c r="A114" s="2" t="s">
        <v>9</v>
      </c>
    </row>
    <row r="115" spans="1:14" x14ac:dyDescent="0.2">
      <c r="A115" s="1" t="s">
        <v>10</v>
      </c>
      <c r="B115" s="1" t="s">
        <v>11</v>
      </c>
      <c r="C115" s="1" t="s">
        <v>6</v>
      </c>
      <c r="D115" s="1" t="s">
        <v>2</v>
      </c>
      <c r="E115" s="1" t="s">
        <v>12</v>
      </c>
      <c r="F115" s="1" t="s">
        <v>5</v>
      </c>
      <c r="G115" s="1" t="s">
        <v>70</v>
      </c>
      <c r="H115" s="1" t="s">
        <v>71</v>
      </c>
      <c r="I115" s="1" t="s">
        <v>72</v>
      </c>
      <c r="J115" s="1" t="s">
        <v>73</v>
      </c>
      <c r="K115" s="1" t="s">
        <v>74</v>
      </c>
    </row>
    <row r="116" spans="1:14" ht="16" x14ac:dyDescent="0.2">
      <c r="A116" s="6" t="str">
        <f>B107</f>
        <v>market for battery capacity, Li-ion, LiMn2O4</v>
      </c>
      <c r="B116">
        <v>1</v>
      </c>
      <c r="C116" t="str">
        <f>B112</f>
        <v>kilowatt hour</v>
      </c>
      <c r="D116" t="s">
        <v>3</v>
      </c>
      <c r="E116" t="s">
        <v>13</v>
      </c>
      <c r="F116" t="str">
        <f>B111</f>
        <v>battery capacity, Li-ion, LiMn2O4</v>
      </c>
    </row>
    <row r="117" spans="1:14" x14ac:dyDescent="0.2">
      <c r="A117" t="s">
        <v>60</v>
      </c>
      <c r="B117" s="3">
        <f>1/(32/280)</f>
        <v>8.75</v>
      </c>
      <c r="C117" t="s">
        <v>7</v>
      </c>
      <c r="D117" t="s">
        <v>3</v>
      </c>
      <c r="E117" t="s">
        <v>14</v>
      </c>
      <c r="F117" t="s">
        <v>61</v>
      </c>
      <c r="G117">
        <v>5</v>
      </c>
      <c r="H117" s="7">
        <f>B117</f>
        <v>8.75</v>
      </c>
      <c r="I117" s="7">
        <f>B117*0.75</f>
        <v>6.5625</v>
      </c>
      <c r="J117" s="7">
        <f>B117*1.25</f>
        <v>10.9375</v>
      </c>
    </row>
    <row r="118" spans="1:14" x14ac:dyDescent="0.2">
      <c r="A118" t="s">
        <v>64</v>
      </c>
      <c r="B118" s="3">
        <f>-1*B117</f>
        <v>-8.75</v>
      </c>
      <c r="C118" t="s">
        <v>7</v>
      </c>
      <c r="D118" t="s">
        <v>3</v>
      </c>
      <c r="E118" t="s">
        <v>14</v>
      </c>
      <c r="F118" t="s">
        <v>65</v>
      </c>
      <c r="G118">
        <v>5</v>
      </c>
      <c r="H118" s="7">
        <f>B118</f>
        <v>-8.75</v>
      </c>
      <c r="I118" s="7">
        <f>B118*1.25</f>
        <v>-10.9375</v>
      </c>
      <c r="J118" s="7">
        <f>B118*0.75</f>
        <v>-6.5625</v>
      </c>
      <c r="K118" t="b">
        <v>1</v>
      </c>
      <c r="M118" s="7"/>
      <c r="N118" s="7"/>
    </row>
    <row r="120" spans="1:14" ht="16" x14ac:dyDescent="0.2">
      <c r="A120" s="2" t="s">
        <v>0</v>
      </c>
      <c r="B120" s="2" t="s">
        <v>68</v>
      </c>
    </row>
    <row r="121" spans="1:14" x14ac:dyDescent="0.2">
      <c r="A121" t="s">
        <v>1</v>
      </c>
      <c r="B121" t="s">
        <v>90</v>
      </c>
    </row>
    <row r="122" spans="1:14" x14ac:dyDescent="0.2">
      <c r="A122" t="s">
        <v>2</v>
      </c>
      <c r="B122" t="s">
        <v>3</v>
      </c>
    </row>
    <row r="123" spans="1:14" x14ac:dyDescent="0.2">
      <c r="A123" t="s">
        <v>4</v>
      </c>
      <c r="B123">
        <v>1</v>
      </c>
    </row>
    <row r="124" spans="1:14" x14ac:dyDescent="0.2">
      <c r="A124" t="s">
        <v>5</v>
      </c>
      <c r="B124" t="s">
        <v>69</v>
      </c>
    </row>
    <row r="125" spans="1:14" x14ac:dyDescent="0.2">
      <c r="A125" t="s">
        <v>6</v>
      </c>
      <c r="B125" t="s">
        <v>15</v>
      </c>
      <c r="D125" s="3"/>
    </row>
    <row r="126" spans="1:14" x14ac:dyDescent="0.2">
      <c r="A126" t="s">
        <v>58</v>
      </c>
      <c r="B126">
        <f>1-0.25</f>
        <v>0.75</v>
      </c>
    </row>
    <row r="127" spans="1:14" ht="16" x14ac:dyDescent="0.2">
      <c r="A127" s="2" t="s">
        <v>9</v>
      </c>
    </row>
    <row r="128" spans="1:14" x14ac:dyDescent="0.2">
      <c r="A128" s="1" t="s">
        <v>10</v>
      </c>
      <c r="B128" s="1" t="s">
        <v>11</v>
      </c>
      <c r="C128" s="1" t="s">
        <v>6</v>
      </c>
      <c r="D128" s="1" t="s">
        <v>2</v>
      </c>
      <c r="E128" s="1" t="s">
        <v>12</v>
      </c>
      <c r="F128" s="1" t="s">
        <v>5</v>
      </c>
      <c r="G128" s="1" t="s">
        <v>70</v>
      </c>
      <c r="H128" s="1" t="s">
        <v>71</v>
      </c>
      <c r="I128" s="1" t="s">
        <v>72</v>
      </c>
      <c r="J128" s="1" t="s">
        <v>73</v>
      </c>
      <c r="K128" s="1" t="s">
        <v>74</v>
      </c>
    </row>
    <row r="129" spans="1:14" ht="16" x14ac:dyDescent="0.2">
      <c r="A129" s="4" t="str">
        <f>B120</f>
        <v>market for battery capacity, Li-sulfur, Li-S</v>
      </c>
      <c r="B129">
        <v>1</v>
      </c>
      <c r="C129" t="str">
        <f>B125</f>
        <v>kilowatt hour</v>
      </c>
      <c r="D129" t="s">
        <v>3</v>
      </c>
      <c r="E129" t="s">
        <v>13</v>
      </c>
      <c r="F129" t="str">
        <f>B124</f>
        <v>battery capacity, Li-sulfur, Li-S</v>
      </c>
    </row>
    <row r="130" spans="1:14" x14ac:dyDescent="0.2">
      <c r="A130" t="s">
        <v>41</v>
      </c>
      <c r="B130" s="3">
        <f>1/(0.15*75%)</f>
        <v>8.8888888888888893</v>
      </c>
      <c r="C130" t="s">
        <v>7</v>
      </c>
      <c r="D130" t="s">
        <v>3</v>
      </c>
      <c r="E130" t="s">
        <v>14</v>
      </c>
      <c r="F130" t="s">
        <v>42</v>
      </c>
      <c r="G130">
        <v>5</v>
      </c>
      <c r="H130" s="7">
        <f>B130</f>
        <v>8.8888888888888893</v>
      </c>
      <c r="I130" s="3">
        <f>1/(0.5*75%)</f>
        <v>2.6666666666666665</v>
      </c>
      <c r="J130" s="3">
        <f>1/(0.14*75%)</f>
        <v>9.5238095238095237</v>
      </c>
    </row>
    <row r="131" spans="1:14" x14ac:dyDescent="0.2">
      <c r="A131" t="s">
        <v>64</v>
      </c>
      <c r="B131" s="3">
        <f>-1*B130</f>
        <v>-8.8888888888888893</v>
      </c>
      <c r="C131" t="s">
        <v>7</v>
      </c>
      <c r="D131" t="s">
        <v>3</v>
      </c>
      <c r="E131" t="s">
        <v>14</v>
      </c>
      <c r="F131" t="s">
        <v>65</v>
      </c>
      <c r="G131">
        <v>5</v>
      </c>
      <c r="H131" s="7">
        <f>B131</f>
        <v>-8.8888888888888893</v>
      </c>
      <c r="I131" s="3">
        <f>-1/(0.14*75%)</f>
        <v>-9.5238095238095237</v>
      </c>
      <c r="J131" s="3">
        <f>-1/(0.5*75%)</f>
        <v>-2.6666666666666665</v>
      </c>
      <c r="K131" t="b">
        <v>1</v>
      </c>
      <c r="M131" s="3"/>
      <c r="N131" s="3"/>
    </row>
    <row r="133" spans="1:14" ht="16" x14ac:dyDescent="0.2">
      <c r="A133" s="2" t="s">
        <v>0</v>
      </c>
      <c r="B133" s="2" t="s">
        <v>43</v>
      </c>
    </row>
    <row r="134" spans="1:14" x14ac:dyDescent="0.2">
      <c r="A134" t="s">
        <v>1</v>
      </c>
      <c r="B134" t="s">
        <v>59</v>
      </c>
    </row>
    <row r="135" spans="1:14" x14ac:dyDescent="0.2">
      <c r="A135" t="s">
        <v>2</v>
      </c>
      <c r="B135" t="s">
        <v>3</v>
      </c>
    </row>
    <row r="136" spans="1:14" x14ac:dyDescent="0.2">
      <c r="A136" t="s">
        <v>4</v>
      </c>
      <c r="B136">
        <v>1</v>
      </c>
    </row>
    <row r="137" spans="1:14" x14ac:dyDescent="0.2">
      <c r="A137" t="s">
        <v>5</v>
      </c>
      <c r="B137" t="s">
        <v>44</v>
      </c>
    </row>
    <row r="138" spans="1:14" x14ac:dyDescent="0.2">
      <c r="A138" t="s">
        <v>6</v>
      </c>
      <c r="B138" t="s">
        <v>15</v>
      </c>
    </row>
    <row r="139" spans="1:14" x14ac:dyDescent="0.2">
      <c r="A139" t="s">
        <v>58</v>
      </c>
      <c r="B139">
        <f>1-0.45</f>
        <v>0.55000000000000004</v>
      </c>
    </row>
    <row r="140" spans="1:14" ht="16" x14ac:dyDescent="0.2">
      <c r="A140" s="2" t="s">
        <v>9</v>
      </c>
    </row>
    <row r="141" spans="1:14" x14ac:dyDescent="0.2">
      <c r="A141" s="1" t="s">
        <v>10</v>
      </c>
      <c r="B141" s="1" t="s">
        <v>11</v>
      </c>
      <c r="C141" s="1" t="s">
        <v>6</v>
      </c>
      <c r="D141" s="1" t="s">
        <v>2</v>
      </c>
      <c r="E141" s="1" t="s">
        <v>12</v>
      </c>
      <c r="F141" s="1" t="s">
        <v>5</v>
      </c>
      <c r="G141" s="1" t="s">
        <v>70</v>
      </c>
      <c r="H141" s="1" t="s">
        <v>71</v>
      </c>
      <c r="I141" s="1" t="s">
        <v>72</v>
      </c>
      <c r="J141" s="1" t="s">
        <v>73</v>
      </c>
      <c r="K141" s="1" t="s">
        <v>74</v>
      </c>
    </row>
    <row r="142" spans="1:14" ht="16" x14ac:dyDescent="0.2">
      <c r="A142" s="4" t="str">
        <f>B133</f>
        <v>market for battery capacity, Li-ion, Li-O2</v>
      </c>
      <c r="B142">
        <v>1</v>
      </c>
      <c r="C142" t="str">
        <f>B138</f>
        <v>kilowatt hour</v>
      </c>
      <c r="D142" t="s">
        <v>3</v>
      </c>
      <c r="E142" t="s">
        <v>13</v>
      </c>
      <c r="F142" t="str">
        <f>B137</f>
        <v>battery capacity, Li-ion, Li-O2</v>
      </c>
    </row>
    <row r="143" spans="1:14" x14ac:dyDescent="0.2">
      <c r="A143" t="s">
        <v>45</v>
      </c>
      <c r="B143" s="3">
        <f>1/0.198</f>
        <v>5.0505050505050502</v>
      </c>
      <c r="C143" t="s">
        <v>7</v>
      </c>
      <c r="D143" t="s">
        <v>3</v>
      </c>
      <c r="E143" t="s">
        <v>14</v>
      </c>
      <c r="F143" t="s">
        <v>46</v>
      </c>
      <c r="G143">
        <v>5</v>
      </c>
      <c r="H143" s="7">
        <f>B143</f>
        <v>5.0505050505050502</v>
      </c>
      <c r="I143" s="7">
        <f>B143*0.75</f>
        <v>3.7878787878787876</v>
      </c>
      <c r="J143" s="7">
        <f>B143*1.25</f>
        <v>6.3131313131313131</v>
      </c>
    </row>
    <row r="144" spans="1:14" x14ac:dyDescent="0.2">
      <c r="A144" t="s">
        <v>64</v>
      </c>
      <c r="B144" s="3">
        <f>-1*B143</f>
        <v>-5.0505050505050502</v>
      </c>
      <c r="C144" t="s">
        <v>7</v>
      </c>
      <c r="D144" t="s">
        <v>3</v>
      </c>
      <c r="E144" t="s">
        <v>14</v>
      </c>
      <c r="F144" t="s">
        <v>65</v>
      </c>
      <c r="G144">
        <v>5</v>
      </c>
      <c r="H144" s="7">
        <f>B144</f>
        <v>-5.0505050505050502</v>
      </c>
      <c r="I144" s="7">
        <f>B144*1.25</f>
        <v>-6.3131313131313131</v>
      </c>
      <c r="J144" s="7">
        <f>B144*0.75</f>
        <v>-3.7878787878787876</v>
      </c>
      <c r="K144" t="b">
        <v>1</v>
      </c>
      <c r="M144" s="7"/>
      <c r="N144" s="7"/>
    </row>
    <row r="146" spans="1:14" ht="16" x14ac:dyDescent="0.2">
      <c r="A146" s="2" t="s">
        <v>0</v>
      </c>
      <c r="B146" s="2" t="s">
        <v>47</v>
      </c>
    </row>
    <row r="147" spans="1:14" x14ac:dyDescent="0.2">
      <c r="A147" t="s">
        <v>1</v>
      </c>
      <c r="B147" t="s">
        <v>89</v>
      </c>
    </row>
    <row r="148" spans="1:14" x14ac:dyDescent="0.2">
      <c r="A148" t="s">
        <v>2</v>
      </c>
      <c r="B148" t="s">
        <v>3</v>
      </c>
    </row>
    <row r="149" spans="1:14" x14ac:dyDescent="0.2">
      <c r="A149" t="s">
        <v>4</v>
      </c>
      <c r="B149">
        <v>1</v>
      </c>
    </row>
    <row r="150" spans="1:14" x14ac:dyDescent="0.2">
      <c r="A150" t="s">
        <v>5</v>
      </c>
      <c r="B150" t="s">
        <v>50</v>
      </c>
      <c r="E150" s="3"/>
    </row>
    <row r="151" spans="1:14" x14ac:dyDescent="0.2">
      <c r="A151" t="s">
        <v>6</v>
      </c>
      <c r="B151" t="s">
        <v>15</v>
      </c>
    </row>
    <row r="152" spans="1:14" x14ac:dyDescent="0.2">
      <c r="A152" t="s">
        <v>58</v>
      </c>
      <c r="B152">
        <f>1-0.25</f>
        <v>0.75</v>
      </c>
    </row>
    <row r="153" spans="1:14" ht="16" x14ac:dyDescent="0.2">
      <c r="A153" s="2" t="s">
        <v>9</v>
      </c>
    </row>
    <row r="154" spans="1:14" x14ac:dyDescent="0.2">
      <c r="A154" s="1" t="s">
        <v>10</v>
      </c>
      <c r="B154" s="1" t="s">
        <v>11</v>
      </c>
      <c r="C154" s="1" t="s">
        <v>6</v>
      </c>
      <c r="D154" s="1" t="s">
        <v>2</v>
      </c>
      <c r="E154" s="1" t="s">
        <v>12</v>
      </c>
      <c r="F154" s="1" t="s">
        <v>5</v>
      </c>
      <c r="G154" s="1" t="s">
        <v>70</v>
      </c>
      <c r="H154" s="1" t="s">
        <v>71</v>
      </c>
      <c r="I154" s="1" t="s">
        <v>72</v>
      </c>
      <c r="J154" s="1" t="s">
        <v>73</v>
      </c>
      <c r="K154" s="1" t="s">
        <v>74</v>
      </c>
    </row>
    <row r="155" spans="1:14" ht="16" x14ac:dyDescent="0.2">
      <c r="A155" s="4" t="str">
        <f>B146</f>
        <v>market for battery capacity, Sodium-ion, SiB</v>
      </c>
      <c r="B155">
        <v>1</v>
      </c>
      <c r="C155" t="str">
        <f>B151</f>
        <v>kilowatt hour</v>
      </c>
      <c r="D155" t="s">
        <v>3</v>
      </c>
      <c r="E155" t="s">
        <v>13</v>
      </c>
      <c r="F155" t="str">
        <f>B150</f>
        <v>battery capacity, Sodium-ion, SiB</v>
      </c>
    </row>
    <row r="156" spans="1:14" x14ac:dyDescent="0.2">
      <c r="A156" t="s">
        <v>48</v>
      </c>
      <c r="B156" s="3">
        <f>1/(0.16*75%)</f>
        <v>8.3333333333333339</v>
      </c>
      <c r="C156" t="s">
        <v>7</v>
      </c>
      <c r="D156" t="s">
        <v>3</v>
      </c>
      <c r="E156" t="s">
        <v>14</v>
      </c>
      <c r="F156" t="s">
        <v>49</v>
      </c>
      <c r="G156">
        <v>5</v>
      </c>
      <c r="H156" s="7">
        <f>B156</f>
        <v>8.3333333333333339</v>
      </c>
      <c r="I156" s="3">
        <f>1/(0.22*75%)</f>
        <v>6.0606060606060606</v>
      </c>
      <c r="J156" s="3">
        <f>1/(0.16*75%)</f>
        <v>8.3333333333333339</v>
      </c>
    </row>
    <row r="157" spans="1:14" x14ac:dyDescent="0.2">
      <c r="A157" t="s">
        <v>64</v>
      </c>
      <c r="B157" s="3">
        <f>-1*B156</f>
        <v>-8.3333333333333339</v>
      </c>
      <c r="C157" t="s">
        <v>7</v>
      </c>
      <c r="D157" t="s">
        <v>3</v>
      </c>
      <c r="E157" t="s">
        <v>14</v>
      </c>
      <c r="F157" t="s">
        <v>65</v>
      </c>
      <c r="G157">
        <v>5</v>
      </c>
      <c r="H157" s="7">
        <f>B157</f>
        <v>-8.3333333333333339</v>
      </c>
      <c r="I157" s="3">
        <f>-1/(0.16*75%)</f>
        <v>-8.3333333333333339</v>
      </c>
      <c r="J157" s="3">
        <f>-1/(0.22*75%)</f>
        <v>-6.0606060606060606</v>
      </c>
      <c r="K157" t="b">
        <v>1</v>
      </c>
      <c r="M157" s="3"/>
      <c r="N157" s="3"/>
    </row>
    <row r="159" spans="1:14" ht="16" x14ac:dyDescent="0.2">
      <c r="A159" s="2" t="s">
        <v>0</v>
      </c>
      <c r="B159" s="2" t="s">
        <v>57</v>
      </c>
    </row>
    <row r="160" spans="1:14" x14ac:dyDescent="0.2">
      <c r="A160" t="s">
        <v>1</v>
      </c>
      <c r="B160" t="s">
        <v>55</v>
      </c>
    </row>
    <row r="161" spans="1:14" x14ac:dyDescent="0.2">
      <c r="A161" t="s">
        <v>2</v>
      </c>
      <c r="B161" t="s">
        <v>3</v>
      </c>
    </row>
    <row r="162" spans="1:14" x14ac:dyDescent="0.2">
      <c r="A162" t="s">
        <v>4</v>
      </c>
      <c r="B162">
        <v>1</v>
      </c>
    </row>
    <row r="163" spans="1:14" x14ac:dyDescent="0.2">
      <c r="A163" t="s">
        <v>5</v>
      </c>
      <c r="B163" t="s">
        <v>63</v>
      </c>
    </row>
    <row r="164" spans="1:14" x14ac:dyDescent="0.2">
      <c r="A164" t="s">
        <v>6</v>
      </c>
      <c r="B164" t="s">
        <v>15</v>
      </c>
    </row>
    <row r="165" spans="1:14" x14ac:dyDescent="0.2">
      <c r="A165" t="s">
        <v>8</v>
      </c>
      <c r="B165" t="s">
        <v>54</v>
      </c>
    </row>
    <row r="166" spans="1:14" x14ac:dyDescent="0.2">
      <c r="A166" s="1" t="s">
        <v>9</v>
      </c>
      <c r="B166" s="1"/>
      <c r="C166" s="1"/>
      <c r="D166" s="1"/>
      <c r="E166" s="1"/>
      <c r="F166" s="1"/>
      <c r="G166" s="1"/>
    </row>
    <row r="167" spans="1:14" x14ac:dyDescent="0.2">
      <c r="A167" s="1" t="s">
        <v>10</v>
      </c>
      <c r="B167" s="1" t="s">
        <v>11</v>
      </c>
      <c r="C167" s="1" t="s">
        <v>6</v>
      </c>
      <c r="D167" s="1" t="s">
        <v>2</v>
      </c>
      <c r="E167" s="1" t="s">
        <v>12</v>
      </c>
      <c r="F167" s="1" t="s">
        <v>5</v>
      </c>
      <c r="G167" s="1" t="s">
        <v>70</v>
      </c>
      <c r="H167" s="1" t="s">
        <v>71</v>
      </c>
      <c r="I167" s="1" t="s">
        <v>72</v>
      </c>
      <c r="J167" s="1" t="s">
        <v>73</v>
      </c>
      <c r="K167" s="1" t="s">
        <v>74</v>
      </c>
    </row>
    <row r="168" spans="1:14" ht="16" x14ac:dyDescent="0.2">
      <c r="A168" s="5" t="str">
        <f>B159</f>
        <v>market for battery capacity, Sodium-Nickel-Chloride, Na-NiCl</v>
      </c>
      <c r="B168">
        <v>1</v>
      </c>
      <c r="C168" t="s">
        <v>15</v>
      </c>
      <c r="D168" t="str">
        <f>B161</f>
        <v>GLO</v>
      </c>
      <c r="E168" t="s">
        <v>13</v>
      </c>
      <c r="F168" t="str">
        <f>B163</f>
        <v>battery capacity, Na-NiCl</v>
      </c>
    </row>
    <row r="169" spans="1:14" x14ac:dyDescent="0.2">
      <c r="A169" t="s">
        <v>51</v>
      </c>
      <c r="B169" s="3">
        <f>1/0.116</f>
        <v>8.6206896551724128</v>
      </c>
      <c r="C169" t="s">
        <v>7</v>
      </c>
      <c r="D169" t="s">
        <v>3</v>
      </c>
      <c r="E169" t="s">
        <v>14</v>
      </c>
      <c r="F169" t="s">
        <v>52</v>
      </c>
      <c r="G169">
        <v>5</v>
      </c>
      <c r="H169" s="7">
        <f>B169</f>
        <v>8.6206896551724128</v>
      </c>
      <c r="I169" s="7">
        <f>B169*0.75</f>
        <v>6.4655172413793096</v>
      </c>
      <c r="J169" s="7">
        <f>B169*1.25</f>
        <v>10.775862068965516</v>
      </c>
    </row>
    <row r="170" spans="1:14" x14ac:dyDescent="0.2">
      <c r="A170" t="s">
        <v>64</v>
      </c>
      <c r="B170" s="3">
        <f>-1*B169</f>
        <v>-8.6206896551724128</v>
      </c>
      <c r="C170" t="s">
        <v>7</v>
      </c>
      <c r="D170" t="s">
        <v>3</v>
      </c>
      <c r="E170" t="s">
        <v>14</v>
      </c>
      <c r="F170" t="s">
        <v>65</v>
      </c>
      <c r="G170">
        <v>5</v>
      </c>
      <c r="H170" s="7">
        <f>B170</f>
        <v>-8.6206896551724128</v>
      </c>
      <c r="I170" s="7">
        <f>B170*1.25</f>
        <v>-10.775862068965516</v>
      </c>
      <c r="J170" s="7">
        <f>B170*0.75</f>
        <v>-6.4655172413793096</v>
      </c>
      <c r="K170" t="b">
        <v>1</v>
      </c>
      <c r="M170" s="7"/>
      <c r="N170" s="7"/>
    </row>
    <row r="172" spans="1:14" ht="16" x14ac:dyDescent="0.2">
      <c r="A172" s="2" t="s">
        <v>0</v>
      </c>
      <c r="B172" s="2" t="s">
        <v>94</v>
      </c>
    </row>
    <row r="173" spans="1:14" x14ac:dyDescent="0.2">
      <c r="A173" t="s">
        <v>1</v>
      </c>
      <c r="B173" t="s">
        <v>92</v>
      </c>
    </row>
    <row r="174" spans="1:14" x14ac:dyDescent="0.2">
      <c r="A174" t="s">
        <v>2</v>
      </c>
      <c r="B174" t="s">
        <v>3</v>
      </c>
    </row>
    <row r="175" spans="1:14" x14ac:dyDescent="0.2">
      <c r="A175" t="s">
        <v>4</v>
      </c>
      <c r="B175">
        <v>1</v>
      </c>
    </row>
    <row r="176" spans="1:14" x14ac:dyDescent="0.2">
      <c r="A176" t="s">
        <v>5</v>
      </c>
      <c r="B176" t="s">
        <v>36</v>
      </c>
    </row>
    <row r="177" spans="1:11" x14ac:dyDescent="0.2">
      <c r="A177" t="s">
        <v>6</v>
      </c>
      <c r="B177" t="s">
        <v>15</v>
      </c>
    </row>
    <row r="178" spans="1:11" x14ac:dyDescent="0.2">
      <c r="A178" t="s">
        <v>8</v>
      </c>
      <c r="B178" t="s">
        <v>93</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t="str">
        <f>B172</f>
        <v>market for battery capacity (MIX scenario)</v>
      </c>
      <c r="B181">
        <v>1</v>
      </c>
      <c r="C181" t="s">
        <v>15</v>
      </c>
      <c r="D181" t="s">
        <v>3</v>
      </c>
      <c r="E181" t="s">
        <v>13</v>
      </c>
      <c r="F181" t="s">
        <v>36</v>
      </c>
      <c r="G181" s="1"/>
      <c r="H181" s="1"/>
      <c r="I181" s="1"/>
      <c r="J181" s="1"/>
      <c r="K181" s="1"/>
    </row>
    <row r="182" spans="1:11" ht="16" x14ac:dyDescent="0.2">
      <c r="A182" s="4" t="s">
        <v>17</v>
      </c>
      <c r="B182">
        <v>0</v>
      </c>
      <c r="C182" t="s">
        <v>15</v>
      </c>
      <c r="D182" t="s">
        <v>3</v>
      </c>
      <c r="E182" t="s">
        <v>14</v>
      </c>
      <c r="F182" t="s">
        <v>18</v>
      </c>
    </row>
    <row r="183" spans="1:11" ht="16" x14ac:dyDescent="0.2">
      <c r="A183" s="4" t="s">
        <v>21</v>
      </c>
      <c r="B183">
        <v>0</v>
      </c>
      <c r="C183" t="s">
        <v>15</v>
      </c>
      <c r="D183" t="s">
        <v>3</v>
      </c>
      <c r="E183" t="s">
        <v>14</v>
      </c>
      <c r="F183" t="s">
        <v>25</v>
      </c>
    </row>
    <row r="184" spans="1:11" ht="16" x14ac:dyDescent="0.2">
      <c r="A184" s="4" t="s">
        <v>75</v>
      </c>
      <c r="B184">
        <v>0</v>
      </c>
      <c r="C184" t="s">
        <v>15</v>
      </c>
      <c r="D184" t="s">
        <v>3</v>
      </c>
      <c r="E184" t="s">
        <v>14</v>
      </c>
      <c r="F184" t="s">
        <v>76</v>
      </c>
    </row>
    <row r="185" spans="1:11" ht="16" x14ac:dyDescent="0.2">
      <c r="A185" s="4" t="s">
        <v>24</v>
      </c>
      <c r="B185">
        <v>0</v>
      </c>
      <c r="C185" t="s">
        <v>15</v>
      </c>
      <c r="D185" t="s">
        <v>3</v>
      </c>
      <c r="E185" t="s">
        <v>14</v>
      </c>
      <c r="F185" t="s">
        <v>26</v>
      </c>
    </row>
    <row r="186" spans="1:11" ht="16" x14ac:dyDescent="0.2">
      <c r="A186" s="4" t="s">
        <v>27</v>
      </c>
      <c r="B186">
        <v>0</v>
      </c>
      <c r="C186" t="s">
        <v>15</v>
      </c>
      <c r="D186" t="s">
        <v>3</v>
      </c>
      <c r="E186" t="s">
        <v>14</v>
      </c>
      <c r="F186" t="s">
        <v>28</v>
      </c>
    </row>
    <row r="187" spans="1:11" ht="16" x14ac:dyDescent="0.2">
      <c r="A187" s="4" t="s">
        <v>79</v>
      </c>
      <c r="B187">
        <v>0</v>
      </c>
      <c r="C187" t="s">
        <v>15</v>
      </c>
      <c r="D187" t="s">
        <v>3</v>
      </c>
      <c r="E187" t="s">
        <v>14</v>
      </c>
      <c r="F187" t="s">
        <v>80</v>
      </c>
    </row>
    <row r="188" spans="1:11" ht="16" x14ac:dyDescent="0.2">
      <c r="A188" s="4" t="s">
        <v>32</v>
      </c>
      <c r="B188">
        <v>0</v>
      </c>
      <c r="C188" t="s">
        <v>15</v>
      </c>
      <c r="D188" t="s">
        <v>3</v>
      </c>
      <c r="E188" t="s">
        <v>14</v>
      </c>
      <c r="F188" t="s">
        <v>33</v>
      </c>
    </row>
    <row r="189" spans="1:11" ht="16" x14ac:dyDescent="0.2">
      <c r="A189" s="6" t="s">
        <v>37</v>
      </c>
      <c r="B189">
        <v>0</v>
      </c>
      <c r="C189" t="s">
        <v>15</v>
      </c>
      <c r="D189" t="s">
        <v>3</v>
      </c>
      <c r="E189" t="s">
        <v>14</v>
      </c>
      <c r="F189" t="s">
        <v>38</v>
      </c>
    </row>
    <row r="190" spans="1:11" ht="16" x14ac:dyDescent="0.2">
      <c r="A190" s="6" t="s">
        <v>66</v>
      </c>
      <c r="B190">
        <v>0</v>
      </c>
      <c r="C190" t="s">
        <v>15</v>
      </c>
      <c r="D190" t="s">
        <v>3</v>
      </c>
      <c r="E190" t="s">
        <v>14</v>
      </c>
      <c r="F190" t="s">
        <v>67</v>
      </c>
    </row>
    <row r="191" spans="1:11" ht="16" x14ac:dyDescent="0.2">
      <c r="A191" s="4" t="s">
        <v>68</v>
      </c>
      <c r="B191">
        <v>0</v>
      </c>
      <c r="C191" t="s">
        <v>15</v>
      </c>
      <c r="D191" t="s">
        <v>3</v>
      </c>
      <c r="E191" t="s">
        <v>14</v>
      </c>
      <c r="F191" t="s">
        <v>69</v>
      </c>
    </row>
    <row r="192" spans="1:11" ht="16" x14ac:dyDescent="0.2">
      <c r="A192" s="4" t="s">
        <v>43</v>
      </c>
      <c r="B192">
        <v>0</v>
      </c>
      <c r="C192" t="s">
        <v>15</v>
      </c>
      <c r="D192" t="s">
        <v>3</v>
      </c>
      <c r="E192" t="s">
        <v>14</v>
      </c>
      <c r="F192" t="s">
        <v>44</v>
      </c>
    </row>
    <row r="193" spans="1:11" ht="16" x14ac:dyDescent="0.2">
      <c r="A193" s="4" t="s">
        <v>47</v>
      </c>
      <c r="B193">
        <v>0</v>
      </c>
      <c r="C193" t="s">
        <v>15</v>
      </c>
      <c r="D193" t="s">
        <v>3</v>
      </c>
      <c r="E193" t="s">
        <v>14</v>
      </c>
      <c r="F193" t="s">
        <v>50</v>
      </c>
    </row>
    <row r="194" spans="1:11" ht="16" x14ac:dyDescent="0.2">
      <c r="A194" s="5" t="s">
        <v>57</v>
      </c>
      <c r="B194">
        <v>0</v>
      </c>
      <c r="C194" t="s">
        <v>15</v>
      </c>
      <c r="D194" t="s">
        <v>3</v>
      </c>
      <c r="E194" t="s">
        <v>14</v>
      </c>
      <c r="F194" t="s">
        <v>63</v>
      </c>
    </row>
    <row r="196" spans="1:11" ht="16" x14ac:dyDescent="0.2">
      <c r="A196" s="2" t="s">
        <v>0</v>
      </c>
      <c r="B196" s="2" t="s">
        <v>95</v>
      </c>
    </row>
    <row r="197" spans="1:11" x14ac:dyDescent="0.2">
      <c r="A197" t="s">
        <v>1</v>
      </c>
      <c r="B197" t="s">
        <v>92</v>
      </c>
    </row>
    <row r="198" spans="1:11" x14ac:dyDescent="0.2">
      <c r="A198" t="s">
        <v>2</v>
      </c>
      <c r="B198" t="s">
        <v>3</v>
      </c>
    </row>
    <row r="199" spans="1:11" x14ac:dyDescent="0.2">
      <c r="A199" t="s">
        <v>4</v>
      </c>
      <c r="B199">
        <v>1</v>
      </c>
    </row>
    <row r="200" spans="1:11" x14ac:dyDescent="0.2">
      <c r="A200" t="s">
        <v>5</v>
      </c>
      <c r="B200" t="s">
        <v>36</v>
      </c>
    </row>
    <row r="201" spans="1:11" x14ac:dyDescent="0.2">
      <c r="A201" t="s">
        <v>6</v>
      </c>
      <c r="B201" t="s">
        <v>15</v>
      </c>
    </row>
    <row r="202" spans="1:11" x14ac:dyDescent="0.2">
      <c r="A202" t="s">
        <v>8</v>
      </c>
      <c r="B202" t="s">
        <v>93</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t="str">
        <f>B196</f>
        <v>market for battery capacity (LFP scenario)</v>
      </c>
      <c r="B205">
        <v>1</v>
      </c>
      <c r="C205" t="s">
        <v>15</v>
      </c>
      <c r="D205" t="s">
        <v>3</v>
      </c>
      <c r="E205" t="s">
        <v>13</v>
      </c>
      <c r="F205" t="s">
        <v>36</v>
      </c>
      <c r="G205" s="1"/>
      <c r="H205" s="1"/>
      <c r="I205" s="1"/>
      <c r="J205" s="1"/>
      <c r="K205" s="1"/>
    </row>
    <row r="206" spans="1:11" ht="16" x14ac:dyDescent="0.2">
      <c r="A206" s="4" t="s">
        <v>17</v>
      </c>
      <c r="B206">
        <v>0</v>
      </c>
      <c r="C206" t="s">
        <v>15</v>
      </c>
      <c r="D206" t="s">
        <v>3</v>
      </c>
      <c r="E206" t="s">
        <v>14</v>
      </c>
      <c r="F206" t="s">
        <v>18</v>
      </c>
    </row>
    <row r="207" spans="1:11" ht="16" x14ac:dyDescent="0.2">
      <c r="A207" s="4" t="s">
        <v>21</v>
      </c>
      <c r="B207">
        <v>0</v>
      </c>
      <c r="C207" t="s">
        <v>15</v>
      </c>
      <c r="D207" t="s">
        <v>3</v>
      </c>
      <c r="E207" t="s">
        <v>14</v>
      </c>
      <c r="F207" t="s">
        <v>25</v>
      </c>
    </row>
    <row r="208" spans="1:11" ht="16" x14ac:dyDescent="0.2">
      <c r="A208" s="4" t="s">
        <v>75</v>
      </c>
      <c r="B208">
        <v>0</v>
      </c>
      <c r="C208" t="s">
        <v>15</v>
      </c>
      <c r="D208" t="s">
        <v>3</v>
      </c>
      <c r="E208" t="s">
        <v>14</v>
      </c>
      <c r="F208" t="s">
        <v>76</v>
      </c>
    </row>
    <row r="209" spans="1:6" ht="16" x14ac:dyDescent="0.2">
      <c r="A209" s="4" t="s">
        <v>24</v>
      </c>
      <c r="B209">
        <v>0</v>
      </c>
      <c r="C209" t="s">
        <v>15</v>
      </c>
      <c r="D209" t="s">
        <v>3</v>
      </c>
      <c r="E209" t="s">
        <v>14</v>
      </c>
      <c r="F209" t="s">
        <v>26</v>
      </c>
    </row>
    <row r="210" spans="1:6" ht="16" x14ac:dyDescent="0.2">
      <c r="A210" s="4" t="s">
        <v>27</v>
      </c>
      <c r="B210">
        <v>0</v>
      </c>
      <c r="C210" t="s">
        <v>15</v>
      </c>
      <c r="D210" t="s">
        <v>3</v>
      </c>
      <c r="E210" t="s">
        <v>14</v>
      </c>
      <c r="F210" t="s">
        <v>28</v>
      </c>
    </row>
    <row r="211" spans="1:6" ht="16" x14ac:dyDescent="0.2">
      <c r="A211" s="4" t="s">
        <v>79</v>
      </c>
      <c r="B211">
        <v>0</v>
      </c>
      <c r="C211" t="s">
        <v>15</v>
      </c>
      <c r="D211" t="s">
        <v>3</v>
      </c>
      <c r="E211" t="s">
        <v>14</v>
      </c>
      <c r="F211" t="s">
        <v>80</v>
      </c>
    </row>
    <row r="212" spans="1:6" ht="16" x14ac:dyDescent="0.2">
      <c r="A212" s="4" t="s">
        <v>32</v>
      </c>
      <c r="B212">
        <v>0</v>
      </c>
      <c r="C212" t="s">
        <v>15</v>
      </c>
      <c r="D212" t="s">
        <v>3</v>
      </c>
      <c r="E212" t="s">
        <v>14</v>
      </c>
      <c r="F212" t="s">
        <v>33</v>
      </c>
    </row>
    <row r="213" spans="1:6" ht="16" x14ac:dyDescent="0.2">
      <c r="A213" s="6" t="s">
        <v>37</v>
      </c>
      <c r="B213">
        <v>0</v>
      </c>
      <c r="C213" t="s">
        <v>15</v>
      </c>
      <c r="D213" t="s">
        <v>3</v>
      </c>
      <c r="E213" t="s">
        <v>14</v>
      </c>
      <c r="F213" t="s">
        <v>38</v>
      </c>
    </row>
    <row r="214" spans="1:6" ht="16" x14ac:dyDescent="0.2">
      <c r="A214" s="6" t="s">
        <v>66</v>
      </c>
      <c r="B214">
        <v>0</v>
      </c>
      <c r="C214" t="s">
        <v>15</v>
      </c>
      <c r="D214" t="s">
        <v>3</v>
      </c>
      <c r="E214" t="s">
        <v>14</v>
      </c>
      <c r="F214" t="s">
        <v>67</v>
      </c>
    </row>
    <row r="215" spans="1:6" ht="16" x14ac:dyDescent="0.2">
      <c r="A215" s="4" t="s">
        <v>68</v>
      </c>
      <c r="B215">
        <v>0</v>
      </c>
      <c r="C215" t="s">
        <v>15</v>
      </c>
      <c r="D215" t="s">
        <v>3</v>
      </c>
      <c r="E215" t="s">
        <v>14</v>
      </c>
      <c r="F215" t="s">
        <v>69</v>
      </c>
    </row>
    <row r="216" spans="1:6" ht="16" x14ac:dyDescent="0.2">
      <c r="A216" s="4" t="s">
        <v>43</v>
      </c>
      <c r="B216">
        <v>0</v>
      </c>
      <c r="C216" t="s">
        <v>15</v>
      </c>
      <c r="D216" t="s">
        <v>3</v>
      </c>
      <c r="E216" t="s">
        <v>14</v>
      </c>
      <c r="F216" t="s">
        <v>44</v>
      </c>
    </row>
    <row r="217" spans="1:6" ht="16" x14ac:dyDescent="0.2">
      <c r="A217" s="4" t="s">
        <v>47</v>
      </c>
      <c r="B217">
        <v>0</v>
      </c>
      <c r="C217" t="s">
        <v>15</v>
      </c>
      <c r="D217" t="s">
        <v>3</v>
      </c>
      <c r="E217" t="s">
        <v>14</v>
      </c>
      <c r="F217" t="s">
        <v>50</v>
      </c>
    </row>
    <row r="218" spans="1:6" ht="16" x14ac:dyDescent="0.2">
      <c r="A218" s="5" t="s">
        <v>57</v>
      </c>
      <c r="B218">
        <v>0</v>
      </c>
      <c r="C218" t="s">
        <v>15</v>
      </c>
      <c r="D218" t="s">
        <v>3</v>
      </c>
      <c r="E218" t="s">
        <v>14</v>
      </c>
      <c r="F218" t="s">
        <v>63</v>
      </c>
    </row>
    <row r="220" spans="1:6" ht="16" x14ac:dyDescent="0.2">
      <c r="A220" s="2" t="s">
        <v>0</v>
      </c>
      <c r="B220" s="2" t="s">
        <v>96</v>
      </c>
    </row>
    <row r="221" spans="1:6" x14ac:dyDescent="0.2">
      <c r="A221" t="s">
        <v>1</v>
      </c>
      <c r="B221" t="s">
        <v>92</v>
      </c>
    </row>
    <row r="222" spans="1:6" x14ac:dyDescent="0.2">
      <c r="A222" t="s">
        <v>2</v>
      </c>
      <c r="B222" t="s">
        <v>3</v>
      </c>
    </row>
    <row r="223" spans="1:6" x14ac:dyDescent="0.2">
      <c r="A223" t="s">
        <v>4</v>
      </c>
      <c r="B223">
        <v>1</v>
      </c>
    </row>
    <row r="224" spans="1:6" x14ac:dyDescent="0.2">
      <c r="A224" t="s">
        <v>5</v>
      </c>
      <c r="B224" t="s">
        <v>36</v>
      </c>
    </row>
    <row r="225" spans="1:11" x14ac:dyDescent="0.2">
      <c r="A225" t="s">
        <v>6</v>
      </c>
      <c r="B225" t="s">
        <v>15</v>
      </c>
    </row>
    <row r="226" spans="1:11" x14ac:dyDescent="0.2">
      <c r="A226" t="s">
        <v>8</v>
      </c>
      <c r="B226" t="s">
        <v>93</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t="str">
        <f>B220</f>
        <v>market for battery capacity (NCx scenario)</v>
      </c>
      <c r="B229">
        <v>1</v>
      </c>
      <c r="C229" t="s">
        <v>15</v>
      </c>
      <c r="D229" t="s">
        <v>3</v>
      </c>
      <c r="E229" t="s">
        <v>13</v>
      </c>
      <c r="F229" t="s">
        <v>36</v>
      </c>
      <c r="G229" s="1"/>
      <c r="H229" s="1"/>
      <c r="I229" s="1"/>
      <c r="J229" s="1"/>
      <c r="K229" s="1"/>
    </row>
    <row r="230" spans="1:11" ht="16" x14ac:dyDescent="0.2">
      <c r="A230" s="4" t="s">
        <v>17</v>
      </c>
      <c r="B230">
        <v>0</v>
      </c>
      <c r="C230" t="s">
        <v>15</v>
      </c>
      <c r="D230" t="s">
        <v>3</v>
      </c>
      <c r="E230" t="s">
        <v>14</v>
      </c>
      <c r="F230" t="s">
        <v>18</v>
      </c>
    </row>
    <row r="231" spans="1:11" ht="16" x14ac:dyDescent="0.2">
      <c r="A231" s="4" t="s">
        <v>21</v>
      </c>
      <c r="B231">
        <v>0</v>
      </c>
      <c r="C231" t="s">
        <v>15</v>
      </c>
      <c r="D231" t="s">
        <v>3</v>
      </c>
      <c r="E231" t="s">
        <v>14</v>
      </c>
      <c r="F231" t="s">
        <v>25</v>
      </c>
    </row>
    <row r="232" spans="1:11" ht="16" x14ac:dyDescent="0.2">
      <c r="A232" s="4" t="s">
        <v>75</v>
      </c>
      <c r="B232">
        <v>0</v>
      </c>
      <c r="C232" t="s">
        <v>15</v>
      </c>
      <c r="D232" t="s">
        <v>3</v>
      </c>
      <c r="E232" t="s">
        <v>14</v>
      </c>
      <c r="F232" t="s">
        <v>76</v>
      </c>
    </row>
    <row r="233" spans="1:11" ht="16" x14ac:dyDescent="0.2">
      <c r="A233" s="4" t="s">
        <v>24</v>
      </c>
      <c r="B233">
        <v>0</v>
      </c>
      <c r="C233" t="s">
        <v>15</v>
      </c>
      <c r="D233" t="s">
        <v>3</v>
      </c>
      <c r="E233" t="s">
        <v>14</v>
      </c>
      <c r="F233" t="s">
        <v>26</v>
      </c>
    </row>
    <row r="234" spans="1:11" ht="16" x14ac:dyDescent="0.2">
      <c r="A234" s="4" t="s">
        <v>27</v>
      </c>
      <c r="B234">
        <v>0</v>
      </c>
      <c r="C234" t="s">
        <v>15</v>
      </c>
      <c r="D234" t="s">
        <v>3</v>
      </c>
      <c r="E234" t="s">
        <v>14</v>
      </c>
      <c r="F234" t="s">
        <v>28</v>
      </c>
    </row>
    <row r="235" spans="1:11" ht="16" x14ac:dyDescent="0.2">
      <c r="A235" s="4" t="s">
        <v>79</v>
      </c>
      <c r="B235">
        <v>0</v>
      </c>
      <c r="C235" t="s">
        <v>15</v>
      </c>
      <c r="D235" t="s">
        <v>3</v>
      </c>
      <c r="E235" t="s">
        <v>14</v>
      </c>
      <c r="F235" t="s">
        <v>80</v>
      </c>
    </row>
    <row r="236" spans="1:11" ht="16" x14ac:dyDescent="0.2">
      <c r="A236" s="4" t="s">
        <v>32</v>
      </c>
      <c r="B236">
        <v>0</v>
      </c>
      <c r="C236" t="s">
        <v>15</v>
      </c>
      <c r="D236" t="s">
        <v>3</v>
      </c>
      <c r="E236" t="s">
        <v>14</v>
      </c>
      <c r="F236" t="s">
        <v>33</v>
      </c>
    </row>
    <row r="237" spans="1:11" ht="16" x14ac:dyDescent="0.2">
      <c r="A237" s="6" t="s">
        <v>37</v>
      </c>
      <c r="B237">
        <v>0</v>
      </c>
      <c r="C237" t="s">
        <v>15</v>
      </c>
      <c r="D237" t="s">
        <v>3</v>
      </c>
      <c r="E237" t="s">
        <v>14</v>
      </c>
      <c r="F237" t="s">
        <v>38</v>
      </c>
    </row>
    <row r="238" spans="1:11" ht="16" x14ac:dyDescent="0.2">
      <c r="A238" s="6" t="s">
        <v>66</v>
      </c>
      <c r="B238">
        <v>0</v>
      </c>
      <c r="C238" t="s">
        <v>15</v>
      </c>
      <c r="D238" t="s">
        <v>3</v>
      </c>
      <c r="E238" t="s">
        <v>14</v>
      </c>
      <c r="F238" t="s">
        <v>67</v>
      </c>
    </row>
    <row r="239" spans="1:11" ht="16" x14ac:dyDescent="0.2">
      <c r="A239" s="4" t="s">
        <v>68</v>
      </c>
      <c r="B239">
        <v>0</v>
      </c>
      <c r="C239" t="s">
        <v>15</v>
      </c>
      <c r="D239" t="s">
        <v>3</v>
      </c>
      <c r="E239" t="s">
        <v>14</v>
      </c>
      <c r="F239" t="s">
        <v>69</v>
      </c>
    </row>
    <row r="240" spans="1:11" ht="16" x14ac:dyDescent="0.2">
      <c r="A240" s="4" t="s">
        <v>43</v>
      </c>
      <c r="B240">
        <v>0</v>
      </c>
      <c r="C240" t="s">
        <v>15</v>
      </c>
      <c r="D240" t="s">
        <v>3</v>
      </c>
      <c r="E240" t="s">
        <v>14</v>
      </c>
      <c r="F240" t="s">
        <v>44</v>
      </c>
    </row>
    <row r="241" spans="1:11" ht="16" x14ac:dyDescent="0.2">
      <c r="A241" s="4" t="s">
        <v>47</v>
      </c>
      <c r="B241">
        <v>0</v>
      </c>
      <c r="C241" t="s">
        <v>15</v>
      </c>
      <c r="D241" t="s">
        <v>3</v>
      </c>
      <c r="E241" t="s">
        <v>14</v>
      </c>
      <c r="F241" t="s">
        <v>50</v>
      </c>
    </row>
    <row r="242" spans="1:11" ht="16" x14ac:dyDescent="0.2">
      <c r="A242" s="5" t="s">
        <v>57</v>
      </c>
      <c r="B242">
        <v>0</v>
      </c>
      <c r="C242" t="s">
        <v>15</v>
      </c>
      <c r="D242" t="s">
        <v>3</v>
      </c>
      <c r="E242" t="s">
        <v>14</v>
      </c>
      <c r="F242" t="s">
        <v>63</v>
      </c>
    </row>
    <row r="244" spans="1:11" ht="16" x14ac:dyDescent="0.2">
      <c r="A244" s="2" t="s">
        <v>0</v>
      </c>
      <c r="B244" s="2" t="s">
        <v>97</v>
      </c>
    </row>
    <row r="245" spans="1:11" x14ac:dyDescent="0.2">
      <c r="A245" t="s">
        <v>1</v>
      </c>
      <c r="B245" t="s">
        <v>92</v>
      </c>
    </row>
    <row r="246" spans="1:11" x14ac:dyDescent="0.2">
      <c r="A246" t="s">
        <v>2</v>
      </c>
      <c r="B246" t="s">
        <v>3</v>
      </c>
    </row>
    <row r="247" spans="1:11" x14ac:dyDescent="0.2">
      <c r="A247" t="s">
        <v>4</v>
      </c>
      <c r="B247">
        <v>1</v>
      </c>
    </row>
    <row r="248" spans="1:11" x14ac:dyDescent="0.2">
      <c r="A248" t="s">
        <v>5</v>
      </c>
      <c r="B248" t="s">
        <v>36</v>
      </c>
    </row>
    <row r="249" spans="1:11" x14ac:dyDescent="0.2">
      <c r="A249" t="s">
        <v>6</v>
      </c>
      <c r="B249" t="s">
        <v>15</v>
      </c>
    </row>
    <row r="250" spans="1:11" x14ac:dyDescent="0.2">
      <c r="A250" t="s">
        <v>8</v>
      </c>
      <c r="B250" t="s">
        <v>93</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t="str">
        <f>B244</f>
        <v>market for battery capacity (PLiB scenario)</v>
      </c>
      <c r="B253">
        <v>1</v>
      </c>
      <c r="C253" t="s">
        <v>15</v>
      </c>
      <c r="D253" t="s">
        <v>3</v>
      </c>
      <c r="E253" t="s">
        <v>13</v>
      </c>
      <c r="F253" t="s">
        <v>36</v>
      </c>
      <c r="G253" s="1"/>
      <c r="H253" s="1"/>
      <c r="I253" s="1"/>
      <c r="J253" s="1"/>
      <c r="K253" s="1"/>
    </row>
    <row r="254" spans="1:11" ht="16" x14ac:dyDescent="0.2">
      <c r="A254" s="4" t="s">
        <v>17</v>
      </c>
      <c r="B254">
        <v>0</v>
      </c>
      <c r="C254" t="s">
        <v>15</v>
      </c>
      <c r="D254" t="s">
        <v>3</v>
      </c>
      <c r="E254" t="s">
        <v>14</v>
      </c>
      <c r="F254" t="s">
        <v>18</v>
      </c>
    </row>
    <row r="255" spans="1:11" ht="16" x14ac:dyDescent="0.2">
      <c r="A255" s="4" t="s">
        <v>21</v>
      </c>
      <c r="B255">
        <v>0</v>
      </c>
      <c r="C255" t="s">
        <v>15</v>
      </c>
      <c r="D255" t="s">
        <v>3</v>
      </c>
      <c r="E255" t="s">
        <v>14</v>
      </c>
      <c r="F255" t="s">
        <v>25</v>
      </c>
    </row>
    <row r="256" spans="1:11" ht="16" x14ac:dyDescent="0.2">
      <c r="A256" s="4" t="s">
        <v>75</v>
      </c>
      <c r="B256">
        <v>0</v>
      </c>
      <c r="C256" t="s">
        <v>15</v>
      </c>
      <c r="D256" t="s">
        <v>3</v>
      </c>
      <c r="E256" t="s">
        <v>14</v>
      </c>
      <c r="F256" t="s">
        <v>76</v>
      </c>
    </row>
    <row r="257" spans="1:6" ht="16" x14ac:dyDescent="0.2">
      <c r="A257" s="4" t="s">
        <v>24</v>
      </c>
      <c r="B257">
        <v>0</v>
      </c>
      <c r="C257" t="s">
        <v>15</v>
      </c>
      <c r="D257" t="s">
        <v>3</v>
      </c>
      <c r="E257" t="s">
        <v>14</v>
      </c>
      <c r="F257" t="s">
        <v>26</v>
      </c>
    </row>
    <row r="258" spans="1:6" ht="16" x14ac:dyDescent="0.2">
      <c r="A258" s="4" t="s">
        <v>27</v>
      </c>
      <c r="B258">
        <v>0</v>
      </c>
      <c r="C258" t="s">
        <v>15</v>
      </c>
      <c r="D258" t="s">
        <v>3</v>
      </c>
      <c r="E258" t="s">
        <v>14</v>
      </c>
      <c r="F258" t="s">
        <v>28</v>
      </c>
    </row>
    <row r="259" spans="1:6" ht="16" x14ac:dyDescent="0.2">
      <c r="A259" s="4" t="s">
        <v>79</v>
      </c>
      <c r="B259">
        <v>0</v>
      </c>
      <c r="C259" t="s">
        <v>15</v>
      </c>
      <c r="D259" t="s">
        <v>3</v>
      </c>
      <c r="E259" t="s">
        <v>14</v>
      </c>
      <c r="F259" t="s">
        <v>80</v>
      </c>
    </row>
    <row r="260" spans="1:6" ht="16" x14ac:dyDescent="0.2">
      <c r="A260" s="4" t="s">
        <v>32</v>
      </c>
      <c r="B260">
        <v>0</v>
      </c>
      <c r="C260" t="s">
        <v>15</v>
      </c>
      <c r="D260" t="s">
        <v>3</v>
      </c>
      <c r="E260" t="s">
        <v>14</v>
      </c>
      <c r="F260" t="s">
        <v>33</v>
      </c>
    </row>
    <row r="261" spans="1:6" ht="16" x14ac:dyDescent="0.2">
      <c r="A261" s="6" t="s">
        <v>37</v>
      </c>
      <c r="B261">
        <v>0</v>
      </c>
      <c r="C261" t="s">
        <v>15</v>
      </c>
      <c r="D261" t="s">
        <v>3</v>
      </c>
      <c r="E261" t="s">
        <v>14</v>
      </c>
      <c r="F261" t="s">
        <v>38</v>
      </c>
    </row>
    <row r="262" spans="1:6" ht="16" x14ac:dyDescent="0.2">
      <c r="A262" s="6" t="s">
        <v>66</v>
      </c>
      <c r="B262">
        <v>0</v>
      </c>
      <c r="C262" t="s">
        <v>15</v>
      </c>
      <c r="D262" t="s">
        <v>3</v>
      </c>
      <c r="E262" t="s">
        <v>14</v>
      </c>
      <c r="F262" t="s">
        <v>67</v>
      </c>
    </row>
    <row r="263" spans="1:6" ht="16" x14ac:dyDescent="0.2">
      <c r="A263" s="4" t="s">
        <v>68</v>
      </c>
      <c r="B263">
        <v>0</v>
      </c>
      <c r="C263" t="s">
        <v>15</v>
      </c>
      <c r="D263" t="s">
        <v>3</v>
      </c>
      <c r="E263" t="s">
        <v>14</v>
      </c>
      <c r="F263" t="s">
        <v>69</v>
      </c>
    </row>
    <row r="264" spans="1:6" ht="16" x14ac:dyDescent="0.2">
      <c r="A264" s="4" t="s">
        <v>43</v>
      </c>
      <c r="B264">
        <v>0</v>
      </c>
      <c r="C264" t="s">
        <v>15</v>
      </c>
      <c r="D264" t="s">
        <v>3</v>
      </c>
      <c r="E264" t="s">
        <v>14</v>
      </c>
      <c r="F264" t="s">
        <v>44</v>
      </c>
    </row>
    <row r="265" spans="1:6" ht="16" x14ac:dyDescent="0.2">
      <c r="A265" s="4" t="s">
        <v>47</v>
      </c>
      <c r="B265">
        <v>0</v>
      </c>
      <c r="C265" t="s">
        <v>15</v>
      </c>
      <c r="D265" t="s">
        <v>3</v>
      </c>
      <c r="E265" t="s">
        <v>14</v>
      </c>
      <c r="F265" t="s">
        <v>50</v>
      </c>
    </row>
    <row r="266" spans="1:6" ht="16" x14ac:dyDescent="0.2">
      <c r="A266" s="5" t="s">
        <v>57</v>
      </c>
      <c r="B266">
        <v>0</v>
      </c>
      <c r="C266" t="s">
        <v>15</v>
      </c>
      <c r="D266" t="s">
        <v>3</v>
      </c>
      <c r="E266" t="s">
        <v>14</v>
      </c>
      <c r="F266" t="s">
        <v>63</v>
      </c>
    </row>
  </sheetData>
  <autoFilter ref="A1:H170" xr:uid="{00000000-0001-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NMC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2024-07-23T11:20:17Z</dcterms:modified>
</cp:coreProperties>
</file>