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63415C3E-A3E4-3949-93D8-B41F32435F48}" xr6:coauthVersionLast="47" xr6:coauthVersionMax="47" xr10:uidLastSave="{00000000-0000-0000-0000-000000000000}"/>
  <bookViews>
    <workbookView xWindow="0" yWindow="760" windowWidth="30240" windowHeight="18880" xr2:uid="{00000000-000D-0000-FFFF-FFFF00000000}"/>
  </bookViews>
  <sheets>
    <sheet name="DAC" sheetId="1" r:id="rId1"/>
  </sheets>
  <definedNames>
    <definedName name="_xlnm._FilterDatabase" localSheetId="0" hidden="1">DAC!$A$1:$T$380</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31" i="1" l="1"/>
  <c r="K131" i="1"/>
  <c r="J131" i="1"/>
  <c r="L113" i="1"/>
  <c r="K113" i="1"/>
  <c r="J113" i="1"/>
  <c r="J15" i="1"/>
  <c r="L37" i="1"/>
  <c r="L15" i="1"/>
  <c r="K37" i="1"/>
  <c r="K15" i="1"/>
  <c r="L130" i="1"/>
  <c r="K130" i="1"/>
  <c r="L112" i="1"/>
  <c r="K112" i="1"/>
  <c r="B376" i="1"/>
  <c r="B380" i="1"/>
  <c r="B379" i="1"/>
  <c r="B378" i="1"/>
  <c r="B377" i="1"/>
  <c r="G374" i="1"/>
  <c r="A374" i="1"/>
  <c r="B361" i="1"/>
  <c r="G359" i="1"/>
  <c r="A359" i="1"/>
  <c r="B346" i="1"/>
  <c r="B345" i="1"/>
  <c r="B344" i="1"/>
  <c r="B347" i="1" s="1"/>
  <c r="B343" i="1"/>
  <c r="B342" i="1"/>
  <c r="B341" i="1"/>
  <c r="B340" i="1"/>
  <c r="B339" i="1"/>
  <c r="B338" i="1"/>
  <c r="G336" i="1"/>
  <c r="A336" i="1"/>
  <c r="J44" i="1"/>
  <c r="J43" i="1"/>
  <c r="J22" i="1"/>
  <c r="J21" i="1"/>
  <c r="B42" i="1"/>
  <c r="B41" i="1"/>
  <c r="B20" i="1"/>
  <c r="B19" i="1"/>
  <c r="L36" i="1"/>
  <c r="K36" i="1"/>
  <c r="L14" i="1"/>
  <c r="B15" i="1"/>
  <c r="K14" i="1"/>
  <c r="B14" i="1"/>
  <c r="J14" i="1" s="1"/>
  <c r="J242" i="1"/>
  <c r="B244" i="1"/>
  <c r="G239" i="1"/>
  <c r="A239" i="1"/>
  <c r="L223" i="1"/>
  <c r="L222" i="1"/>
  <c r="K223" i="1"/>
  <c r="K222" i="1"/>
  <c r="B227" i="1"/>
  <c r="J227" i="1" s="1"/>
  <c r="B226" i="1"/>
  <c r="J226" i="1" s="1"/>
  <c r="B225" i="1"/>
  <c r="J225" i="1" s="1"/>
  <c r="B224" i="1"/>
  <c r="J224" i="1" s="1"/>
  <c r="B221" i="1"/>
  <c r="J221" i="1" s="1"/>
  <c r="B220" i="1"/>
  <c r="J220" i="1" s="1"/>
  <c r="B219" i="1"/>
  <c r="J219" i="1" s="1"/>
  <c r="B218" i="1"/>
  <c r="J218" i="1" s="1"/>
  <c r="B217" i="1"/>
  <c r="J217" i="1" s="1"/>
  <c r="G216" i="1"/>
  <c r="A216" i="1"/>
  <c r="B78" i="1"/>
  <c r="B77" i="1"/>
  <c r="B76" i="1"/>
  <c r="B170" i="1"/>
  <c r="B169" i="1"/>
  <c r="B168" i="1"/>
  <c r="B323" i="1"/>
  <c r="B319" i="1"/>
  <c r="B320" i="1" s="1"/>
  <c r="B301" i="1"/>
  <c r="B131" i="1"/>
  <c r="B130" i="1"/>
  <c r="J130" i="1" s="1"/>
  <c r="B113" i="1"/>
  <c r="B112" i="1"/>
  <c r="J112" i="1" s="1"/>
  <c r="B36" i="1"/>
  <c r="J36" i="1" s="1"/>
  <c r="B37" i="1"/>
  <c r="J37" i="1" s="1"/>
  <c r="B222" i="1" l="1"/>
  <c r="J222" i="1" s="1"/>
  <c r="B223" i="1"/>
  <c r="J223" i="1" s="1"/>
</calcChain>
</file>

<file path=xl/sharedStrings.xml><?xml version="1.0" encoding="utf-8"?>
<sst xmlns="http://schemas.openxmlformats.org/spreadsheetml/2006/main" count="1508" uniqueCount="264">
  <si>
    <t>Activity</t>
  </si>
  <si>
    <t>production amount</t>
  </si>
  <si>
    <t>reference product</t>
  </si>
  <si>
    <t>type</t>
  </si>
  <si>
    <t>process</t>
  </si>
  <si>
    <t>unit</t>
  </si>
  <si>
    <t>kilogram</t>
  </si>
  <si>
    <t>location</t>
  </si>
  <si>
    <t>RER</t>
  </si>
  <si>
    <t>comment</t>
  </si>
  <si>
    <t>Exchanges</t>
  </si>
  <si>
    <t>name</t>
  </si>
  <si>
    <t>amount</t>
  </si>
  <si>
    <t>categories</t>
  </si>
  <si>
    <t>database</t>
  </si>
  <si>
    <t>production</t>
  </si>
  <si>
    <t>technosphere</t>
  </si>
  <si>
    <t>carbon dioxide, captured from atmosphere</t>
  </si>
  <si>
    <t>GLO</t>
  </si>
  <si>
    <t>source</t>
  </si>
  <si>
    <t>direct air capture</t>
  </si>
  <si>
    <t>biosphere</t>
  </si>
  <si>
    <t>CH</t>
  </si>
  <si>
    <t>megajoule</t>
  </si>
  <si>
    <t>kilowatt hour</t>
  </si>
  <si>
    <t>electricity, low voltage</t>
  </si>
  <si>
    <t>treatment of spent anion exchange resin from potable water production, municipal incineration</t>
  </si>
  <si>
    <t>RoW</t>
  </si>
  <si>
    <t>spent anion exchange resin from potable water production</t>
  </si>
  <si>
    <t>ton kilometer</t>
  </si>
  <si>
    <t>polyvinylchloride, bulk polymerised</t>
  </si>
  <si>
    <t>steel, low-alloyed</t>
  </si>
  <si>
    <t>market for tap water</t>
  </si>
  <si>
    <t>tap water</t>
  </si>
  <si>
    <t>reinforcing steel</t>
  </si>
  <si>
    <t>market group for electricity, low voltage</t>
  </si>
  <si>
    <t>market for transport, freight, lorry, unspecified</t>
  </si>
  <si>
    <t>transport, freight, lorry, unspecified</t>
  </si>
  <si>
    <t>natural resource::in air</t>
  </si>
  <si>
    <t>Carbon dioxide, non-fossil</t>
  </si>
  <si>
    <t>Carbon dioxide, in air</t>
  </si>
  <si>
    <t>Qiu, Y., Lamers, P., Daioglou, V. et al. Environmental trade-offs of direct air capture technologies in climate change mitigation toward 2100. Nat Commun 13, 3635 (2022). https://doi.org/10.1038/s41467-022-31146-1</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</si>
  <si>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t>
  </si>
  <si>
    <t>market for steel, low-alloyed</t>
  </si>
  <si>
    <t>steel production, chromium steel 18/8, hot rolled</t>
  </si>
  <si>
    <t>market for polyurethane, flexible foam</t>
  </si>
  <si>
    <t>market for glass fibre</t>
  </si>
  <si>
    <t>market for polypropylene, granulate</t>
  </si>
  <si>
    <t>market for polyvinylchloride, bulk polymerised</t>
  </si>
  <si>
    <t>Air contact module</t>
  </si>
  <si>
    <t>cubic meter</t>
  </si>
  <si>
    <t>steel, chromium steel 18/8, hot rolled</t>
  </si>
  <si>
    <t>polyurethane, flexible foam</t>
  </si>
  <si>
    <t>glass fibre</t>
  </si>
  <si>
    <t>polypropylene, granulate</t>
  </si>
  <si>
    <t>Pellet reactor</t>
  </si>
  <si>
    <t>market for refractory, basic, packed</t>
  </si>
  <si>
    <t>Calciner slaker</t>
  </si>
  <si>
    <t>refractory, basic, packed</t>
  </si>
  <si>
    <t>market for aluminium, wrought alloy</t>
  </si>
  <si>
    <t>market for steel, unalloyed</t>
  </si>
  <si>
    <t>aluminium, wrought alloy</t>
  </si>
  <si>
    <t>Other equipment</t>
  </si>
  <si>
    <t>direct air capture system, solvent-based, 1MtCO2</t>
  </si>
  <si>
    <t>direct air capture system</t>
  </si>
  <si>
    <t>treatment of direct air capture system, solvent-based, 1MtCO2</t>
  </si>
  <si>
    <t>treatment of waste concrete, inert material landfill</t>
  </si>
  <si>
    <t>treatment of waste reinforcement steel, recycling</t>
  </si>
  <si>
    <t>treatment of waste plastic, mixture, municipal incineration</t>
  </si>
  <si>
    <t>treatment of waste polyvinylchloride, municipal incineration</t>
  </si>
  <si>
    <t>treatment of waste polypropylene, municipal incineration</t>
  </si>
  <si>
    <t>treatment of waste polyurethane, municipal incineration</t>
  </si>
  <si>
    <t>treatment of waste brick, collection for final disposal</t>
  </si>
  <si>
    <t>treatment of aluminium scrap, post-consumer, prepared for recycling, at remelter</t>
  </si>
  <si>
    <t>treatment of spent solvent mixture, hazardous waste incineration</t>
  </si>
  <si>
    <t>treatment of limestone residue, inert material landfill</t>
  </si>
  <si>
    <t>carbon dioxide, captured from atmosphere, with a solvent-based direct air capture system, 1MtCO2</t>
  </si>
  <si>
    <t>System</t>
  </si>
  <si>
    <t>EoL</t>
  </si>
  <si>
    <t>market group for electricity, medium voltage</t>
  </si>
  <si>
    <t>electricity, medium voltage</t>
  </si>
  <si>
    <t>heat production, natural gas, at industrial furnace &gt;100kW</t>
  </si>
  <si>
    <t>amine-based silica production, for sorbent-based direct air capture system</t>
  </si>
  <si>
    <t>amine-based silica</t>
  </si>
  <si>
    <t>market for sodium silicate, solid</t>
  </si>
  <si>
    <t>market for sulfuric acid</t>
  </si>
  <si>
    <t>market for heat, central or small-scale, natural gas</t>
  </si>
  <si>
    <t>market for water, deionised</t>
  </si>
  <si>
    <t>air</t>
  </si>
  <si>
    <t>sodium silicate, solid</t>
  </si>
  <si>
    <t>sulfuric acid</t>
  </si>
  <si>
    <t>heat, central or small-scale, natural gas</t>
  </si>
  <si>
    <t>water, deionised</t>
  </si>
  <si>
    <t>market for monoethanolamine</t>
  </si>
  <si>
    <t>market for sodium hydroxide, without water, in 50% solution state</t>
  </si>
  <si>
    <t>market for hydrochloric acid, without water, in 30% solution state</t>
  </si>
  <si>
    <t>market for ethanol, without water, in 99.7% solution state, from fermentation</t>
  </si>
  <si>
    <t>market for diethyl ether, without water, in 99.95% solution state</t>
  </si>
  <si>
    <t>64% silica gel</t>
  </si>
  <si>
    <t>36% PEI</t>
  </si>
  <si>
    <t>carbon dioxide compression, transport and storage</t>
  </si>
  <si>
    <t>carbon dioxide, stored</t>
  </si>
  <si>
    <t>The CO2 flow is compressed through a compressor to 11 MPa and then transported through a pipeline to the storage site. The length of the transport pipeline is assumed to be 50 km. At the storage site, the CO2 will be further compressed to 15 MPa and injected into a geological reservoir through wells with the depth of 3 km each. Original LCI from Koornneef, J., van Keulen, T., Faaij, A. &amp; Turkenburg, W. Life cycle assessment of a pulverized coal
power plant with post-combustion capture, transport and storage of CO2. International Journal of Greenhouse Gas Control 2, 448–467 (2008).</t>
  </si>
  <si>
    <t>market for polyethylene, low density, granulate</t>
  </si>
  <si>
    <t>compression facility</t>
  </si>
  <si>
    <t>market for sand</t>
  </si>
  <si>
    <t>market for reinforcing steel</t>
  </si>
  <si>
    <t>market for drawing of pipe, steel</t>
  </si>
  <si>
    <t>market for bitumen seal</t>
  </si>
  <si>
    <t>market for onshore well, oil/gas</t>
  </si>
  <si>
    <t>pipeline transport</t>
  </si>
  <si>
    <t>geological storage</t>
  </si>
  <si>
    <t>operation</t>
  </si>
  <si>
    <t>treatment of scrap copper, municipal incineration</t>
  </si>
  <si>
    <t>treatment of waste polyethylene, municipal incineration</t>
  </si>
  <si>
    <t>treatment of waste bitumen, sanitary landfill</t>
  </si>
  <si>
    <t>For the sorbent system, the LCI data are collected from the work of Deutz and Bardow based on the Climeworks system. The LCI data represent a plant with an annual capacity of 100 kt CO2/year and a lifetime of 20 years.</t>
  </si>
  <si>
    <t>carbon dioxide, captured from atmosphere, with a sorbent-based direct air capture system, 100ktCO2</t>
  </si>
  <si>
    <t>direct air capture system, sorbent-based, 100ktCO2</t>
  </si>
  <si>
    <t>market for stone wool</t>
  </si>
  <si>
    <t>market for polyurethane, rigid foam</t>
  </si>
  <si>
    <t>market for alkyd paint, white, without solvent, in 60% solution state</t>
  </si>
  <si>
    <t>civil engineering</t>
  </si>
  <si>
    <t>hall</t>
  </si>
  <si>
    <t>collector containers</t>
  </si>
  <si>
    <t>market for polystyrene foam slab for perimeter insulation</t>
  </si>
  <si>
    <t>process unit</t>
  </si>
  <si>
    <t>spare parts</t>
  </si>
  <si>
    <t>stone wool</t>
  </si>
  <si>
    <t>polyurethane, rigid foam</t>
  </si>
  <si>
    <t>alkyd paint, white, without solvent, in 60% solution state</t>
  </si>
  <si>
    <t>polystyrene foam slab for perimeter insulation</t>
  </si>
  <si>
    <t>steel, unalloyed</t>
  </si>
  <si>
    <t>treatment of direct air capture system, sorbent-based, 100ktCO2</t>
  </si>
  <si>
    <t>treatment of waste mineral wool, inert material landfill</t>
  </si>
  <si>
    <t>Europe without Switzerland</t>
  </si>
  <si>
    <t>sand</t>
  </si>
  <si>
    <t>onshore well, oil/gas</t>
  </si>
  <si>
    <t>polyethylene, low density, granulate</t>
  </si>
  <si>
    <t>drawing of pipe, steel</t>
  </si>
  <si>
    <t>bitumen seal</t>
  </si>
  <si>
    <t>waste bitumen</t>
  </si>
  <si>
    <t>waste polyethylene</t>
  </si>
  <si>
    <t>meter</t>
  </si>
  <si>
    <t>spent solvent mixture</t>
  </si>
  <si>
    <t>monoethanolamine</t>
  </si>
  <si>
    <t>sodium hydroxide, without water, in 50% solution state</t>
  </si>
  <si>
    <t>hydrochloric acid, without water, in 30% solution state</t>
  </si>
  <si>
    <t>ethanol, without water, in 99.7% solution state, from fermentation</t>
  </si>
  <si>
    <t>diethyl ether, without water, in 99.95% solution state</t>
  </si>
  <si>
    <t>market for diesel, burned in diesel-electric generating set, 10MW</t>
  </si>
  <si>
    <t>diesel, burned in diesel-electric generating set, 10MW</t>
  </si>
  <si>
    <t>Particulates, &lt; 2.5 um</t>
  </si>
  <si>
    <t>wastewater, average</t>
  </si>
  <si>
    <t>waste mineral wool, for final disposal</t>
  </si>
  <si>
    <t>scrap copper</t>
  </si>
  <si>
    <t>market for copper, cathode</t>
  </si>
  <si>
    <t>copper, cathode</t>
  </si>
  <si>
    <t>limestone residue</t>
  </si>
  <si>
    <t>waste brick</t>
  </si>
  <si>
    <t>waste polyurethane</t>
  </si>
  <si>
    <t>waste polypropylene</t>
  </si>
  <si>
    <t>waste polyvinylchloride</t>
  </si>
  <si>
    <t>waste plastic, mixture</t>
  </si>
  <si>
    <t>waste reinforcement steel</t>
  </si>
  <si>
    <t>waste concrete</t>
  </si>
  <si>
    <t>heat, district or industrial, natural gas</t>
  </si>
  <si>
    <t>carbon dioxide, captured from atmosphere and stored, with a solvent-based direct air capture system, 1MtCO2</t>
  </si>
  <si>
    <t>storage</t>
  </si>
  <si>
    <t>carbon dioxide, captured from atmosphere and stored, with a sorbent-based direct air capture system, 100ktCO2</t>
  </si>
  <si>
    <t>market for potassium hydroxide</t>
  </si>
  <si>
    <t>potassium hydroxide</t>
  </si>
  <si>
    <t>market for limestone, crushed, for mill</t>
  </si>
  <si>
    <t>limestone, crushed, for mill</t>
  </si>
  <si>
    <t>CO2 uptake</t>
  </si>
  <si>
    <t>operational</t>
  </si>
  <si>
    <t>Synthesized by impregnate amines polyethylenimine (PEI) on solid silica gel. The LCI of amine-based silica is collected from literature and based on the composition that 1 kg amine-based silica requires of 0.64kg silica
gel and 0.36 kg PEI. Inputs of ethanol and diethyl ether are reduced by 95% to account for recovery.</t>
  </si>
  <si>
    <t>carbon dioxide, captured at municipal solid waste incineration plant, for subsequent reuse</t>
  </si>
  <si>
    <t>carbon dioxide, captured and reused</t>
  </si>
  <si>
    <t>share biogenic CO2</t>
  </si>
  <si>
    <t>uncertainty type</t>
  </si>
  <si>
    <t>loc</t>
  </si>
  <si>
    <t>u1</t>
  </si>
  <si>
    <t>u2</t>
  </si>
  <si>
    <t>u3</t>
  </si>
  <si>
    <t>u4</t>
  </si>
  <si>
    <t>u5</t>
  </si>
  <si>
    <t>u6</t>
  </si>
  <si>
    <t>ub</t>
  </si>
  <si>
    <t>scale</t>
  </si>
  <si>
    <t>negative</t>
  </si>
  <si>
    <t/>
  </si>
  <si>
    <t>Carbon dioxide, fossil</t>
  </si>
  <si>
    <t>CO2 keakage.</t>
  </si>
  <si>
    <t>Ammonia</t>
  </si>
  <si>
    <t>market for heat, from steam, in chemical industry</t>
  </si>
  <si>
    <t>heat, from steam, in chemical industry</t>
  </si>
  <si>
    <t>market for activated carbon, granular</t>
  </si>
  <si>
    <t>activated carbon, granular</t>
  </si>
  <si>
    <t>carbon dioxide, captured at cement production plant, for subsequent reuse</t>
  </si>
  <si>
    <t>Alternative production of methanol from industrial CO2. Meunier et al. 2020. Renewable Energy 146, pp. 1192-1203</t>
  </si>
  <si>
    <t>credit allocation to fuel producer</t>
  </si>
  <si>
    <t>CO2 leakage.</t>
  </si>
  <si>
    <t>market for concrete, normal strength</t>
  </si>
  <si>
    <t>treatment of wastewater, average, wastewater treatment</t>
  </si>
  <si>
    <t>concrete, normal strength</t>
  </si>
  <si>
    <t>market for spent anion exchange resin from potable water production</t>
  </si>
  <si>
    <t>Originally 3.7 MJ, without heat recovery. 0.4 MJ using heat from teh MSWI plant. However, when doing so, 40% of teh heat is lost and cannot be redistributed to the heating district system. Hence, we add this loss to the amount of external heat needed.</t>
  </si>
  <si>
    <t>The MEA technology considered for this study is modelled after Tang and You, 2018, Reiter and Lindorfer, 2015. After flue gas condensation, the cooled flue gas is fed into a reactor containing a 30% MEA solution, which absorbs around 85–90% of the CO2, typically at 25 °C–50 °C at 1 bar. The process is exothermic. The CO2-rich solution is heated afterwards to 100–140 °C, and in a stripper at 1–2 bars the CO2 desorbs from the MEA and leaves saturated with water vapour. The water is then condensed from the CO2 stream, and the CO2 is compressed to around 150 bar for transporting in pipes or a lower pressure for local tank storage and shipment by truck. The recovered MEA is reused in the plant (Pour et al., 2018). About 4 kg of MEA is used per tonne of CO2, due to degradation (releasing around 0.1 kg NH3 per tonne CO2 captured), the formation of heat-stable salts and losses as vapour and aerosols during stripping (the latter is around 0.01 kg per tonne of CO2 captured). NaOH is added in the stripping step at an amount of 0.1 kg per tonne CO2 captured. Around 4 kg of solid waste is generated per tonne of CO2 captured; this waste is disregarded. The MEA CC process also reduces the content of other pollutants in the flue gas, the extent of which depends on whether flue gas condensation is already in place or is introduced as part of the CO2 capture system. SOx, HCl, particulate matter and heavy metals are reduced to very low levels by flue gas condensation and subsequent CC. The level of NH3 increases in the flue gas after CC because of degradation of MEA. This is not included here. In the publication, a scenario where 90% of the needed heat comes from recovered heat from the MSWI plant. It is assumed here. However, 40% of the 90% is lost and cannot be redistructed to the district heating system afterwards. We also include this penalty here. Source: Valentina Bisinella, Tore Hulgaard, Christian Riber, Anders Damgaard, Thomas H. Christensen, Environmental assessment of carbon capture and storage (CCS) as a post-treatment technology in waste incineration, Waste Management, 2021, https://doi.org/10.1016/j.wasman.2021.04.046.</t>
  </si>
  <si>
    <t>Capture of CO2 from a cement plant for subsequent reuse. It is a facility integrated in a synthetic fuel production chain, so a certain amount of the needed steam heat (used to regenerate the sorbent) can come from excess heat generated by the synfuel conversion process, the rest being complemented by a dedicated source. In Meunier et al. 2020, 26% comes from excess heat generated by the methanol production process. In Davilà, Sacchi and Pizool, 2023, close to 30% of the heat need comes from the cement kiln. We use the latter. To be changed according to needs. Also, there is no need for water, as it is provided by the methanol production process as well. CO2 chemical absorption-regeneration process using amines as scrubbing solvent. The amine solution used for this absorption was an aqueous solution of monoethanolamine (MEA) in a mass concentration of 30 wt.%, widely studied and considered as a benchmark for industrial CO2 capture applications. The CO2 is pre-compressed at 2 bar before storage. 10% of the CO2 is released back into the atmosphere (because the CO2 absoprtion rate is only 90%). The original publication considers the MEA makeup to be 1 kg per ton captured CO2 to compensate the losses due to the thermal degradation of the amine only, as the evaporation of the amine in the absorber is prevented by a flash tank. We correct this value to 4 kg, to algin with other point source capture and DAC datasets. The rate of fossil vs. biogenic CO2 received from the cement plant need to be reflected in this dataset in two places: at the leakage level, but also at the storage level. At the storage level, we only indicate biogenic CO2. By default, we asusme 6% of the CO2 emissions are biogenic (i.e., Switzerland).</t>
  </si>
  <si>
    <t>Occupation, industrial area</t>
  </si>
  <si>
    <t>square meter-year</t>
  </si>
  <si>
    <t>Land occupation</t>
  </si>
  <si>
    <t>Transformation, to industrial area</t>
  </si>
  <si>
    <t>square meter</t>
  </si>
  <si>
    <t>natural resource::land</t>
  </si>
  <si>
    <t>Land transformation</t>
  </si>
  <si>
    <t>Transformation, from unspecified</t>
  </si>
  <si>
    <t>For the sorbent system, the LCI data are collected from the work of Deutz and Bardow based on the Climeworks system. The LCI data represent a plant with an annual capacity of 100 kt CO2/year and a lifetime of 20 years. The surface occupied is 7838 m2 over 20 years.</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</si>
  <si>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 We do not have information on the surface occupied, hence we scale up the land occupation and transformation values for the sorbent-based system.</t>
  </si>
  <si>
    <t>For the sorbent system, the LCI data are collected from the work of Deutz and Bardow based on the Climeworks system (https://doi.org/10.1038/s41560-020-00771-9). The LCI data represent a plant with an annual capacity of 100 kt CO2/year and a lifetime of 20 years.</t>
  </si>
  <si>
    <t>polyethyleneimine (PEI) production, for sorbent-based direct air capture system</t>
  </si>
  <si>
    <t>polyethyleneimine</t>
  </si>
  <si>
    <t>Deutz, S., Bardow, A. Life-cycle assessment of an industrial direct air capture process based on temperature–vacuum swing adsorption. Nat Energy 6, 203–213 (2021). https://doi.org/10.1038/s41560-020-00771-9</t>
  </si>
  <si>
    <t>Life-cycle inventory (LCI) for the production of 1 kg polyethyleneimine (PEI) for the best- and worst-case. Aziridine is produced via the Wenker process19 and PEI via the homopolymerization of aziridine21. In the best-case we assume an energy proxy based on a chemical park in Germany,23 while the energy demand in the worst-case is based on Kim et al. (2003).</t>
  </si>
  <si>
    <t>minimum</t>
  </si>
  <si>
    <t>maximum</t>
  </si>
  <si>
    <t>silica gel production, for sorbent-based direct air capture system</t>
  </si>
  <si>
    <t>silica gel</t>
  </si>
  <si>
    <t>Life-cycle inventory (LCI) for the production of 1 kg of silica gel according to Roes et al. (2010)</t>
  </si>
  <si>
    <t>95% recovery in worst case, 99% recovery in best case.</t>
  </si>
  <si>
    <t xml:space="preserve">Deutz, S., Bardow, A. Life-cycle assessment of an industrial direct air capture process based on temperature–vacuum swing adsorption. Nat Energy 6, 203–213 (2021). https://doi.org/10.1038/s41560-020-00771-9. Further adapted for prospective purpose by Qiu, Y., Lamers, P., Daioglou, V. et al. Environmental trade-offs of direct air capture technologies in climate change mitigation toward 2100. Nat Commun 13, 3635 (2022). https://doi.org/10.1038/s41467-022-31146-1
</t>
  </si>
  <si>
    <t>operation. Future: 5.4 MJ/kg CO2 captured, today: 11.9.</t>
  </si>
  <si>
    <t>operation. Future: 0.5 kWh/kg CO2 captured, today: 0.7.</t>
  </si>
  <si>
    <t>operation. Uncertainty from deJong et al., 2021</t>
  </si>
  <si>
    <t>carbon dioxide, captured at cement production plant, using monoethanolamine</t>
  </si>
  <si>
    <t>carbon dioxide, captured at cement plant</t>
  </si>
  <si>
    <t>Carbon capture using MEA: Main source: Voldsund (2019) - CEMCAP - D4.6 CEMCAP comparative techno-economic analysis. Heat for MEA regeneration now produced with same fuel mix as MEA kiln (not natural gas as in Voldsund). Transport and storage from Premise inventories. 90% CO2 capture efficiency (process+fuel CO2).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</si>
  <si>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MEA mark-up, lost in reclaimer (1.4 kg MEA/tCO2) CEMCAP - D4.6 CEMCAP comparative techno-economic analysis, p. 26</t>
  </si>
  <si>
    <t>Electricity consumption for fans, pumps and thermal reclaimer (188 MJ/tclk [primary energy], 761 kg CO2/tclk, 0.459 conversion factor primary to secondary energy, 3.6 MJ/kWh) CEMCAP - D4.6 CEMCAP comparative techno-economic analysis, Table 5.3</t>
  </si>
  <si>
    <t>Electricity consumption for cooling water system (123 MJ/tclk [primary energy], 761 kg CO2/tclk, 0.459 conversion factor primary to secondary energy, 3.6 MJ/kWh) CEMCAP - D4.6 CEMCAP comparative techno-economic analysis, Table 5.3</t>
  </si>
  <si>
    <t>market group for tap water</t>
  </si>
  <si>
    <t>Process water mark-up. CEMCAP - D4.6 CEMCAP comparative techno-economic analysis, Table 5.1</t>
  </si>
  <si>
    <t>Spent MEA solvent: Share of airborne emission and solid emissions from Moser 2011</t>
  </si>
  <si>
    <t>Monoethanolamine</t>
  </si>
  <si>
    <t>MEA emissions, rest is regenerated. Share of airborne emission and solid emissions (process: treatment of spent solvent mixture) from Moser 2011</t>
  </si>
  <si>
    <t>Water</t>
  </si>
  <si>
    <t>Steam for MEA regeneration (3.76 MJ/kg CO2, of which 0.11 can be recuberated from waste heat).</t>
  </si>
  <si>
    <t>carbon dioxide storage from hard coal, post, pipeline 200km, storage 1000m</t>
  </si>
  <si>
    <t>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</si>
  <si>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Energy needed for compression and liquefication of CO2 (CPU): (CEMCAP D4.6, table 5.3)</t>
  </si>
  <si>
    <t>SOx removal, needed so that MEA doesn't form amine salts. Stochiometric amount of 1.25 kg NaOH/kg SOx is sufficient (Cempcap 4.6). 0.00035 kg SOx/kg clinker (ecoinvent), 0.828 kg CO2/kg clinker from GCCA data.</t>
  </si>
  <si>
    <t>carbon dioxide, captured at cement production plant, using direct separation</t>
  </si>
  <si>
    <t>Carbon capture using Direct Separation. Main source: LEILAC project https://ec.europa.eu/research/participants/documents/downloadPublic?documentIds=080166e5df29e8fc&amp;appId=PPGMS. 95% capture efficiency of process related emissions.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</si>
  <si>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Additional electricity for LEILAC: LEILAC D3.6 Life Cycle Assessment, Table 4-6: 77kWh/t clinker, Table 4-1: 0.558 t process emissions/t clinker</t>
  </si>
  <si>
    <t>carbon dioxide, captured at cement production plant, using oxyfuel</t>
  </si>
  <si>
    <t>Carbon capture with Oxyfuel technology, where fuel combustion happens in Oxygen-CO2-mix instead of air, which creates a cleaner CO2 flue gas stream. Main source: Voldsund (2019) - CEMCAP - D4.6 CEMCAP comparative techno-economic analysis. 90% CO2 capture efficiency (process+fuel CO2). Includes changes in electricity demand due to new kiln design for oxy-process, oxygen production with ASU, CO2 compression and purification, CO2 transport. Excludes changes in Non-CO2 emissions: CPU reduces SOx (99.99%), NOx (99.36%), Hg (100%) and CO (100%).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</si>
  <si>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stochiometric amount of O2 needed for combustion with pure oxygen. 11% losses due flue gas looping are already included in the ASU process</t>
  </si>
  <si>
    <t>Electricity savings due to equipment changes: additional fans +122 MJ/tclk , electric power generation -182 MJ/tclk with organic rankine cycle, energy savings at Fans, milling, and handling of solids in kiln -62 MJ/tclk, [all in primary energy], 758 kg CO2/tclk, Conversion factor primary to secondary energy 0.459, 3.6 MJ/kWh. Voldsund (2019) - CEMCAP - D4.6 CEMCAP comparative techno-economic analysis, Table 6.3</t>
  </si>
  <si>
    <t>Electricity consumption cooling water system. 59 MJ/tclk [primary energy], 758 kg CO2/tclk, Conversion factor primary to secondary energy 0.459, 3.6 MJ/kWh. Voldsund (2019) - CEMCAP - D4.6 CEMCAP comparative techno-economic analysis, Table 6.3</t>
  </si>
  <si>
    <t>Compression and purification: Electricity for CPU (440 KJ/kgCO2) (CEMCAP D4.6, table 6.1)</t>
  </si>
  <si>
    <t>oxygen, liquid</t>
  </si>
  <si>
    <t>Compression and purification unit: Electricity for cooling system (0.03 KJ/kg CO2) (CEMCAP D4.6, table 6.1)</t>
  </si>
  <si>
    <t>market for oxygen, liquid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</si>
</sst>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64" formatCode="0.0E+00"/>
    <numFmt numFmtId="165" formatCode="_ * #,##0_ ;_ * \-#,##0_ ;_ * &quot;-&quot;??_ ;_ @_ "/>
    <numFmt numFmtId="166" formatCode="_ * #,##0.000_ ;_ * \-#,##0.000_ ;_ * &quot;-&quot;??_ ;_ @_ "/>
    <numFmt numFmtId="167" formatCode="0.000"/>
    <numFmt numFmtId="168" formatCode="0.0000"/>
    <numFmt numFmtId="169" formatCode="_ * #,##0.0000_ ;_ * \-#,##0.0000_ ;_ * &quot;-&quot;??_ ;_ @_ "/>
  </numFmts>
  <fonts count="1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sz val="11"/>
      <color rgb="FF000000"/>
      <name val="Calibri"/>
      <family val="2"/>
      <scheme val="minor"/>
    </font>
    <font>
      <b/>
      <sz val="12"/>
      <name val="Calibri (Body)"/>
    </font>
    <font>
      <sz val="12"/>
      <name val="Calibri (Body)"/>
    </font>
    <font>
      <sz val="11"/>
      <color theme="1"/>
      <name val="Calibri"/>
      <family val="2"/>
    </font>
    <font>
      <sz val="11"/>
      <name val="Calibri"/>
      <family val="2"/>
      <scheme val="minor"/>
    </font>
    <font>
      <sz val="11"/>
      <name val="Calibri (Body)"/>
    </font>
  </fonts>
  <fills count="2">
    <fill>
      <patternFill patternType="none"/>
    </fill>
    <fill>
      <patternFill patternType="gray125"/>
    </fill>
  </fills>
  <borders count="1">
    <border>
      <left/>
      <right/>
      <top/>
      <bottom/>
      <diagonal/>
    </border>
  </borders>
  <cellStyleXfs count="2">
    <xf numFmtId="0" fontId="0" fillId="0" borderId="0"/>
    <xf numFmtId="43" fontId="8" fillId="0" borderId="0" applyFont="0" applyFill="0" applyBorder="0" applyAlignment="0" applyProtection="0"/>
  </cellStyleXfs>
  <cellXfs count="33">
    <xf numFmtId="0" fontId="0" fillId="0" borderId="0" xfId="0"/>
    <xf numFmtId="0" fontId="6" fillId="0" borderId="0" xfId="0" applyFont="1"/>
    <xf numFmtId="0" fontId="7" fillId="0" borderId="0" xfId="0" applyFont="1"/>
    <xf numFmtId="164" fontId="0" fillId="0" borderId="0" xfId="0" applyNumberFormat="1"/>
    <xf numFmtId="2" fontId="0" fillId="0" borderId="0" xfId="0" applyNumberFormat="1"/>
    <xf numFmtId="0" fontId="5" fillId="0" borderId="0" xfId="0" applyFont="1"/>
    <xf numFmtId="11" fontId="0" fillId="0" borderId="0" xfId="0" applyNumberFormat="1"/>
    <xf numFmtId="0" fontId="4" fillId="0" borderId="0" xfId="0" applyFont="1"/>
    <xf numFmtId="0" fontId="3" fillId="0" borderId="0" xfId="0" applyFont="1"/>
    <xf numFmtId="0" fontId="0" fillId="0" borderId="0" xfId="0" applyAlignment="1">
      <alignment wrapText="1"/>
    </xf>
    <xf numFmtId="0" fontId="9" fillId="0" borderId="0" xfId="0" applyFont="1"/>
    <xf numFmtId="165" fontId="0" fillId="0" borderId="0" xfId="1" applyNumberFormat="1" applyFont="1"/>
    <xf numFmtId="165" fontId="0" fillId="0" borderId="0" xfId="0" applyNumberFormat="1"/>
    <xf numFmtId="166" fontId="0" fillId="0" borderId="0" xfId="0" applyNumberFormat="1"/>
    <xf numFmtId="0" fontId="10" fillId="0" borderId="0" xfId="0" applyFont="1"/>
    <xf numFmtId="0" fontId="11" fillId="0" borderId="0" xfId="0" applyFont="1"/>
    <xf numFmtId="2" fontId="11" fillId="0" borderId="0" xfId="0" applyNumberFormat="1" applyFont="1"/>
    <xf numFmtId="9" fontId="11" fillId="0" borderId="0" xfId="0" applyNumberFormat="1" applyFont="1"/>
    <xf numFmtId="2" fontId="6" fillId="0" borderId="0" xfId="0" applyNumberFormat="1" applyFont="1"/>
    <xf numFmtId="167" fontId="11" fillId="0" borderId="0" xfId="0" applyNumberFormat="1" applyFont="1"/>
    <xf numFmtId="168" fontId="11" fillId="0" borderId="0" xfId="0" applyNumberFormat="1" applyFont="1"/>
    <xf numFmtId="0" fontId="2" fillId="0" borderId="0" xfId="0" applyFont="1"/>
    <xf numFmtId="0" fontId="1" fillId="0" borderId="0" xfId="0" applyFont="1"/>
    <xf numFmtId="167" fontId="0" fillId="0" borderId="0" xfId="0" applyNumberFormat="1"/>
    <xf numFmtId="166" fontId="0" fillId="0" borderId="0" xfId="1" applyNumberFormat="1" applyFont="1"/>
    <xf numFmtId="169" fontId="0" fillId="0" borderId="0" xfId="1" applyNumberFormat="1" applyFont="1"/>
    <xf numFmtId="0" fontId="13" fillId="0" borderId="0" xfId="0" applyFont="1"/>
    <xf numFmtId="0" fontId="12" fillId="0" borderId="0" xfId="0" applyFont="1"/>
    <xf numFmtId="0" fontId="14" fillId="0" borderId="0" xfId="0" applyFont="1"/>
    <xf numFmtId="11" fontId="14" fillId="0" borderId="0" xfId="0" applyNumberFormat="1" applyFont="1"/>
    <xf numFmtId="167" fontId="14" fillId="0" borderId="0" xfId="0" applyNumberFormat="1" applyFont="1"/>
    <xf numFmtId="167" fontId="12" fillId="0" borderId="0" xfId="0" applyNumberFormat="1" applyFont="1"/>
    <xf numFmtId="11" fontId="13" fillId="0" borderId="0" xfId="0"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380"/>
  <sheetViews>
    <sheetView tabSelected="1" workbookViewId="0">
      <selection activeCell="J361" sqref="J361"/>
    </sheetView>
  </sheetViews>
  <sheetFormatPr baseColWidth="10" defaultColWidth="8.83203125" defaultRowHeight="15" x14ac:dyDescent="0.2"/>
  <cols>
    <col min="1" max="1" width="47.33203125" customWidth="1"/>
    <col min="2" max="2" width="14.5" bestFit="1" customWidth="1"/>
    <col min="3" max="3" width="15.33203125" customWidth="1"/>
    <col min="6" max="6" width="24.6640625" bestFit="1" customWidth="1"/>
    <col min="7" max="7" width="24.5" customWidth="1"/>
    <col min="8" max="8" width="13" bestFit="1" customWidth="1"/>
    <col min="10" max="10" width="12.6640625" bestFit="1" customWidth="1"/>
    <col min="11" max="11" width="12.1640625" bestFit="1" customWidth="1"/>
    <col min="12" max="12" width="12.33203125" bestFit="1" customWidth="1"/>
    <col min="17" max="17" width="11.6640625" bestFit="1" customWidth="1"/>
    <col min="18" max="18" width="12" bestFit="1" customWidth="1"/>
  </cols>
  <sheetData>
    <row r="1" spans="1:13" x14ac:dyDescent="0.2">
      <c r="A1" s="5" t="s">
        <v>14</v>
      </c>
      <c r="B1" t="s">
        <v>20</v>
      </c>
    </row>
    <row r="2" spans="1:13" hidden="1" x14ac:dyDescent="0.2">
      <c r="A2" s="5"/>
    </row>
    <row r="3" spans="1:13" ht="16" hidden="1" x14ac:dyDescent="0.2">
      <c r="A3" s="1" t="s">
        <v>0</v>
      </c>
      <c r="B3" s="1" t="s">
        <v>76</v>
      </c>
    </row>
    <row r="4" spans="1:13" hidden="1" x14ac:dyDescent="0.2">
      <c r="A4" t="s">
        <v>1</v>
      </c>
      <c r="B4">
        <v>1</v>
      </c>
    </row>
    <row r="5" spans="1:13" hidden="1" x14ac:dyDescent="0.2">
      <c r="A5" t="s">
        <v>2</v>
      </c>
      <c r="B5" t="s">
        <v>17</v>
      </c>
    </row>
    <row r="6" spans="1:13" hidden="1" x14ac:dyDescent="0.2">
      <c r="A6" t="s">
        <v>3</v>
      </c>
      <c r="B6" t="s">
        <v>4</v>
      </c>
    </row>
    <row r="7" spans="1:13" hidden="1" x14ac:dyDescent="0.2">
      <c r="A7" t="s">
        <v>5</v>
      </c>
      <c r="B7" t="s">
        <v>6</v>
      </c>
    </row>
    <row r="8" spans="1:13" hidden="1" x14ac:dyDescent="0.2">
      <c r="A8" t="s">
        <v>7</v>
      </c>
      <c r="B8" t="s">
        <v>8</v>
      </c>
    </row>
    <row r="9" spans="1:13" hidden="1" x14ac:dyDescent="0.2">
      <c r="A9" t="s">
        <v>9</v>
      </c>
      <c r="B9" t="s">
        <v>42</v>
      </c>
    </row>
    <row r="10" spans="1:13" hidden="1" x14ac:dyDescent="0.2">
      <c r="A10" t="s">
        <v>19</v>
      </c>
      <c r="B10" t="s">
        <v>41</v>
      </c>
    </row>
    <row r="11" spans="1:13" ht="16" hidden="1" x14ac:dyDescent="0.2">
      <c r="A11" s="1" t="s">
        <v>10</v>
      </c>
    </row>
    <row r="12" spans="1:13" hidden="1" x14ac:dyDescent="0.2">
      <c r="A12" s="5" t="s">
        <v>11</v>
      </c>
      <c r="B12" s="5" t="s">
        <v>12</v>
      </c>
      <c r="C12" s="5" t="s">
        <v>7</v>
      </c>
      <c r="D12" s="5" t="s">
        <v>5</v>
      </c>
      <c r="E12" s="5" t="s">
        <v>13</v>
      </c>
      <c r="F12" s="5" t="s">
        <v>3</v>
      </c>
      <c r="G12" s="5" t="s">
        <v>2</v>
      </c>
      <c r="H12" s="5" t="s">
        <v>9</v>
      </c>
      <c r="I12" s="5" t="s">
        <v>180</v>
      </c>
      <c r="J12" s="5" t="s">
        <v>181</v>
      </c>
      <c r="K12" s="5" t="s">
        <v>225</v>
      </c>
      <c r="L12" s="5" t="s">
        <v>226</v>
      </c>
      <c r="M12" s="5" t="s">
        <v>190</v>
      </c>
    </row>
    <row r="13" spans="1:13" hidden="1" x14ac:dyDescent="0.2">
      <c r="A13" t="s">
        <v>76</v>
      </c>
      <c r="B13">
        <v>1</v>
      </c>
      <c r="C13" t="s">
        <v>8</v>
      </c>
      <c r="D13" t="s">
        <v>6</v>
      </c>
      <c r="F13" t="s">
        <v>15</v>
      </c>
      <c r="G13" t="s">
        <v>17</v>
      </c>
    </row>
    <row r="14" spans="1:13" hidden="1" x14ac:dyDescent="0.2">
      <c r="A14" t="s">
        <v>63</v>
      </c>
      <c r="B14">
        <f>1/(1000000000*20)</f>
        <v>5.0000000000000002E-11</v>
      </c>
      <c r="C14" t="s">
        <v>8</v>
      </c>
      <c r="D14" t="s">
        <v>5</v>
      </c>
      <c r="F14" t="s">
        <v>16</v>
      </c>
      <c r="G14" t="s">
        <v>64</v>
      </c>
      <c r="H14" t="s">
        <v>77</v>
      </c>
      <c r="I14">
        <v>5</v>
      </c>
      <c r="J14" s="6">
        <f>B14</f>
        <v>5.0000000000000002E-11</v>
      </c>
      <c r="K14" s="6">
        <f>1/(1000000000*25)</f>
        <v>3.9999999999999998E-11</v>
      </c>
      <c r="L14" s="6">
        <f>1/(1000000000*15)</f>
        <v>6.6666666666666669E-11</v>
      </c>
    </row>
    <row r="15" spans="1:13" hidden="1" x14ac:dyDescent="0.2">
      <c r="A15" t="s">
        <v>65</v>
      </c>
      <c r="B15">
        <f>-1/(1000000000*20)</f>
        <v>-5.0000000000000002E-11</v>
      </c>
      <c r="C15" t="s">
        <v>8</v>
      </c>
      <c r="D15" t="s">
        <v>5</v>
      </c>
      <c r="F15" t="s">
        <v>16</v>
      </c>
      <c r="G15" t="s">
        <v>64</v>
      </c>
      <c r="H15" t="s">
        <v>78</v>
      </c>
      <c r="I15">
        <v>5</v>
      </c>
      <c r="J15">
        <f>-1/(1000000000*20)</f>
        <v>-5.0000000000000002E-11</v>
      </c>
      <c r="K15" s="6">
        <f>-1/(1000000000*15)</f>
        <v>-6.6666666666666669E-11</v>
      </c>
      <c r="L15" s="6">
        <f>-1/(1000000000*25)</f>
        <v>-3.9999999999999998E-11</v>
      </c>
      <c r="M15" t="b">
        <v>1</v>
      </c>
    </row>
    <row r="16" spans="1:13" hidden="1" x14ac:dyDescent="0.2">
      <c r="A16" t="s">
        <v>32</v>
      </c>
      <c r="B16">
        <v>3.4369999999999998</v>
      </c>
      <c r="C16" t="s">
        <v>135</v>
      </c>
      <c r="D16" t="s">
        <v>6</v>
      </c>
      <c r="F16" t="s">
        <v>16</v>
      </c>
      <c r="G16" t="s">
        <v>33</v>
      </c>
      <c r="H16" t="s">
        <v>112</v>
      </c>
    </row>
    <row r="17" spans="1:12" hidden="1" x14ac:dyDescent="0.2">
      <c r="A17" t="s">
        <v>170</v>
      </c>
      <c r="B17">
        <v>4.0000000000000001E-3</v>
      </c>
      <c r="C17" t="s">
        <v>18</v>
      </c>
      <c r="D17" t="s">
        <v>6</v>
      </c>
      <c r="F17" t="s">
        <v>16</v>
      </c>
      <c r="G17" t="s">
        <v>171</v>
      </c>
      <c r="H17" t="s">
        <v>112</v>
      </c>
    </row>
    <row r="18" spans="1:12" ht="16" hidden="1" x14ac:dyDescent="0.2">
      <c r="A18" s="9" t="s">
        <v>172</v>
      </c>
      <c r="B18">
        <v>3.5000000000000001E-3</v>
      </c>
      <c r="C18" t="s">
        <v>22</v>
      </c>
      <c r="D18" t="s">
        <v>6</v>
      </c>
      <c r="F18" t="s">
        <v>16</v>
      </c>
      <c r="G18" s="9" t="s">
        <v>173</v>
      </c>
      <c r="H18" t="s">
        <v>112</v>
      </c>
    </row>
    <row r="19" spans="1:12" hidden="1" x14ac:dyDescent="0.2">
      <c r="A19" t="s">
        <v>74</v>
      </c>
      <c r="B19" s="24">
        <f>-1*B17</f>
        <v>-4.0000000000000001E-3</v>
      </c>
      <c r="C19" t="s">
        <v>135</v>
      </c>
      <c r="D19" t="s">
        <v>6</v>
      </c>
      <c r="F19" t="s">
        <v>16</v>
      </c>
      <c r="G19" t="s">
        <v>144</v>
      </c>
      <c r="H19" s="12" t="s">
        <v>78</v>
      </c>
    </row>
    <row r="20" spans="1:12" hidden="1" x14ac:dyDescent="0.2">
      <c r="A20" t="s">
        <v>75</v>
      </c>
      <c r="B20" s="25">
        <f>-1*B18</f>
        <v>-3.5000000000000001E-3</v>
      </c>
      <c r="C20" t="s">
        <v>22</v>
      </c>
      <c r="D20" t="s">
        <v>6</v>
      </c>
      <c r="F20" t="s">
        <v>16</v>
      </c>
      <c r="G20" t="s">
        <v>158</v>
      </c>
      <c r="H20" s="12" t="s">
        <v>78</v>
      </c>
    </row>
    <row r="21" spans="1:12" x14ac:dyDescent="0.2">
      <c r="A21" t="s">
        <v>79</v>
      </c>
      <c r="B21">
        <v>0.34499999999999997</v>
      </c>
      <c r="C21" t="s">
        <v>8</v>
      </c>
      <c r="D21" t="s">
        <v>24</v>
      </c>
      <c r="F21" t="s">
        <v>16</v>
      </c>
      <c r="G21" t="s">
        <v>80</v>
      </c>
      <c r="H21" t="s">
        <v>234</v>
      </c>
      <c r="I21">
        <v>5</v>
      </c>
      <c r="J21">
        <f>B21</f>
        <v>0.34499999999999997</v>
      </c>
      <c r="K21">
        <v>0.33</v>
      </c>
      <c r="L21">
        <v>0.44</v>
      </c>
    </row>
    <row r="22" spans="1:12" hidden="1" x14ac:dyDescent="0.2">
      <c r="A22" t="s">
        <v>81</v>
      </c>
      <c r="B22">
        <v>6.28</v>
      </c>
      <c r="C22" t="s">
        <v>135</v>
      </c>
      <c r="D22" t="s">
        <v>23</v>
      </c>
      <c r="F22" t="s">
        <v>16</v>
      </c>
      <c r="G22" t="s">
        <v>166</v>
      </c>
      <c r="H22" t="s">
        <v>234</v>
      </c>
      <c r="I22">
        <v>5</v>
      </c>
      <c r="J22">
        <f>B22</f>
        <v>6.28</v>
      </c>
      <c r="K22">
        <v>5.0999999999999996</v>
      </c>
      <c r="L22">
        <v>8.3699999999999992</v>
      </c>
    </row>
    <row r="23" spans="1:12" hidden="1" x14ac:dyDescent="0.2">
      <c r="A23" t="s">
        <v>40</v>
      </c>
      <c r="B23">
        <v>1</v>
      </c>
      <c r="D23" t="s">
        <v>6</v>
      </c>
      <c r="E23" t="s">
        <v>38</v>
      </c>
      <c r="F23" t="s">
        <v>21</v>
      </c>
      <c r="H23" t="s">
        <v>174</v>
      </c>
    </row>
    <row r="24" spans="1:12" hidden="1" x14ac:dyDescent="0.2"/>
    <row r="25" spans="1:12" ht="16" hidden="1" x14ac:dyDescent="0.2">
      <c r="A25" s="1" t="s">
        <v>0</v>
      </c>
      <c r="B25" s="1" t="s">
        <v>167</v>
      </c>
    </row>
    <row r="26" spans="1:12" hidden="1" x14ac:dyDescent="0.2">
      <c r="A26" t="s">
        <v>1</v>
      </c>
      <c r="B26">
        <v>1</v>
      </c>
    </row>
    <row r="27" spans="1:12" hidden="1" x14ac:dyDescent="0.2">
      <c r="A27" t="s">
        <v>2</v>
      </c>
      <c r="B27" t="s">
        <v>17</v>
      </c>
    </row>
    <row r="28" spans="1:12" hidden="1" x14ac:dyDescent="0.2">
      <c r="A28" t="s">
        <v>3</v>
      </c>
      <c r="B28" t="s">
        <v>4</v>
      </c>
    </row>
    <row r="29" spans="1:12" hidden="1" x14ac:dyDescent="0.2">
      <c r="A29" t="s">
        <v>5</v>
      </c>
      <c r="B29" t="s">
        <v>6</v>
      </c>
    </row>
    <row r="30" spans="1:12" hidden="1" x14ac:dyDescent="0.2">
      <c r="A30" t="s">
        <v>7</v>
      </c>
      <c r="B30" t="s">
        <v>8</v>
      </c>
    </row>
    <row r="31" spans="1:12" hidden="1" x14ac:dyDescent="0.2">
      <c r="A31" t="s">
        <v>9</v>
      </c>
      <c r="B31" t="s">
        <v>42</v>
      </c>
    </row>
    <row r="32" spans="1:12" hidden="1" x14ac:dyDescent="0.2">
      <c r="A32" t="s">
        <v>19</v>
      </c>
      <c r="B32" t="s">
        <v>41</v>
      </c>
    </row>
    <row r="33" spans="1:13" ht="16" hidden="1" x14ac:dyDescent="0.2">
      <c r="A33" s="1" t="s">
        <v>10</v>
      </c>
    </row>
    <row r="34" spans="1:13" hidden="1" x14ac:dyDescent="0.2">
      <c r="A34" s="5" t="s">
        <v>11</v>
      </c>
      <c r="B34" s="5" t="s">
        <v>12</v>
      </c>
      <c r="C34" s="5" t="s">
        <v>7</v>
      </c>
      <c r="D34" s="5" t="s">
        <v>5</v>
      </c>
      <c r="E34" s="5" t="s">
        <v>13</v>
      </c>
      <c r="F34" s="5" t="s">
        <v>3</v>
      </c>
      <c r="G34" s="5" t="s">
        <v>2</v>
      </c>
      <c r="H34" s="5" t="s">
        <v>9</v>
      </c>
      <c r="I34" s="5" t="s">
        <v>180</v>
      </c>
      <c r="J34" s="5" t="s">
        <v>181</v>
      </c>
      <c r="K34" s="5" t="s">
        <v>225</v>
      </c>
      <c r="L34" s="5" t="s">
        <v>226</v>
      </c>
      <c r="M34" s="5" t="s">
        <v>190</v>
      </c>
    </row>
    <row r="35" spans="1:13" hidden="1" x14ac:dyDescent="0.2">
      <c r="A35" t="s">
        <v>167</v>
      </c>
      <c r="B35">
        <v>1</v>
      </c>
      <c r="C35" t="s">
        <v>8</v>
      </c>
      <c r="D35" t="s">
        <v>6</v>
      </c>
      <c r="F35" t="s">
        <v>15</v>
      </c>
      <c r="G35" t="s">
        <v>17</v>
      </c>
    </row>
    <row r="36" spans="1:13" hidden="1" x14ac:dyDescent="0.2">
      <c r="A36" t="s">
        <v>63</v>
      </c>
      <c r="B36">
        <f>1/(1000000000*20)</f>
        <v>5.0000000000000002E-11</v>
      </c>
      <c r="C36" t="s">
        <v>8</v>
      </c>
      <c r="D36" t="s">
        <v>5</v>
      </c>
      <c r="F36" t="s">
        <v>16</v>
      </c>
      <c r="G36" t="s">
        <v>64</v>
      </c>
      <c r="H36" t="s">
        <v>77</v>
      </c>
      <c r="I36">
        <v>5</v>
      </c>
      <c r="J36" s="6">
        <f>B36</f>
        <v>5.0000000000000002E-11</v>
      </c>
      <c r="K36" s="6">
        <f>1/(1000000000*25)</f>
        <v>3.9999999999999998E-11</v>
      </c>
      <c r="L36" s="6">
        <f>1/(1000000000*15)</f>
        <v>6.6666666666666669E-11</v>
      </c>
    </row>
    <row r="37" spans="1:13" hidden="1" x14ac:dyDescent="0.2">
      <c r="A37" t="s">
        <v>65</v>
      </c>
      <c r="B37">
        <f>-1/(1000000000*20)</f>
        <v>-5.0000000000000002E-11</v>
      </c>
      <c r="C37" t="s">
        <v>8</v>
      </c>
      <c r="D37" t="s">
        <v>5</v>
      </c>
      <c r="F37" t="s">
        <v>16</v>
      </c>
      <c r="G37" t="s">
        <v>64</v>
      </c>
      <c r="H37" t="s">
        <v>78</v>
      </c>
      <c r="I37">
        <v>5</v>
      </c>
      <c r="J37" s="6">
        <f>B37</f>
        <v>-5.0000000000000002E-11</v>
      </c>
      <c r="K37" s="6">
        <f>-1/(1000000000*15)</f>
        <v>-6.6666666666666669E-11</v>
      </c>
      <c r="L37" s="6">
        <f>-1/(1000000000*25)</f>
        <v>-3.9999999999999998E-11</v>
      </c>
      <c r="M37" t="b">
        <v>1</v>
      </c>
    </row>
    <row r="38" spans="1:13" hidden="1" x14ac:dyDescent="0.2">
      <c r="A38" t="s">
        <v>32</v>
      </c>
      <c r="B38">
        <v>3.4369999999999998</v>
      </c>
      <c r="C38" t="s">
        <v>135</v>
      </c>
      <c r="D38" t="s">
        <v>6</v>
      </c>
      <c r="F38" t="s">
        <v>16</v>
      </c>
      <c r="G38" t="s">
        <v>33</v>
      </c>
      <c r="H38" t="s">
        <v>112</v>
      </c>
    </row>
    <row r="39" spans="1:13" hidden="1" x14ac:dyDescent="0.2">
      <c r="A39" t="s">
        <v>170</v>
      </c>
      <c r="B39">
        <v>4.0000000000000001E-3</v>
      </c>
      <c r="C39" t="s">
        <v>18</v>
      </c>
      <c r="D39" t="s">
        <v>6</v>
      </c>
      <c r="F39" t="s">
        <v>16</v>
      </c>
      <c r="G39" t="s">
        <v>171</v>
      </c>
      <c r="H39" t="s">
        <v>112</v>
      </c>
    </row>
    <row r="40" spans="1:13" ht="16" hidden="1" x14ac:dyDescent="0.2">
      <c r="A40" s="9" t="s">
        <v>172</v>
      </c>
      <c r="B40">
        <v>3.5000000000000001E-3</v>
      </c>
      <c r="C40" t="s">
        <v>22</v>
      </c>
      <c r="D40" t="s">
        <v>6</v>
      </c>
      <c r="F40" t="s">
        <v>16</v>
      </c>
      <c r="G40" s="9" t="s">
        <v>173</v>
      </c>
      <c r="H40" t="s">
        <v>112</v>
      </c>
    </row>
    <row r="41" spans="1:13" hidden="1" x14ac:dyDescent="0.2">
      <c r="A41" t="s">
        <v>74</v>
      </c>
      <c r="B41" s="24">
        <f>-1*B39</f>
        <v>-4.0000000000000001E-3</v>
      </c>
      <c r="C41" t="s">
        <v>135</v>
      </c>
      <c r="D41" t="s">
        <v>6</v>
      </c>
      <c r="F41" t="s">
        <v>16</v>
      </c>
      <c r="G41" t="s">
        <v>144</v>
      </c>
      <c r="H41" s="12" t="s">
        <v>78</v>
      </c>
    </row>
    <row r="42" spans="1:13" hidden="1" x14ac:dyDescent="0.2">
      <c r="A42" t="s">
        <v>75</v>
      </c>
      <c r="B42" s="25">
        <f>-1*B40</f>
        <v>-3.5000000000000001E-3</v>
      </c>
      <c r="C42" t="s">
        <v>22</v>
      </c>
      <c r="D42" t="s">
        <v>6</v>
      </c>
      <c r="F42" t="s">
        <v>16</v>
      </c>
      <c r="G42" t="s">
        <v>158</v>
      </c>
      <c r="H42" s="12" t="s">
        <v>78</v>
      </c>
    </row>
    <row r="43" spans="1:13" x14ac:dyDescent="0.2">
      <c r="A43" t="s">
        <v>79</v>
      </c>
      <c r="B43">
        <v>0.34499999999999997</v>
      </c>
      <c r="C43" t="s">
        <v>8</v>
      </c>
      <c r="D43" t="s">
        <v>24</v>
      </c>
      <c r="F43" t="s">
        <v>16</v>
      </c>
      <c r="G43" t="s">
        <v>80</v>
      </c>
      <c r="H43" t="s">
        <v>234</v>
      </c>
      <c r="I43">
        <v>5</v>
      </c>
      <c r="J43">
        <f>B43</f>
        <v>0.34499999999999997</v>
      </c>
      <c r="K43">
        <v>0.33</v>
      </c>
      <c r="L43">
        <v>0.44</v>
      </c>
    </row>
    <row r="44" spans="1:13" hidden="1" x14ac:dyDescent="0.2">
      <c r="A44" t="s">
        <v>81</v>
      </c>
      <c r="B44">
        <v>6.28</v>
      </c>
      <c r="C44" t="s">
        <v>135</v>
      </c>
      <c r="D44" t="s">
        <v>23</v>
      </c>
      <c r="F44" t="s">
        <v>16</v>
      </c>
      <c r="G44" t="s">
        <v>166</v>
      </c>
      <c r="H44" t="s">
        <v>234</v>
      </c>
      <c r="I44">
        <v>5</v>
      </c>
      <c r="J44">
        <f>B44</f>
        <v>6.28</v>
      </c>
      <c r="K44">
        <v>5.0999999999999996</v>
      </c>
      <c r="L44">
        <v>8.3699999999999992</v>
      </c>
    </row>
    <row r="45" spans="1:13" ht="16" hidden="1" x14ac:dyDescent="0.2">
      <c r="A45" t="s">
        <v>100</v>
      </c>
      <c r="B45">
        <v>1</v>
      </c>
      <c r="C45" t="s">
        <v>8</v>
      </c>
      <c r="D45" t="s">
        <v>6</v>
      </c>
      <c r="F45" t="s">
        <v>16</v>
      </c>
      <c r="G45" s="8" t="s">
        <v>101</v>
      </c>
      <c r="H45" t="s">
        <v>168</v>
      </c>
    </row>
    <row r="46" spans="1:13" hidden="1" x14ac:dyDescent="0.2">
      <c r="A46" t="s">
        <v>40</v>
      </c>
      <c r="B46">
        <v>1</v>
      </c>
      <c r="D46" t="s">
        <v>6</v>
      </c>
      <c r="E46" t="s">
        <v>38</v>
      </c>
      <c r="F46" t="s">
        <v>21</v>
      </c>
      <c r="H46" t="s">
        <v>174</v>
      </c>
    </row>
    <row r="47" spans="1:13" hidden="1" x14ac:dyDescent="0.2"/>
    <row r="48" spans="1:13" ht="16" hidden="1" x14ac:dyDescent="0.2">
      <c r="A48" s="1" t="s">
        <v>0</v>
      </c>
      <c r="B48" s="1" t="s">
        <v>63</v>
      </c>
    </row>
    <row r="49" spans="1:8" hidden="1" x14ac:dyDescent="0.2">
      <c r="A49" t="s">
        <v>1</v>
      </c>
      <c r="B49">
        <v>1</v>
      </c>
    </row>
    <row r="50" spans="1:8" ht="16" hidden="1" x14ac:dyDescent="0.2">
      <c r="A50" t="s">
        <v>2</v>
      </c>
      <c r="B50" s="7" t="s">
        <v>64</v>
      </c>
    </row>
    <row r="51" spans="1:8" hidden="1" x14ac:dyDescent="0.2">
      <c r="A51" t="s">
        <v>3</v>
      </c>
      <c r="B51" t="s">
        <v>4</v>
      </c>
    </row>
    <row r="52" spans="1:8" hidden="1" x14ac:dyDescent="0.2">
      <c r="A52" t="s">
        <v>5</v>
      </c>
      <c r="B52" t="s">
        <v>5</v>
      </c>
    </row>
    <row r="53" spans="1:8" hidden="1" x14ac:dyDescent="0.2">
      <c r="A53" t="s">
        <v>7</v>
      </c>
      <c r="B53" t="s">
        <v>8</v>
      </c>
    </row>
    <row r="54" spans="1:8" hidden="1" x14ac:dyDescent="0.2">
      <c r="A54" t="s">
        <v>9</v>
      </c>
      <c r="B54" t="s">
        <v>219</v>
      </c>
    </row>
    <row r="55" spans="1:8" hidden="1" x14ac:dyDescent="0.2">
      <c r="A55" t="s">
        <v>19</v>
      </c>
      <c r="B55" t="s">
        <v>41</v>
      </c>
    </row>
    <row r="56" spans="1:8" ht="16" hidden="1" x14ac:dyDescent="0.2">
      <c r="A56" s="1" t="s">
        <v>10</v>
      </c>
    </row>
    <row r="57" spans="1:8" hidden="1" x14ac:dyDescent="0.2">
      <c r="A57" t="s">
        <v>11</v>
      </c>
      <c r="B57" t="s">
        <v>12</v>
      </c>
      <c r="C57" t="s">
        <v>7</v>
      </c>
      <c r="D57" t="s">
        <v>5</v>
      </c>
      <c r="E57" t="s">
        <v>13</v>
      </c>
      <c r="F57" t="s">
        <v>3</v>
      </c>
      <c r="G57" t="s">
        <v>2</v>
      </c>
      <c r="H57" t="s">
        <v>9</v>
      </c>
    </row>
    <row r="58" spans="1:8" ht="16" hidden="1" x14ac:dyDescent="0.2">
      <c r="A58" t="s">
        <v>63</v>
      </c>
      <c r="B58">
        <v>1</v>
      </c>
      <c r="C58" t="s">
        <v>8</v>
      </c>
      <c r="D58" t="s">
        <v>5</v>
      </c>
      <c r="F58" t="s">
        <v>15</v>
      </c>
      <c r="G58" s="7" t="s">
        <v>64</v>
      </c>
    </row>
    <row r="59" spans="1:8" hidden="1" x14ac:dyDescent="0.2">
      <c r="A59" t="s">
        <v>203</v>
      </c>
      <c r="B59">
        <v>134000</v>
      </c>
      <c r="C59" t="s">
        <v>27</v>
      </c>
      <c r="D59" t="s">
        <v>50</v>
      </c>
      <c r="F59" t="s">
        <v>16</v>
      </c>
      <c r="G59" t="s">
        <v>205</v>
      </c>
      <c r="H59" t="s">
        <v>49</v>
      </c>
    </row>
    <row r="60" spans="1:8" hidden="1" x14ac:dyDescent="0.2">
      <c r="A60" t="s">
        <v>43</v>
      </c>
      <c r="B60">
        <v>5400000</v>
      </c>
      <c r="C60" t="s">
        <v>18</v>
      </c>
      <c r="D60" t="s">
        <v>6</v>
      </c>
      <c r="F60" t="s">
        <v>16</v>
      </c>
      <c r="G60" t="s">
        <v>31</v>
      </c>
      <c r="H60" t="s">
        <v>49</v>
      </c>
    </row>
    <row r="61" spans="1:8" hidden="1" x14ac:dyDescent="0.2">
      <c r="A61" t="s">
        <v>44</v>
      </c>
      <c r="B61">
        <v>34000</v>
      </c>
      <c r="C61" t="s">
        <v>27</v>
      </c>
      <c r="D61" t="s">
        <v>6</v>
      </c>
      <c r="F61" t="s">
        <v>16</v>
      </c>
      <c r="G61" t="s">
        <v>51</v>
      </c>
      <c r="H61" t="s">
        <v>49</v>
      </c>
    </row>
    <row r="62" spans="1:8" ht="16" hidden="1" x14ac:dyDescent="0.2">
      <c r="A62" t="s">
        <v>45</v>
      </c>
      <c r="B62" s="2">
        <v>10000</v>
      </c>
      <c r="C62" t="s">
        <v>27</v>
      </c>
      <c r="D62" t="s">
        <v>6</v>
      </c>
      <c r="F62" t="s">
        <v>16</v>
      </c>
      <c r="G62" t="s">
        <v>52</v>
      </c>
      <c r="H62" t="s">
        <v>49</v>
      </c>
    </row>
    <row r="63" spans="1:8" hidden="1" x14ac:dyDescent="0.2">
      <c r="A63" t="s">
        <v>46</v>
      </c>
      <c r="B63">
        <v>76000</v>
      </c>
      <c r="C63" t="s">
        <v>18</v>
      </c>
      <c r="D63" t="s">
        <v>6</v>
      </c>
      <c r="F63" t="s">
        <v>16</v>
      </c>
      <c r="G63" t="s">
        <v>53</v>
      </c>
      <c r="H63" t="s">
        <v>49</v>
      </c>
    </row>
    <row r="64" spans="1:8" hidden="1" x14ac:dyDescent="0.2">
      <c r="A64" t="s">
        <v>47</v>
      </c>
      <c r="B64">
        <v>16000</v>
      </c>
      <c r="C64" t="s">
        <v>18</v>
      </c>
      <c r="D64" t="s">
        <v>6</v>
      </c>
      <c r="F64" t="s">
        <v>16</v>
      </c>
      <c r="G64" t="s">
        <v>54</v>
      </c>
      <c r="H64" t="s">
        <v>49</v>
      </c>
    </row>
    <row r="65" spans="1:19" hidden="1" x14ac:dyDescent="0.2">
      <c r="A65" t="s">
        <v>48</v>
      </c>
      <c r="B65">
        <v>15200000</v>
      </c>
      <c r="C65" t="s">
        <v>18</v>
      </c>
      <c r="D65" t="s">
        <v>6</v>
      </c>
      <c r="F65" t="s">
        <v>16</v>
      </c>
      <c r="G65" t="s">
        <v>30</v>
      </c>
      <c r="H65" t="s">
        <v>49</v>
      </c>
    </row>
    <row r="66" spans="1:19" hidden="1" x14ac:dyDescent="0.2">
      <c r="A66" t="s">
        <v>203</v>
      </c>
      <c r="B66">
        <v>66000</v>
      </c>
      <c r="C66" t="s">
        <v>27</v>
      </c>
      <c r="D66" t="s">
        <v>50</v>
      </c>
      <c r="F66" t="s">
        <v>16</v>
      </c>
      <c r="G66" t="s">
        <v>205</v>
      </c>
      <c r="H66" t="s">
        <v>55</v>
      </c>
    </row>
    <row r="67" spans="1:19" hidden="1" x14ac:dyDescent="0.2">
      <c r="A67" t="s">
        <v>44</v>
      </c>
      <c r="B67">
        <v>460000</v>
      </c>
      <c r="C67" t="s">
        <v>27</v>
      </c>
      <c r="D67" t="s">
        <v>6</v>
      </c>
      <c r="F67" t="s">
        <v>16</v>
      </c>
      <c r="G67" t="s">
        <v>51</v>
      </c>
      <c r="H67" t="s">
        <v>55</v>
      </c>
    </row>
    <row r="68" spans="1:19" hidden="1" x14ac:dyDescent="0.2">
      <c r="A68" t="s">
        <v>203</v>
      </c>
      <c r="B68">
        <v>42000</v>
      </c>
      <c r="C68" t="s">
        <v>27</v>
      </c>
      <c r="D68" t="s">
        <v>50</v>
      </c>
      <c r="F68" t="s">
        <v>16</v>
      </c>
      <c r="G68" t="s">
        <v>205</v>
      </c>
      <c r="H68" t="s">
        <v>57</v>
      </c>
    </row>
    <row r="69" spans="1:19" hidden="1" x14ac:dyDescent="0.2">
      <c r="A69" t="s">
        <v>43</v>
      </c>
      <c r="B69">
        <v>1180000</v>
      </c>
      <c r="C69" t="s">
        <v>18</v>
      </c>
      <c r="D69" t="s">
        <v>6</v>
      </c>
      <c r="F69" t="s">
        <v>16</v>
      </c>
      <c r="G69" t="s">
        <v>31</v>
      </c>
      <c r="H69" t="s">
        <v>57</v>
      </c>
    </row>
    <row r="70" spans="1:19" hidden="1" x14ac:dyDescent="0.2">
      <c r="A70" t="s">
        <v>56</v>
      </c>
      <c r="B70">
        <v>2400000</v>
      </c>
      <c r="C70" t="s">
        <v>18</v>
      </c>
      <c r="D70" t="s">
        <v>6</v>
      </c>
      <c r="F70" t="s">
        <v>16</v>
      </c>
      <c r="G70" t="s">
        <v>58</v>
      </c>
      <c r="H70" t="s">
        <v>57</v>
      </c>
    </row>
    <row r="71" spans="1:19" hidden="1" x14ac:dyDescent="0.2">
      <c r="A71" t="s">
        <v>203</v>
      </c>
      <c r="B71">
        <v>74000</v>
      </c>
      <c r="C71" t="s">
        <v>27</v>
      </c>
      <c r="D71" t="s">
        <v>50</v>
      </c>
      <c r="F71" t="s">
        <v>16</v>
      </c>
      <c r="G71" t="s">
        <v>205</v>
      </c>
      <c r="H71" t="s">
        <v>62</v>
      </c>
      <c r="Q71" s="3"/>
      <c r="S71" s="3"/>
    </row>
    <row r="72" spans="1:19" hidden="1" x14ac:dyDescent="0.2">
      <c r="A72" t="s">
        <v>59</v>
      </c>
      <c r="B72">
        <v>50000</v>
      </c>
      <c r="C72" t="s">
        <v>18</v>
      </c>
      <c r="D72" t="s">
        <v>6</v>
      </c>
      <c r="F72" t="s">
        <v>16</v>
      </c>
      <c r="G72" t="s">
        <v>61</v>
      </c>
      <c r="H72" t="s">
        <v>62</v>
      </c>
      <c r="Q72" s="4"/>
      <c r="S72" s="4"/>
    </row>
    <row r="73" spans="1:19" hidden="1" x14ac:dyDescent="0.2">
      <c r="A73" t="s">
        <v>43</v>
      </c>
      <c r="B73">
        <v>960000</v>
      </c>
      <c r="C73" t="s">
        <v>18</v>
      </c>
      <c r="D73" t="s">
        <v>6</v>
      </c>
      <c r="F73" t="s">
        <v>16</v>
      </c>
      <c r="G73" t="s">
        <v>31</v>
      </c>
      <c r="H73" t="s">
        <v>62</v>
      </c>
      <c r="Q73" s="3"/>
      <c r="S73" s="3"/>
    </row>
    <row r="74" spans="1:19" hidden="1" x14ac:dyDescent="0.2">
      <c r="A74" t="s">
        <v>44</v>
      </c>
      <c r="B74">
        <v>660000</v>
      </c>
      <c r="C74" t="s">
        <v>27</v>
      </c>
      <c r="D74" t="s">
        <v>6</v>
      </c>
      <c r="F74" t="s">
        <v>16</v>
      </c>
      <c r="G74" t="s">
        <v>51</v>
      </c>
      <c r="H74" t="s">
        <v>62</v>
      </c>
      <c r="Q74" s="3"/>
      <c r="S74" s="3"/>
    </row>
    <row r="75" spans="1:19" hidden="1" x14ac:dyDescent="0.2">
      <c r="A75" t="s">
        <v>60</v>
      </c>
      <c r="B75">
        <v>5400000</v>
      </c>
      <c r="C75" t="s">
        <v>18</v>
      </c>
      <c r="D75" t="s">
        <v>6</v>
      </c>
      <c r="F75" t="s">
        <v>16</v>
      </c>
      <c r="G75" t="s">
        <v>132</v>
      </c>
      <c r="H75" t="s">
        <v>62</v>
      </c>
    </row>
    <row r="76" spans="1:19" hidden="1" x14ac:dyDescent="0.2">
      <c r="A76" t="s">
        <v>210</v>
      </c>
      <c r="B76">
        <f>78380/1000000000/20</f>
        <v>3.9190000000000001E-6</v>
      </c>
      <c r="D76" t="s">
        <v>211</v>
      </c>
      <c r="E76" t="s">
        <v>215</v>
      </c>
      <c r="F76" t="s">
        <v>21</v>
      </c>
      <c r="H76" t="s">
        <v>212</v>
      </c>
    </row>
    <row r="77" spans="1:19" hidden="1" x14ac:dyDescent="0.2">
      <c r="A77" t="s">
        <v>213</v>
      </c>
      <c r="B77">
        <f>78380/1000000000</f>
        <v>7.8380000000000005E-5</v>
      </c>
      <c r="D77" t="s">
        <v>214</v>
      </c>
      <c r="E77" t="s">
        <v>215</v>
      </c>
      <c r="F77" t="s">
        <v>21</v>
      </c>
      <c r="H77" t="s">
        <v>216</v>
      </c>
    </row>
    <row r="78" spans="1:19" hidden="1" x14ac:dyDescent="0.2">
      <c r="A78" t="s">
        <v>217</v>
      </c>
      <c r="B78">
        <f>78380/1000000000</f>
        <v>7.8380000000000005E-5</v>
      </c>
      <c r="D78" t="s">
        <v>214</v>
      </c>
      <c r="E78" t="s">
        <v>215</v>
      </c>
      <c r="F78" t="s">
        <v>21</v>
      </c>
      <c r="H78" t="s">
        <v>216</v>
      </c>
    </row>
    <row r="79" spans="1:19" ht="16" hidden="1" x14ac:dyDescent="0.2">
      <c r="A79" s="1"/>
      <c r="B79" s="1"/>
    </row>
    <row r="80" spans="1:19" ht="16" hidden="1" x14ac:dyDescent="0.2">
      <c r="A80" s="1" t="s">
        <v>0</v>
      </c>
      <c r="B80" s="1" t="s">
        <v>65</v>
      </c>
    </row>
    <row r="81" spans="1:19" hidden="1" x14ac:dyDescent="0.2">
      <c r="A81" t="s">
        <v>1</v>
      </c>
      <c r="B81">
        <v>1</v>
      </c>
    </row>
    <row r="82" spans="1:19" ht="16" hidden="1" x14ac:dyDescent="0.2">
      <c r="A82" t="s">
        <v>2</v>
      </c>
      <c r="B82" s="7" t="s">
        <v>64</v>
      </c>
    </row>
    <row r="83" spans="1:19" hidden="1" x14ac:dyDescent="0.2">
      <c r="A83" t="s">
        <v>3</v>
      </c>
      <c r="B83" t="s">
        <v>4</v>
      </c>
    </row>
    <row r="84" spans="1:19" hidden="1" x14ac:dyDescent="0.2">
      <c r="A84" t="s">
        <v>5</v>
      </c>
      <c r="B84" t="s">
        <v>5</v>
      </c>
    </row>
    <row r="85" spans="1:19" hidden="1" x14ac:dyDescent="0.2">
      <c r="A85" t="s">
        <v>7</v>
      </c>
      <c r="B85" t="s">
        <v>8</v>
      </c>
    </row>
    <row r="86" spans="1:19" hidden="1" x14ac:dyDescent="0.2">
      <c r="A86" t="s">
        <v>9</v>
      </c>
      <c r="B86" t="s">
        <v>42</v>
      </c>
    </row>
    <row r="87" spans="1:19" hidden="1" x14ac:dyDescent="0.2">
      <c r="A87" t="s">
        <v>19</v>
      </c>
      <c r="B87" t="s">
        <v>41</v>
      </c>
    </row>
    <row r="88" spans="1:19" ht="16" hidden="1" x14ac:dyDescent="0.2">
      <c r="A88" s="1" t="s">
        <v>10</v>
      </c>
    </row>
    <row r="89" spans="1:19" hidden="1" x14ac:dyDescent="0.2">
      <c r="A89" t="s">
        <v>11</v>
      </c>
      <c r="B89" t="s">
        <v>12</v>
      </c>
      <c r="C89" t="s">
        <v>7</v>
      </c>
      <c r="D89" t="s">
        <v>5</v>
      </c>
      <c r="E89" t="s">
        <v>13</v>
      </c>
      <c r="F89" t="s">
        <v>3</v>
      </c>
      <c r="G89" t="s">
        <v>2</v>
      </c>
      <c r="H89" t="s">
        <v>9</v>
      </c>
    </row>
    <row r="90" spans="1:19" ht="16" hidden="1" x14ac:dyDescent="0.2">
      <c r="A90" t="s">
        <v>65</v>
      </c>
      <c r="B90">
        <v>-1</v>
      </c>
      <c r="C90" t="s">
        <v>8</v>
      </c>
      <c r="D90" t="s">
        <v>5</v>
      </c>
      <c r="F90" t="s">
        <v>15</v>
      </c>
      <c r="G90" s="7" t="s">
        <v>64</v>
      </c>
    </row>
    <row r="91" spans="1:19" hidden="1" x14ac:dyDescent="0.2">
      <c r="A91" t="s">
        <v>66</v>
      </c>
      <c r="B91" s="11">
        <v>-760000000</v>
      </c>
      <c r="C91" t="s">
        <v>135</v>
      </c>
      <c r="D91" t="s">
        <v>6</v>
      </c>
      <c r="F91" t="s">
        <v>16</v>
      </c>
      <c r="G91" t="s">
        <v>165</v>
      </c>
      <c r="H91" s="12"/>
      <c r="Q91" s="4"/>
      <c r="S91" s="4"/>
    </row>
    <row r="92" spans="1:19" hidden="1" x14ac:dyDescent="0.2">
      <c r="A92" t="s">
        <v>67</v>
      </c>
      <c r="B92" s="11">
        <v>-12000000</v>
      </c>
      <c r="C92" t="s">
        <v>22</v>
      </c>
      <c r="D92" t="s">
        <v>6</v>
      </c>
      <c r="F92" t="s">
        <v>16</v>
      </c>
      <c r="G92" t="s">
        <v>164</v>
      </c>
      <c r="H92" s="12"/>
      <c r="Q92" s="3"/>
      <c r="S92" s="3"/>
    </row>
    <row r="93" spans="1:19" hidden="1" x14ac:dyDescent="0.2">
      <c r="A93" t="s">
        <v>68</v>
      </c>
      <c r="B93" s="11">
        <v>-76000</v>
      </c>
      <c r="C93" t="s">
        <v>22</v>
      </c>
      <c r="D93" t="s">
        <v>6</v>
      </c>
      <c r="F93" t="s">
        <v>16</v>
      </c>
      <c r="G93" t="s">
        <v>163</v>
      </c>
      <c r="H93" s="12"/>
      <c r="Q93" s="3"/>
      <c r="S93" s="3"/>
    </row>
    <row r="94" spans="1:19" hidden="1" x14ac:dyDescent="0.2">
      <c r="A94" t="s">
        <v>69</v>
      </c>
      <c r="B94" s="11">
        <v>-15200000</v>
      </c>
      <c r="C94" t="s">
        <v>22</v>
      </c>
      <c r="D94" t="s">
        <v>6</v>
      </c>
      <c r="F94" t="s">
        <v>16</v>
      </c>
      <c r="G94" t="s">
        <v>162</v>
      </c>
      <c r="H94" s="12"/>
      <c r="I94" s="13"/>
    </row>
    <row r="95" spans="1:19" hidden="1" x14ac:dyDescent="0.2">
      <c r="A95" t="s">
        <v>70</v>
      </c>
      <c r="B95" s="11">
        <v>-16000</v>
      </c>
      <c r="C95" t="s">
        <v>22</v>
      </c>
      <c r="D95" t="s">
        <v>6</v>
      </c>
      <c r="F95" t="s">
        <v>16</v>
      </c>
      <c r="G95" t="s">
        <v>161</v>
      </c>
      <c r="H95" s="12"/>
    </row>
    <row r="96" spans="1:19" hidden="1" x14ac:dyDescent="0.2">
      <c r="A96" t="s">
        <v>71</v>
      </c>
      <c r="B96" s="11">
        <v>-10000</v>
      </c>
      <c r="C96" t="s">
        <v>22</v>
      </c>
      <c r="D96" t="s">
        <v>6</v>
      </c>
      <c r="F96" t="s">
        <v>16</v>
      </c>
      <c r="G96" t="s">
        <v>160</v>
      </c>
      <c r="H96" s="12"/>
    </row>
    <row r="97" spans="1:13" hidden="1" x14ac:dyDescent="0.2">
      <c r="A97" t="s">
        <v>72</v>
      </c>
      <c r="B97" s="11">
        <v>-2400000</v>
      </c>
      <c r="C97" t="s">
        <v>22</v>
      </c>
      <c r="D97" t="s">
        <v>6</v>
      </c>
      <c r="F97" t="s">
        <v>16</v>
      </c>
      <c r="G97" t="s">
        <v>159</v>
      </c>
      <c r="H97" s="12"/>
    </row>
    <row r="98" spans="1:13" hidden="1" x14ac:dyDescent="0.2">
      <c r="A98" t="s">
        <v>73</v>
      </c>
      <c r="B98" s="11">
        <v>-46000</v>
      </c>
      <c r="C98" t="s">
        <v>8</v>
      </c>
      <c r="D98" t="s">
        <v>6</v>
      </c>
      <c r="F98" t="s">
        <v>16</v>
      </c>
      <c r="G98" t="s">
        <v>61</v>
      </c>
      <c r="H98" s="12"/>
    </row>
    <row r="99" spans="1:13" hidden="1" x14ac:dyDescent="0.2"/>
    <row r="100" spans="1:13" ht="16" hidden="1" x14ac:dyDescent="0.2">
      <c r="A100" s="1" t="s">
        <v>0</v>
      </c>
      <c r="B100" s="1" t="s">
        <v>117</v>
      </c>
    </row>
    <row r="101" spans="1:13" hidden="1" x14ac:dyDescent="0.2">
      <c r="A101" t="s">
        <v>1</v>
      </c>
      <c r="B101">
        <v>1</v>
      </c>
    </row>
    <row r="102" spans="1:13" hidden="1" x14ac:dyDescent="0.2">
      <c r="A102" t="s">
        <v>2</v>
      </c>
      <c r="B102" t="s">
        <v>17</v>
      </c>
    </row>
    <row r="103" spans="1:13" hidden="1" x14ac:dyDescent="0.2">
      <c r="A103" t="s">
        <v>3</v>
      </c>
      <c r="B103" t="s">
        <v>4</v>
      </c>
    </row>
    <row r="104" spans="1:13" hidden="1" x14ac:dyDescent="0.2">
      <c r="A104" t="s">
        <v>5</v>
      </c>
      <c r="B104" t="s">
        <v>6</v>
      </c>
    </row>
    <row r="105" spans="1:13" hidden="1" x14ac:dyDescent="0.2">
      <c r="A105" t="s">
        <v>7</v>
      </c>
      <c r="B105" t="s">
        <v>8</v>
      </c>
    </row>
    <row r="106" spans="1:13" hidden="1" x14ac:dyDescent="0.2">
      <c r="A106" t="s">
        <v>9</v>
      </c>
      <c r="B106" t="s">
        <v>116</v>
      </c>
    </row>
    <row r="107" spans="1:13" hidden="1" x14ac:dyDescent="0.2">
      <c r="A107" t="s">
        <v>19</v>
      </c>
      <c r="B107" t="s">
        <v>41</v>
      </c>
    </row>
    <row r="108" spans="1:13" ht="16" hidden="1" x14ac:dyDescent="0.2">
      <c r="A108" s="1" t="s">
        <v>10</v>
      </c>
    </row>
    <row r="109" spans="1:13" hidden="1" x14ac:dyDescent="0.2">
      <c r="A109" s="5" t="s">
        <v>11</v>
      </c>
      <c r="B109" s="5" t="s">
        <v>12</v>
      </c>
      <c r="C109" s="5" t="s">
        <v>7</v>
      </c>
      <c r="D109" s="5" t="s">
        <v>5</v>
      </c>
      <c r="E109" s="5" t="s">
        <v>13</v>
      </c>
      <c r="F109" s="5" t="s">
        <v>3</v>
      </c>
      <c r="G109" s="5" t="s">
        <v>2</v>
      </c>
      <c r="H109" s="5" t="s">
        <v>9</v>
      </c>
      <c r="I109" s="5" t="s">
        <v>180</v>
      </c>
      <c r="J109" s="5" t="s">
        <v>181</v>
      </c>
      <c r="K109" s="5" t="s">
        <v>225</v>
      </c>
      <c r="L109" s="5" t="s">
        <v>226</v>
      </c>
      <c r="M109" s="5" t="s">
        <v>190</v>
      </c>
    </row>
    <row r="110" spans="1:13" hidden="1" x14ac:dyDescent="0.2">
      <c r="A110" t="s">
        <v>117</v>
      </c>
      <c r="B110">
        <v>1</v>
      </c>
      <c r="C110" t="s">
        <v>8</v>
      </c>
      <c r="D110" t="s">
        <v>6</v>
      </c>
      <c r="F110" t="s">
        <v>15</v>
      </c>
      <c r="G110" t="s">
        <v>17</v>
      </c>
    </row>
    <row r="111" spans="1:13" ht="16" hidden="1" x14ac:dyDescent="0.2">
      <c r="A111" t="s">
        <v>82</v>
      </c>
      <c r="B111">
        <v>3.0000000000000001E-3</v>
      </c>
      <c r="C111" t="s">
        <v>8</v>
      </c>
      <c r="D111" t="s">
        <v>6</v>
      </c>
      <c r="F111" t="s">
        <v>16</v>
      </c>
      <c r="G111" s="7" t="s">
        <v>83</v>
      </c>
      <c r="H111" t="s">
        <v>175</v>
      </c>
      <c r="I111">
        <v>5</v>
      </c>
      <c r="J111" s="23">
        <v>3.0000000000000001E-3</v>
      </c>
      <c r="K111">
        <v>3.0000000000000001E-3</v>
      </c>
      <c r="L111">
        <v>7.0000000000000001E-3</v>
      </c>
    </row>
    <row r="112" spans="1:13" hidden="1" x14ac:dyDescent="0.2">
      <c r="A112" t="s">
        <v>118</v>
      </c>
      <c r="B112">
        <f>1/(100000000*20)</f>
        <v>5.0000000000000003E-10</v>
      </c>
      <c r="C112" t="s">
        <v>8</v>
      </c>
      <c r="D112" t="s">
        <v>5</v>
      </c>
      <c r="F112" t="s">
        <v>16</v>
      </c>
      <c r="G112" t="s">
        <v>64</v>
      </c>
      <c r="H112" t="s">
        <v>77</v>
      </c>
      <c r="I112">
        <v>5</v>
      </c>
      <c r="J112" s="6">
        <f>B112</f>
        <v>5.0000000000000003E-10</v>
      </c>
      <c r="K112">
        <f>1/(100000000*25)</f>
        <v>4.0000000000000001E-10</v>
      </c>
      <c r="L112" s="6">
        <f>1/(100000000*15)</f>
        <v>6.6666666666666664E-10</v>
      </c>
    </row>
    <row r="113" spans="1:13" hidden="1" x14ac:dyDescent="0.2">
      <c r="A113" t="s">
        <v>133</v>
      </c>
      <c r="B113">
        <f>-1/(100000000*20)</f>
        <v>-5.0000000000000003E-10</v>
      </c>
      <c r="C113" t="s">
        <v>8</v>
      </c>
      <c r="D113" t="s">
        <v>5</v>
      </c>
      <c r="F113" t="s">
        <v>16</v>
      </c>
      <c r="G113" t="s">
        <v>64</v>
      </c>
      <c r="H113" t="s">
        <v>78</v>
      </c>
      <c r="I113">
        <v>5</v>
      </c>
      <c r="J113">
        <f>-1/(100000000*20)</f>
        <v>-5.0000000000000003E-10</v>
      </c>
      <c r="K113">
        <f>-1/(100000000*15)</f>
        <v>-6.6666666666666664E-10</v>
      </c>
      <c r="L113">
        <f>-1/(100000000*25)</f>
        <v>-4.0000000000000001E-10</v>
      </c>
      <c r="M113" t="b">
        <v>1</v>
      </c>
    </row>
    <row r="114" spans="1:13" x14ac:dyDescent="0.2">
      <c r="A114" t="s">
        <v>79</v>
      </c>
      <c r="B114">
        <v>0.5</v>
      </c>
      <c r="C114" t="s">
        <v>8</v>
      </c>
      <c r="D114" t="s">
        <v>24</v>
      </c>
      <c r="F114" t="s">
        <v>16</v>
      </c>
      <c r="G114" t="s">
        <v>80</v>
      </c>
      <c r="H114" t="s">
        <v>233</v>
      </c>
      <c r="I114">
        <v>5</v>
      </c>
      <c r="J114">
        <v>0.5</v>
      </c>
      <c r="K114">
        <v>0.5</v>
      </c>
      <c r="L114">
        <v>0.7</v>
      </c>
    </row>
    <row r="115" spans="1:13" hidden="1" x14ac:dyDescent="0.2">
      <c r="A115" t="s">
        <v>81</v>
      </c>
      <c r="B115">
        <v>5.4</v>
      </c>
      <c r="C115" t="s">
        <v>135</v>
      </c>
      <c r="D115" t="s">
        <v>23</v>
      </c>
      <c r="F115" t="s">
        <v>16</v>
      </c>
      <c r="G115" t="s">
        <v>166</v>
      </c>
      <c r="H115" t="s">
        <v>232</v>
      </c>
      <c r="I115">
        <v>5</v>
      </c>
      <c r="J115">
        <v>5.4</v>
      </c>
      <c r="K115">
        <v>5.4</v>
      </c>
      <c r="L115">
        <v>11.9</v>
      </c>
    </row>
    <row r="116" spans="1:13" hidden="1" x14ac:dyDescent="0.2">
      <c r="A116" t="s">
        <v>40</v>
      </c>
      <c r="B116">
        <v>1</v>
      </c>
      <c r="D116" t="s">
        <v>6</v>
      </c>
      <c r="E116" t="s">
        <v>38</v>
      </c>
      <c r="F116" t="s">
        <v>21</v>
      </c>
      <c r="H116" t="s">
        <v>174</v>
      </c>
    </row>
    <row r="117" spans="1:13" hidden="1" x14ac:dyDescent="0.2"/>
    <row r="118" spans="1:13" ht="16" hidden="1" x14ac:dyDescent="0.2">
      <c r="A118" s="1" t="s">
        <v>0</v>
      </c>
      <c r="B118" s="1" t="s">
        <v>169</v>
      </c>
    </row>
    <row r="119" spans="1:13" hidden="1" x14ac:dyDescent="0.2">
      <c r="A119" t="s">
        <v>1</v>
      </c>
      <c r="B119">
        <v>1</v>
      </c>
    </row>
    <row r="120" spans="1:13" hidden="1" x14ac:dyDescent="0.2">
      <c r="A120" t="s">
        <v>2</v>
      </c>
      <c r="B120" t="s">
        <v>17</v>
      </c>
    </row>
    <row r="121" spans="1:13" hidden="1" x14ac:dyDescent="0.2">
      <c r="A121" t="s">
        <v>3</v>
      </c>
      <c r="B121" t="s">
        <v>4</v>
      </c>
    </row>
    <row r="122" spans="1:13" hidden="1" x14ac:dyDescent="0.2">
      <c r="A122" t="s">
        <v>5</v>
      </c>
      <c r="B122" t="s">
        <v>6</v>
      </c>
    </row>
    <row r="123" spans="1:13" hidden="1" x14ac:dyDescent="0.2">
      <c r="A123" t="s">
        <v>7</v>
      </c>
      <c r="B123" t="s">
        <v>8</v>
      </c>
    </row>
    <row r="124" spans="1:13" hidden="1" x14ac:dyDescent="0.2">
      <c r="A124" t="s">
        <v>9</v>
      </c>
      <c r="B124" t="s">
        <v>220</v>
      </c>
    </row>
    <row r="125" spans="1:13" hidden="1" x14ac:dyDescent="0.2">
      <c r="A125" t="s">
        <v>19</v>
      </c>
      <c r="B125" t="s">
        <v>231</v>
      </c>
    </row>
    <row r="126" spans="1:13" ht="16" hidden="1" x14ac:dyDescent="0.2">
      <c r="A126" s="1" t="s">
        <v>10</v>
      </c>
    </row>
    <row r="127" spans="1:13" hidden="1" x14ac:dyDescent="0.2">
      <c r="A127" t="s">
        <v>11</v>
      </c>
      <c r="B127" t="s">
        <v>12</v>
      </c>
      <c r="C127" t="s">
        <v>7</v>
      </c>
      <c r="D127" t="s">
        <v>5</v>
      </c>
      <c r="E127" t="s">
        <v>13</v>
      </c>
      <c r="F127" t="s">
        <v>3</v>
      </c>
      <c r="G127" t="s">
        <v>2</v>
      </c>
      <c r="H127" t="s">
        <v>9</v>
      </c>
      <c r="I127" t="s">
        <v>180</v>
      </c>
      <c r="J127" t="s">
        <v>181</v>
      </c>
      <c r="K127" t="s">
        <v>225</v>
      </c>
      <c r="L127" t="s">
        <v>226</v>
      </c>
      <c r="M127" s="5" t="s">
        <v>190</v>
      </c>
    </row>
    <row r="128" spans="1:13" hidden="1" x14ac:dyDescent="0.2">
      <c r="A128" t="s">
        <v>169</v>
      </c>
      <c r="B128">
        <v>1</v>
      </c>
      <c r="C128" t="s">
        <v>8</v>
      </c>
      <c r="D128" t="s">
        <v>6</v>
      </c>
      <c r="F128" t="s">
        <v>15</v>
      </c>
      <c r="G128" t="s">
        <v>17</v>
      </c>
    </row>
    <row r="129" spans="1:13" ht="16" hidden="1" x14ac:dyDescent="0.2">
      <c r="A129" t="s">
        <v>82</v>
      </c>
      <c r="B129">
        <v>3.0000000000000001E-3</v>
      </c>
      <c r="C129" t="s">
        <v>8</v>
      </c>
      <c r="D129" t="s">
        <v>6</v>
      </c>
      <c r="F129" t="s">
        <v>16</v>
      </c>
      <c r="G129" s="7" t="s">
        <v>83</v>
      </c>
      <c r="H129" t="s">
        <v>112</v>
      </c>
      <c r="I129">
        <v>5</v>
      </c>
      <c r="J129">
        <v>3.0000000000000001E-3</v>
      </c>
      <c r="K129">
        <v>3.0000000000000001E-3</v>
      </c>
      <c r="L129">
        <v>7.0000000000000001E-3</v>
      </c>
    </row>
    <row r="130" spans="1:13" hidden="1" x14ac:dyDescent="0.2">
      <c r="A130" t="s">
        <v>118</v>
      </c>
      <c r="B130">
        <f>1/(100000000*20)</f>
        <v>5.0000000000000003E-10</v>
      </c>
      <c r="C130" t="s">
        <v>8</v>
      </c>
      <c r="D130" t="s">
        <v>5</v>
      </c>
      <c r="F130" t="s">
        <v>16</v>
      </c>
      <c r="G130" t="s">
        <v>64</v>
      </c>
      <c r="H130" t="s">
        <v>77</v>
      </c>
      <c r="I130">
        <v>5</v>
      </c>
      <c r="J130" s="6">
        <f>B130</f>
        <v>5.0000000000000003E-10</v>
      </c>
      <c r="K130">
        <f>1/(100000000*25)</f>
        <v>4.0000000000000001E-10</v>
      </c>
      <c r="L130" s="6">
        <f>1/(100000000*15)</f>
        <v>6.6666666666666664E-10</v>
      </c>
    </row>
    <row r="131" spans="1:13" hidden="1" x14ac:dyDescent="0.2">
      <c r="A131" t="s">
        <v>133</v>
      </c>
      <c r="B131">
        <f>-1/(100000000*20)</f>
        <v>-5.0000000000000003E-10</v>
      </c>
      <c r="C131" t="s">
        <v>8</v>
      </c>
      <c r="D131" t="s">
        <v>5</v>
      </c>
      <c r="F131" t="s">
        <v>16</v>
      </c>
      <c r="G131" t="s">
        <v>64</v>
      </c>
      <c r="H131" t="s">
        <v>78</v>
      </c>
      <c r="I131">
        <v>5</v>
      </c>
      <c r="J131">
        <f>-1/(100000000*20)</f>
        <v>-5.0000000000000003E-10</v>
      </c>
      <c r="K131">
        <f>-1/(100000000*15)</f>
        <v>-6.6666666666666664E-10</v>
      </c>
      <c r="L131">
        <f>-1/(100000000*25)</f>
        <v>-4.0000000000000001E-10</v>
      </c>
      <c r="M131" t="b">
        <v>1</v>
      </c>
    </row>
    <row r="132" spans="1:13" x14ac:dyDescent="0.2">
      <c r="A132" t="s">
        <v>79</v>
      </c>
      <c r="B132">
        <v>0.5</v>
      </c>
      <c r="C132" t="s">
        <v>8</v>
      </c>
      <c r="D132" t="s">
        <v>24</v>
      </c>
      <c r="F132" t="s">
        <v>16</v>
      </c>
      <c r="G132" t="s">
        <v>80</v>
      </c>
      <c r="H132" t="s">
        <v>233</v>
      </c>
      <c r="I132">
        <v>5</v>
      </c>
      <c r="J132">
        <v>0.5</v>
      </c>
      <c r="K132">
        <v>0.5</v>
      </c>
      <c r="L132">
        <v>0.7</v>
      </c>
    </row>
    <row r="133" spans="1:13" hidden="1" x14ac:dyDescent="0.2">
      <c r="A133" t="s">
        <v>81</v>
      </c>
      <c r="B133">
        <v>5.4</v>
      </c>
      <c r="C133" t="s">
        <v>135</v>
      </c>
      <c r="D133" t="s">
        <v>23</v>
      </c>
      <c r="F133" t="s">
        <v>16</v>
      </c>
      <c r="G133" t="s">
        <v>166</v>
      </c>
      <c r="H133" t="s">
        <v>232</v>
      </c>
      <c r="I133">
        <v>5</v>
      </c>
      <c r="J133">
        <v>5.4</v>
      </c>
      <c r="K133">
        <v>5.4</v>
      </c>
      <c r="L133">
        <v>11.9</v>
      </c>
    </row>
    <row r="134" spans="1:13" ht="16" hidden="1" x14ac:dyDescent="0.2">
      <c r="A134" t="s">
        <v>100</v>
      </c>
      <c r="B134">
        <v>1</v>
      </c>
      <c r="C134" t="s">
        <v>8</v>
      </c>
      <c r="D134" t="s">
        <v>6</v>
      </c>
      <c r="F134" t="s">
        <v>16</v>
      </c>
      <c r="G134" s="8" t="s">
        <v>101</v>
      </c>
      <c r="H134" t="s">
        <v>168</v>
      </c>
    </row>
    <row r="135" spans="1:13" hidden="1" x14ac:dyDescent="0.2">
      <c r="A135" t="s">
        <v>40</v>
      </c>
      <c r="B135">
        <v>1</v>
      </c>
      <c r="D135" t="s">
        <v>6</v>
      </c>
      <c r="E135" t="s">
        <v>38</v>
      </c>
      <c r="F135" t="s">
        <v>21</v>
      </c>
      <c r="H135" t="s">
        <v>174</v>
      </c>
    </row>
    <row r="136" spans="1:13" hidden="1" x14ac:dyDescent="0.2"/>
    <row r="137" spans="1:13" ht="16" hidden="1" x14ac:dyDescent="0.2">
      <c r="A137" s="1" t="s">
        <v>0</v>
      </c>
      <c r="B137" s="1" t="s">
        <v>118</v>
      </c>
    </row>
    <row r="138" spans="1:13" hidden="1" x14ac:dyDescent="0.2">
      <c r="A138" t="s">
        <v>1</v>
      </c>
      <c r="B138">
        <v>1</v>
      </c>
    </row>
    <row r="139" spans="1:13" ht="16" hidden="1" x14ac:dyDescent="0.2">
      <c r="A139" t="s">
        <v>2</v>
      </c>
      <c r="B139" s="7" t="s">
        <v>64</v>
      </c>
    </row>
    <row r="140" spans="1:13" hidden="1" x14ac:dyDescent="0.2">
      <c r="A140" t="s">
        <v>3</v>
      </c>
      <c r="B140" t="s">
        <v>4</v>
      </c>
    </row>
    <row r="141" spans="1:13" hidden="1" x14ac:dyDescent="0.2">
      <c r="A141" t="s">
        <v>5</v>
      </c>
      <c r="B141" t="s">
        <v>5</v>
      </c>
    </row>
    <row r="142" spans="1:13" hidden="1" x14ac:dyDescent="0.2">
      <c r="A142" t="s">
        <v>7</v>
      </c>
      <c r="B142" t="s">
        <v>8</v>
      </c>
    </row>
    <row r="143" spans="1:13" hidden="1" x14ac:dyDescent="0.2">
      <c r="A143" t="s">
        <v>9</v>
      </c>
      <c r="B143" t="s">
        <v>218</v>
      </c>
    </row>
    <row r="144" spans="1:13" hidden="1" x14ac:dyDescent="0.2">
      <c r="A144" t="s">
        <v>19</v>
      </c>
      <c r="B144" t="s">
        <v>231</v>
      </c>
    </row>
    <row r="145" spans="1:8" ht="16" hidden="1" x14ac:dyDescent="0.2">
      <c r="A145" s="1" t="s">
        <v>10</v>
      </c>
    </row>
    <row r="146" spans="1:8" hidden="1" x14ac:dyDescent="0.2">
      <c r="A146" t="s">
        <v>11</v>
      </c>
      <c r="B146" t="s">
        <v>12</v>
      </c>
      <c r="C146" t="s">
        <v>7</v>
      </c>
      <c r="D146" t="s">
        <v>5</v>
      </c>
      <c r="E146" t="s">
        <v>13</v>
      </c>
      <c r="F146" t="s">
        <v>3</v>
      </c>
      <c r="G146" t="s">
        <v>2</v>
      </c>
      <c r="H146" t="s">
        <v>9</v>
      </c>
    </row>
    <row r="147" spans="1:8" ht="16" hidden="1" x14ac:dyDescent="0.2">
      <c r="A147" t="s">
        <v>118</v>
      </c>
      <c r="B147">
        <v>1</v>
      </c>
      <c r="C147" t="s">
        <v>8</v>
      </c>
      <c r="D147" t="s">
        <v>5</v>
      </c>
      <c r="F147" t="s">
        <v>15</v>
      </c>
      <c r="G147" s="7" t="s">
        <v>64</v>
      </c>
    </row>
    <row r="148" spans="1:8" hidden="1" x14ac:dyDescent="0.2">
      <c r="A148" t="s">
        <v>203</v>
      </c>
      <c r="B148">
        <v>8000</v>
      </c>
      <c r="C148" t="s">
        <v>22</v>
      </c>
      <c r="D148" t="s">
        <v>50</v>
      </c>
      <c r="F148" t="s">
        <v>16</v>
      </c>
      <c r="G148" t="s">
        <v>205</v>
      </c>
      <c r="H148" t="s">
        <v>122</v>
      </c>
    </row>
    <row r="149" spans="1:8" hidden="1" x14ac:dyDescent="0.2">
      <c r="A149" t="s">
        <v>106</v>
      </c>
      <c r="B149">
        <v>942000</v>
      </c>
      <c r="C149" t="s">
        <v>18</v>
      </c>
      <c r="D149" t="s">
        <v>6</v>
      </c>
      <c r="F149" t="s">
        <v>16</v>
      </c>
      <c r="G149" t="s">
        <v>34</v>
      </c>
      <c r="H149" t="s">
        <v>122</v>
      </c>
    </row>
    <row r="150" spans="1:8" hidden="1" x14ac:dyDescent="0.2">
      <c r="A150" t="s">
        <v>203</v>
      </c>
      <c r="B150">
        <v>6000</v>
      </c>
      <c r="C150" t="s">
        <v>22</v>
      </c>
      <c r="D150" t="s">
        <v>50</v>
      </c>
      <c r="F150" t="s">
        <v>16</v>
      </c>
      <c r="G150" t="s">
        <v>205</v>
      </c>
      <c r="H150" t="s">
        <v>123</v>
      </c>
    </row>
    <row r="151" spans="1:8" hidden="1" x14ac:dyDescent="0.2">
      <c r="A151" t="s">
        <v>106</v>
      </c>
      <c r="B151">
        <v>548000.00000000012</v>
      </c>
      <c r="C151" t="s">
        <v>18</v>
      </c>
      <c r="D151" s="10" t="s">
        <v>6</v>
      </c>
      <c r="F151" t="s">
        <v>16</v>
      </c>
      <c r="G151" t="s">
        <v>34</v>
      </c>
      <c r="H151" t="s">
        <v>123</v>
      </c>
    </row>
    <row r="152" spans="1:8" hidden="1" x14ac:dyDescent="0.2">
      <c r="A152" t="s">
        <v>43</v>
      </c>
      <c r="B152">
        <v>120000</v>
      </c>
      <c r="C152" t="s">
        <v>18</v>
      </c>
      <c r="D152" s="10" t="s">
        <v>6</v>
      </c>
      <c r="F152" t="s">
        <v>16</v>
      </c>
      <c r="G152" t="s">
        <v>31</v>
      </c>
      <c r="H152" t="s">
        <v>123</v>
      </c>
    </row>
    <row r="153" spans="1:8" hidden="1" x14ac:dyDescent="0.2">
      <c r="A153" t="s">
        <v>119</v>
      </c>
      <c r="B153">
        <v>16000</v>
      </c>
      <c r="C153" t="s">
        <v>18</v>
      </c>
      <c r="D153" s="10" t="s">
        <v>6</v>
      </c>
      <c r="F153" t="s">
        <v>16</v>
      </c>
      <c r="G153" t="s">
        <v>128</v>
      </c>
      <c r="H153" t="s">
        <v>123</v>
      </c>
    </row>
    <row r="154" spans="1:8" hidden="1" x14ac:dyDescent="0.2">
      <c r="A154" t="s">
        <v>60</v>
      </c>
      <c r="B154">
        <v>276000.00000000006</v>
      </c>
      <c r="C154" t="s">
        <v>18</v>
      </c>
      <c r="D154" s="10" t="s">
        <v>6</v>
      </c>
      <c r="F154" t="s">
        <v>16</v>
      </c>
      <c r="G154" t="s">
        <v>132</v>
      </c>
      <c r="H154" t="s">
        <v>124</v>
      </c>
    </row>
    <row r="155" spans="1:8" hidden="1" x14ac:dyDescent="0.2">
      <c r="A155" t="s">
        <v>44</v>
      </c>
      <c r="B155">
        <v>224000</v>
      </c>
      <c r="C155" t="s">
        <v>8</v>
      </c>
      <c r="D155" s="10" t="s">
        <v>6</v>
      </c>
      <c r="F155" t="s">
        <v>16</v>
      </c>
      <c r="G155" t="s">
        <v>51</v>
      </c>
      <c r="H155" t="s">
        <v>124</v>
      </c>
    </row>
    <row r="156" spans="1:8" hidden="1" x14ac:dyDescent="0.2">
      <c r="A156" t="s">
        <v>119</v>
      </c>
      <c r="B156">
        <v>10000</v>
      </c>
      <c r="C156" t="s">
        <v>18</v>
      </c>
      <c r="D156" s="10" t="s">
        <v>6</v>
      </c>
      <c r="F156" t="s">
        <v>16</v>
      </c>
      <c r="G156" t="s">
        <v>128</v>
      </c>
      <c r="H156" t="s">
        <v>124</v>
      </c>
    </row>
    <row r="157" spans="1:8" hidden="1" x14ac:dyDescent="0.2">
      <c r="A157" t="s">
        <v>120</v>
      </c>
      <c r="B157">
        <v>12000</v>
      </c>
      <c r="C157" t="s">
        <v>8</v>
      </c>
      <c r="D157" s="10" t="s">
        <v>6</v>
      </c>
      <c r="F157" t="s">
        <v>16</v>
      </c>
      <c r="G157" t="s">
        <v>129</v>
      </c>
      <c r="H157" t="s">
        <v>124</v>
      </c>
    </row>
    <row r="158" spans="1:8" hidden="1" x14ac:dyDescent="0.2">
      <c r="A158" t="s">
        <v>156</v>
      </c>
      <c r="B158">
        <v>10000</v>
      </c>
      <c r="C158" t="s">
        <v>18</v>
      </c>
      <c r="D158" s="10" t="s">
        <v>6</v>
      </c>
      <c r="F158" t="s">
        <v>16</v>
      </c>
      <c r="G158" t="s">
        <v>157</v>
      </c>
      <c r="H158" t="s">
        <v>124</v>
      </c>
    </row>
    <row r="159" spans="1:8" hidden="1" x14ac:dyDescent="0.2">
      <c r="A159" t="s">
        <v>59</v>
      </c>
      <c r="B159">
        <v>160000</v>
      </c>
      <c r="C159" t="s">
        <v>18</v>
      </c>
      <c r="D159" s="10" t="s">
        <v>6</v>
      </c>
      <c r="F159" t="s">
        <v>16</v>
      </c>
      <c r="G159" t="s">
        <v>61</v>
      </c>
      <c r="H159" t="s">
        <v>124</v>
      </c>
    </row>
    <row r="160" spans="1:8" hidden="1" x14ac:dyDescent="0.2">
      <c r="A160" t="s">
        <v>121</v>
      </c>
      <c r="B160">
        <v>10000</v>
      </c>
      <c r="C160" t="s">
        <v>8</v>
      </c>
      <c r="D160" s="10" t="s">
        <v>6</v>
      </c>
      <c r="F160" t="s">
        <v>16</v>
      </c>
      <c r="G160" t="s">
        <v>130</v>
      </c>
      <c r="H160" t="s">
        <v>124</v>
      </c>
    </row>
    <row r="161" spans="1:8" hidden="1" x14ac:dyDescent="0.2">
      <c r="A161" t="s">
        <v>44</v>
      </c>
      <c r="B161">
        <v>338000</v>
      </c>
      <c r="C161" t="s">
        <v>8</v>
      </c>
      <c r="D161" s="10" t="s">
        <v>6</v>
      </c>
      <c r="F161" t="s">
        <v>16</v>
      </c>
      <c r="G161" t="s">
        <v>51</v>
      </c>
      <c r="H161" t="s">
        <v>126</v>
      </c>
    </row>
    <row r="162" spans="1:8" hidden="1" x14ac:dyDescent="0.2">
      <c r="A162" t="s">
        <v>43</v>
      </c>
      <c r="B162">
        <v>28000</v>
      </c>
      <c r="C162" t="s">
        <v>18</v>
      </c>
      <c r="D162" s="10" t="s">
        <v>6</v>
      </c>
      <c r="F162" t="s">
        <v>16</v>
      </c>
      <c r="G162" t="s">
        <v>31</v>
      </c>
      <c r="H162" t="s">
        <v>126</v>
      </c>
    </row>
    <row r="163" spans="1:8" hidden="1" x14ac:dyDescent="0.2">
      <c r="A163" t="s">
        <v>125</v>
      </c>
      <c r="B163">
        <v>94000</v>
      </c>
      <c r="C163" t="s">
        <v>18</v>
      </c>
      <c r="D163" s="10" t="s">
        <v>6</v>
      </c>
      <c r="F163" t="s">
        <v>16</v>
      </c>
      <c r="G163" t="s">
        <v>131</v>
      </c>
      <c r="H163" t="s">
        <v>126</v>
      </c>
    </row>
    <row r="164" spans="1:8" hidden="1" x14ac:dyDescent="0.2">
      <c r="A164" t="s">
        <v>120</v>
      </c>
      <c r="B164">
        <v>10000</v>
      </c>
      <c r="C164" t="s">
        <v>8</v>
      </c>
      <c r="D164" s="10" t="s">
        <v>6</v>
      </c>
      <c r="F164" t="s">
        <v>16</v>
      </c>
      <c r="G164" t="s">
        <v>129</v>
      </c>
      <c r="H164" t="s">
        <v>126</v>
      </c>
    </row>
    <row r="165" spans="1:8" hidden="1" x14ac:dyDescent="0.2">
      <c r="A165" t="s">
        <v>156</v>
      </c>
      <c r="B165">
        <v>10000</v>
      </c>
      <c r="C165" t="s">
        <v>18</v>
      </c>
      <c r="D165" s="10" t="s">
        <v>6</v>
      </c>
      <c r="F165" t="s">
        <v>16</v>
      </c>
      <c r="G165" t="s">
        <v>157</v>
      </c>
      <c r="H165" t="s">
        <v>126</v>
      </c>
    </row>
    <row r="166" spans="1:8" hidden="1" x14ac:dyDescent="0.2">
      <c r="A166" t="s">
        <v>44</v>
      </c>
      <c r="B166">
        <v>22000</v>
      </c>
      <c r="C166" t="s">
        <v>8</v>
      </c>
      <c r="D166" s="10" t="s">
        <v>6</v>
      </c>
      <c r="F166" t="s">
        <v>16</v>
      </c>
      <c r="G166" t="s">
        <v>51</v>
      </c>
      <c r="H166" t="s">
        <v>127</v>
      </c>
    </row>
    <row r="167" spans="1:8" hidden="1" x14ac:dyDescent="0.2">
      <c r="A167" t="s">
        <v>43</v>
      </c>
      <c r="B167">
        <v>12000</v>
      </c>
      <c r="C167" t="s">
        <v>18</v>
      </c>
      <c r="D167" s="10" t="s">
        <v>6</v>
      </c>
      <c r="F167" t="s">
        <v>16</v>
      </c>
      <c r="G167" t="s">
        <v>31</v>
      </c>
      <c r="H167" t="s">
        <v>127</v>
      </c>
    </row>
    <row r="168" spans="1:8" hidden="1" x14ac:dyDescent="0.2">
      <c r="A168" t="s">
        <v>210</v>
      </c>
      <c r="B168">
        <f>7838/100000000/20</f>
        <v>3.9190000000000001E-6</v>
      </c>
      <c r="D168" t="s">
        <v>211</v>
      </c>
      <c r="E168" t="s">
        <v>215</v>
      </c>
      <c r="F168" t="s">
        <v>21</v>
      </c>
      <c r="H168" t="s">
        <v>212</v>
      </c>
    </row>
    <row r="169" spans="1:8" hidden="1" x14ac:dyDescent="0.2">
      <c r="A169" t="s">
        <v>213</v>
      </c>
      <c r="B169">
        <f>7838/100000000</f>
        <v>7.8380000000000005E-5</v>
      </c>
      <c r="D169" t="s">
        <v>214</v>
      </c>
      <c r="E169" t="s">
        <v>215</v>
      </c>
      <c r="F169" t="s">
        <v>21</v>
      </c>
      <c r="H169" t="s">
        <v>216</v>
      </c>
    </row>
    <row r="170" spans="1:8" hidden="1" x14ac:dyDescent="0.2">
      <c r="A170" t="s">
        <v>217</v>
      </c>
      <c r="B170">
        <f>7838/100000000</f>
        <v>7.8380000000000005E-5</v>
      </c>
      <c r="D170" t="s">
        <v>214</v>
      </c>
      <c r="E170" t="s">
        <v>215</v>
      </c>
      <c r="F170" t="s">
        <v>21</v>
      </c>
      <c r="H170" t="s">
        <v>216</v>
      </c>
    </row>
    <row r="171" spans="1:8" hidden="1" x14ac:dyDescent="0.2">
      <c r="D171" s="10"/>
    </row>
    <row r="172" spans="1:8" ht="16" hidden="1" x14ac:dyDescent="0.2">
      <c r="A172" s="1" t="s">
        <v>0</v>
      </c>
      <c r="B172" s="1" t="s">
        <v>133</v>
      </c>
    </row>
    <row r="173" spans="1:8" hidden="1" x14ac:dyDescent="0.2">
      <c r="A173" t="s">
        <v>1</v>
      </c>
      <c r="B173">
        <v>1</v>
      </c>
    </row>
    <row r="174" spans="1:8" ht="16" hidden="1" x14ac:dyDescent="0.2">
      <c r="A174" t="s">
        <v>2</v>
      </c>
      <c r="B174" s="7" t="s">
        <v>64</v>
      </c>
    </row>
    <row r="175" spans="1:8" hidden="1" x14ac:dyDescent="0.2">
      <c r="A175" t="s">
        <v>3</v>
      </c>
      <c r="B175" t="s">
        <v>4</v>
      </c>
    </row>
    <row r="176" spans="1:8" hidden="1" x14ac:dyDescent="0.2">
      <c r="A176" t="s">
        <v>5</v>
      </c>
      <c r="B176" t="s">
        <v>5</v>
      </c>
    </row>
    <row r="177" spans="1:19" hidden="1" x14ac:dyDescent="0.2">
      <c r="A177" t="s">
        <v>7</v>
      </c>
      <c r="B177" t="s">
        <v>8</v>
      </c>
    </row>
    <row r="178" spans="1:19" hidden="1" x14ac:dyDescent="0.2">
      <c r="A178" t="s">
        <v>9</v>
      </c>
      <c r="B178" t="s">
        <v>116</v>
      </c>
    </row>
    <row r="179" spans="1:19" hidden="1" x14ac:dyDescent="0.2">
      <c r="A179" t="s">
        <v>19</v>
      </c>
      <c r="B179" t="s">
        <v>231</v>
      </c>
    </row>
    <row r="180" spans="1:19" ht="16" hidden="1" x14ac:dyDescent="0.2">
      <c r="A180" s="1" t="s">
        <v>10</v>
      </c>
    </row>
    <row r="181" spans="1:19" hidden="1" x14ac:dyDescent="0.2">
      <c r="A181" t="s">
        <v>11</v>
      </c>
      <c r="B181" t="s">
        <v>12</v>
      </c>
      <c r="C181" t="s">
        <v>7</v>
      </c>
      <c r="D181" t="s">
        <v>5</v>
      </c>
      <c r="E181" t="s">
        <v>13</v>
      </c>
      <c r="F181" t="s">
        <v>3</v>
      </c>
      <c r="G181" t="s">
        <v>2</v>
      </c>
      <c r="H181" t="s">
        <v>9</v>
      </c>
    </row>
    <row r="182" spans="1:19" ht="16" hidden="1" x14ac:dyDescent="0.2">
      <c r="A182" t="s">
        <v>133</v>
      </c>
      <c r="B182">
        <v>-1</v>
      </c>
      <c r="C182" t="s">
        <v>8</v>
      </c>
      <c r="D182" t="s">
        <v>5</v>
      </c>
      <c r="F182" t="s">
        <v>15</v>
      </c>
      <c r="G182" s="7" t="s">
        <v>64</v>
      </c>
    </row>
    <row r="183" spans="1:19" hidden="1" x14ac:dyDescent="0.2">
      <c r="A183" t="s">
        <v>66</v>
      </c>
      <c r="B183">
        <v>-29400000</v>
      </c>
      <c r="C183" t="s">
        <v>135</v>
      </c>
      <c r="D183" t="s">
        <v>6</v>
      </c>
      <c r="F183" t="s">
        <v>16</v>
      </c>
      <c r="G183" t="s">
        <v>165</v>
      </c>
      <c r="Q183" s="4"/>
      <c r="S183" s="4"/>
    </row>
    <row r="184" spans="1:19" hidden="1" x14ac:dyDescent="0.2">
      <c r="A184" t="s">
        <v>67</v>
      </c>
      <c r="B184">
        <v>-2140000</v>
      </c>
      <c r="C184" t="s">
        <v>22</v>
      </c>
      <c r="D184" t="s">
        <v>6</v>
      </c>
      <c r="F184" t="s">
        <v>16</v>
      </c>
      <c r="G184" t="s">
        <v>164</v>
      </c>
      <c r="Q184" s="3"/>
      <c r="S184" s="3"/>
    </row>
    <row r="185" spans="1:19" hidden="1" x14ac:dyDescent="0.2">
      <c r="A185" t="s">
        <v>68</v>
      </c>
      <c r="B185">
        <v>-116000</v>
      </c>
      <c r="C185" t="s">
        <v>22</v>
      </c>
      <c r="D185" t="s">
        <v>6</v>
      </c>
      <c r="F185" t="s">
        <v>16</v>
      </c>
      <c r="G185" t="s">
        <v>163</v>
      </c>
      <c r="Q185" s="3"/>
      <c r="S185" s="3"/>
    </row>
    <row r="186" spans="1:19" hidden="1" x14ac:dyDescent="0.2">
      <c r="A186" t="s">
        <v>73</v>
      </c>
      <c r="B186">
        <v>-143999.99999999997</v>
      </c>
      <c r="C186" t="s">
        <v>8</v>
      </c>
      <c r="D186" t="s">
        <v>6</v>
      </c>
      <c r="F186" t="s">
        <v>16</v>
      </c>
      <c r="G186" t="s">
        <v>61</v>
      </c>
    </row>
    <row r="187" spans="1:19" hidden="1" x14ac:dyDescent="0.2">
      <c r="A187" t="s">
        <v>206</v>
      </c>
      <c r="B187">
        <v>-6000000</v>
      </c>
      <c r="C187" t="s">
        <v>27</v>
      </c>
      <c r="D187" t="s">
        <v>6</v>
      </c>
      <c r="F187" t="s">
        <v>16</v>
      </c>
      <c r="G187" t="s">
        <v>28</v>
      </c>
    </row>
    <row r="188" spans="1:19" hidden="1" x14ac:dyDescent="0.2">
      <c r="A188" t="s">
        <v>113</v>
      </c>
      <c r="B188">
        <v>-20000</v>
      </c>
      <c r="C188" t="s">
        <v>135</v>
      </c>
      <c r="D188" t="s">
        <v>6</v>
      </c>
      <c r="F188" t="s">
        <v>16</v>
      </c>
      <c r="G188" t="s">
        <v>155</v>
      </c>
    </row>
    <row r="189" spans="1:19" hidden="1" x14ac:dyDescent="0.2">
      <c r="A189" t="s">
        <v>134</v>
      </c>
      <c r="B189">
        <v>-26000</v>
      </c>
      <c r="C189" t="s">
        <v>135</v>
      </c>
      <c r="D189" t="s">
        <v>6</v>
      </c>
      <c r="F189" t="s">
        <v>16</v>
      </c>
      <c r="G189" t="s">
        <v>154</v>
      </c>
    </row>
    <row r="190" spans="1:19" ht="16" hidden="1" x14ac:dyDescent="0.2">
      <c r="G190" s="7"/>
    </row>
    <row r="191" spans="1:19" ht="16" hidden="1" x14ac:dyDescent="0.2">
      <c r="A191" s="1" t="s">
        <v>0</v>
      </c>
      <c r="B191" s="1" t="s">
        <v>82</v>
      </c>
    </row>
    <row r="192" spans="1:19" hidden="1" x14ac:dyDescent="0.2">
      <c r="A192" t="s">
        <v>1</v>
      </c>
      <c r="B192">
        <v>1</v>
      </c>
    </row>
    <row r="193" spans="1:10" ht="16" hidden="1" x14ac:dyDescent="0.2">
      <c r="A193" t="s">
        <v>2</v>
      </c>
      <c r="B193" s="7" t="s">
        <v>83</v>
      </c>
    </row>
    <row r="194" spans="1:10" hidden="1" x14ac:dyDescent="0.2">
      <c r="A194" t="s">
        <v>3</v>
      </c>
      <c r="B194" t="s">
        <v>4</v>
      </c>
    </row>
    <row r="195" spans="1:10" hidden="1" x14ac:dyDescent="0.2">
      <c r="A195" t="s">
        <v>5</v>
      </c>
      <c r="B195" t="s">
        <v>6</v>
      </c>
    </row>
    <row r="196" spans="1:10" hidden="1" x14ac:dyDescent="0.2">
      <c r="A196" t="s">
        <v>7</v>
      </c>
      <c r="B196" t="s">
        <v>8</v>
      </c>
    </row>
    <row r="197" spans="1:10" hidden="1" x14ac:dyDescent="0.2">
      <c r="A197" t="s">
        <v>9</v>
      </c>
      <c r="B197" t="s">
        <v>176</v>
      </c>
    </row>
    <row r="198" spans="1:10" hidden="1" x14ac:dyDescent="0.2">
      <c r="A198" t="s">
        <v>19</v>
      </c>
      <c r="B198" t="s">
        <v>223</v>
      </c>
    </row>
    <row r="199" spans="1:10" ht="16" hidden="1" x14ac:dyDescent="0.2">
      <c r="A199" s="1" t="s">
        <v>10</v>
      </c>
    </row>
    <row r="200" spans="1:10" hidden="1" x14ac:dyDescent="0.2">
      <c r="A200" t="s">
        <v>11</v>
      </c>
      <c r="B200" t="s">
        <v>12</v>
      </c>
      <c r="C200" t="s">
        <v>7</v>
      </c>
      <c r="D200" t="s">
        <v>5</v>
      </c>
      <c r="E200" t="s">
        <v>13</v>
      </c>
      <c r="F200" t="s">
        <v>3</v>
      </c>
      <c r="G200" t="s">
        <v>2</v>
      </c>
      <c r="H200" t="s">
        <v>9</v>
      </c>
    </row>
    <row r="201" spans="1:10" ht="16" hidden="1" x14ac:dyDescent="0.2">
      <c r="A201" t="s">
        <v>82</v>
      </c>
      <c r="B201">
        <v>1</v>
      </c>
      <c r="C201" t="s">
        <v>8</v>
      </c>
      <c r="D201" t="s">
        <v>6</v>
      </c>
      <c r="F201" t="s">
        <v>15</v>
      </c>
      <c r="G201" s="7" t="s">
        <v>83</v>
      </c>
    </row>
    <row r="202" spans="1:10" ht="16" hidden="1" x14ac:dyDescent="0.2">
      <c r="A202" t="s">
        <v>221</v>
      </c>
      <c r="B202">
        <v>0.36</v>
      </c>
      <c r="C202" t="s">
        <v>8</v>
      </c>
      <c r="D202" t="s">
        <v>6</v>
      </c>
      <c r="F202" t="s">
        <v>16</v>
      </c>
      <c r="G202" s="7" t="s">
        <v>222</v>
      </c>
      <c r="H202" t="s">
        <v>99</v>
      </c>
    </row>
    <row r="203" spans="1:10" ht="16" hidden="1" x14ac:dyDescent="0.2">
      <c r="A203" t="s">
        <v>227</v>
      </c>
      <c r="B203">
        <v>0.64</v>
      </c>
      <c r="C203" t="s">
        <v>8</v>
      </c>
      <c r="D203" t="s">
        <v>6</v>
      </c>
      <c r="F203" t="s">
        <v>16</v>
      </c>
      <c r="G203" s="7" t="s">
        <v>228</v>
      </c>
      <c r="H203" t="s">
        <v>98</v>
      </c>
    </row>
    <row r="204" spans="1:10" hidden="1" x14ac:dyDescent="0.2">
      <c r="A204" t="s">
        <v>26</v>
      </c>
      <c r="B204">
        <v>-1</v>
      </c>
      <c r="C204" t="s">
        <v>27</v>
      </c>
      <c r="D204" t="s">
        <v>6</v>
      </c>
      <c r="F204" t="s">
        <v>16</v>
      </c>
      <c r="G204" t="s">
        <v>28</v>
      </c>
      <c r="H204" t="s">
        <v>78</v>
      </c>
    </row>
    <row r="205" spans="1:10" ht="16" hidden="1" x14ac:dyDescent="0.2">
      <c r="A205" s="2"/>
      <c r="J205" s="2"/>
    </row>
    <row r="206" spans="1:10" ht="16" hidden="1" x14ac:dyDescent="0.2">
      <c r="A206" s="1" t="s">
        <v>0</v>
      </c>
      <c r="B206" s="1" t="s">
        <v>221</v>
      </c>
    </row>
    <row r="207" spans="1:10" hidden="1" x14ac:dyDescent="0.2">
      <c r="A207" t="s">
        <v>1</v>
      </c>
      <c r="B207">
        <v>1</v>
      </c>
    </row>
    <row r="208" spans="1:10" ht="16" hidden="1" x14ac:dyDescent="0.2">
      <c r="A208" t="s">
        <v>2</v>
      </c>
      <c r="B208" s="22" t="s">
        <v>222</v>
      </c>
    </row>
    <row r="209" spans="1:13" hidden="1" x14ac:dyDescent="0.2">
      <c r="A209" t="s">
        <v>3</v>
      </c>
      <c r="B209" t="s">
        <v>4</v>
      </c>
    </row>
    <row r="210" spans="1:13" hidden="1" x14ac:dyDescent="0.2">
      <c r="A210" t="s">
        <v>5</v>
      </c>
      <c r="B210" t="s">
        <v>6</v>
      </c>
    </row>
    <row r="211" spans="1:13" hidden="1" x14ac:dyDescent="0.2">
      <c r="A211" t="s">
        <v>7</v>
      </c>
      <c r="B211" t="s">
        <v>8</v>
      </c>
    </row>
    <row r="212" spans="1:13" hidden="1" x14ac:dyDescent="0.2">
      <c r="A212" t="s">
        <v>9</v>
      </c>
      <c r="B212" t="s">
        <v>224</v>
      </c>
    </row>
    <row r="213" spans="1:13" hidden="1" x14ac:dyDescent="0.2">
      <c r="A213" t="s">
        <v>19</v>
      </c>
      <c r="B213" t="s">
        <v>223</v>
      </c>
    </row>
    <row r="214" spans="1:13" ht="16" hidden="1" x14ac:dyDescent="0.2">
      <c r="A214" s="1" t="s">
        <v>10</v>
      </c>
    </row>
    <row r="215" spans="1:13" hidden="1" x14ac:dyDescent="0.2">
      <c r="A215" s="5" t="s">
        <v>11</v>
      </c>
      <c r="B215" s="5" t="s">
        <v>12</v>
      </c>
      <c r="C215" s="5" t="s">
        <v>7</v>
      </c>
      <c r="D215" s="5" t="s">
        <v>5</v>
      </c>
      <c r="E215" s="5" t="s">
        <v>13</v>
      </c>
      <c r="F215" s="5" t="s">
        <v>3</v>
      </c>
      <c r="G215" s="5" t="s">
        <v>2</v>
      </c>
      <c r="H215" s="5" t="s">
        <v>9</v>
      </c>
      <c r="I215" s="5" t="s">
        <v>180</v>
      </c>
      <c r="J215" s="5" t="s">
        <v>181</v>
      </c>
      <c r="K215" s="5" t="s">
        <v>225</v>
      </c>
      <c r="L215" s="5" t="s">
        <v>226</v>
      </c>
      <c r="M215" s="5" t="s">
        <v>190</v>
      </c>
    </row>
    <row r="216" spans="1:13" ht="16" hidden="1" x14ac:dyDescent="0.2">
      <c r="A216" t="str">
        <f>B206</f>
        <v>polyethyleneimine (PEI) production, for sorbent-based direct air capture system</v>
      </c>
      <c r="B216">
        <v>1</v>
      </c>
      <c r="C216" t="s">
        <v>8</v>
      </c>
      <c r="D216" t="s">
        <v>6</v>
      </c>
      <c r="F216" t="s">
        <v>15</v>
      </c>
      <c r="G216" s="7" t="str">
        <f>B208</f>
        <v>polyethyleneimine</v>
      </c>
    </row>
    <row r="217" spans="1:13" hidden="1" x14ac:dyDescent="0.2">
      <c r="A217" t="s">
        <v>93</v>
      </c>
      <c r="B217">
        <f t="shared" ref="B217:B227" si="0">AVERAGE(K217:L217)</f>
        <v>1.9749999999999999</v>
      </c>
      <c r="C217" t="s">
        <v>18</v>
      </c>
      <c r="D217" t="s">
        <v>6</v>
      </c>
      <c r="F217" t="s">
        <v>16</v>
      </c>
      <c r="G217" t="s">
        <v>145</v>
      </c>
      <c r="I217">
        <v>5</v>
      </c>
      <c r="J217">
        <f>B217</f>
        <v>1.9749999999999999</v>
      </c>
      <c r="K217">
        <v>1.42</v>
      </c>
      <c r="L217">
        <v>2.5299999999999998</v>
      </c>
    </row>
    <row r="218" spans="1:13" hidden="1" x14ac:dyDescent="0.2">
      <c r="A218" t="s">
        <v>85</v>
      </c>
      <c r="B218">
        <f t="shared" si="0"/>
        <v>3.1749999999999998</v>
      </c>
      <c r="C218" t="s">
        <v>27</v>
      </c>
      <c r="D218" t="s">
        <v>6</v>
      </c>
      <c r="F218" t="s">
        <v>16</v>
      </c>
      <c r="G218" t="s">
        <v>90</v>
      </c>
      <c r="I218">
        <v>5</v>
      </c>
      <c r="J218">
        <f t="shared" ref="J218:J227" si="1">B218</f>
        <v>3.1749999999999998</v>
      </c>
      <c r="K218">
        <v>2.2799999999999998</v>
      </c>
      <c r="L218">
        <v>4.07</v>
      </c>
    </row>
    <row r="219" spans="1:13" hidden="1" x14ac:dyDescent="0.2">
      <c r="A219" t="s">
        <v>94</v>
      </c>
      <c r="B219">
        <f t="shared" si="0"/>
        <v>2.59</v>
      </c>
      <c r="C219" t="s">
        <v>18</v>
      </c>
      <c r="D219" t="s">
        <v>6</v>
      </c>
      <c r="F219" t="s">
        <v>16</v>
      </c>
      <c r="G219" t="s">
        <v>146</v>
      </c>
      <c r="I219">
        <v>5</v>
      </c>
      <c r="J219">
        <f t="shared" si="1"/>
        <v>2.59</v>
      </c>
      <c r="K219">
        <v>1.86</v>
      </c>
      <c r="L219">
        <v>3.32</v>
      </c>
    </row>
    <row r="220" spans="1:13" hidden="1" x14ac:dyDescent="0.2">
      <c r="A220" t="s">
        <v>95</v>
      </c>
      <c r="B220">
        <f t="shared" si="0"/>
        <v>0.19500000000000001</v>
      </c>
      <c r="C220" t="s">
        <v>27</v>
      </c>
      <c r="D220" t="s">
        <v>6</v>
      </c>
      <c r="F220" t="s">
        <v>16</v>
      </c>
      <c r="G220" t="s">
        <v>147</v>
      </c>
      <c r="I220">
        <v>5</v>
      </c>
      <c r="J220">
        <f t="shared" si="1"/>
        <v>0.19500000000000001</v>
      </c>
      <c r="K220">
        <v>0.16</v>
      </c>
      <c r="L220">
        <v>0.23</v>
      </c>
    </row>
    <row r="221" spans="1:13" hidden="1" x14ac:dyDescent="0.2">
      <c r="A221" t="s">
        <v>94</v>
      </c>
      <c r="B221">
        <f t="shared" si="0"/>
        <v>0.19500000000000001</v>
      </c>
      <c r="C221" t="s">
        <v>18</v>
      </c>
      <c r="D221" t="s">
        <v>6</v>
      </c>
      <c r="F221" t="s">
        <v>16</v>
      </c>
      <c r="G221" t="s">
        <v>146</v>
      </c>
      <c r="I221">
        <v>5</v>
      </c>
      <c r="J221">
        <f t="shared" si="1"/>
        <v>0.19500000000000001</v>
      </c>
      <c r="K221">
        <v>0.16</v>
      </c>
      <c r="L221">
        <v>0.23</v>
      </c>
    </row>
    <row r="222" spans="1:13" hidden="1" x14ac:dyDescent="0.2">
      <c r="A222" t="s">
        <v>96</v>
      </c>
      <c r="B222">
        <f t="shared" si="0"/>
        <v>0.11570000000000008</v>
      </c>
      <c r="C222" t="s">
        <v>18</v>
      </c>
      <c r="D222" t="s">
        <v>6</v>
      </c>
      <c r="F222" t="s">
        <v>16</v>
      </c>
      <c r="G222" t="s">
        <v>148</v>
      </c>
      <c r="H222" t="s">
        <v>230</v>
      </c>
      <c r="I222">
        <v>5</v>
      </c>
      <c r="J222">
        <f t="shared" si="1"/>
        <v>0.11570000000000008</v>
      </c>
      <c r="K222">
        <f>2.84*(1-99%)</f>
        <v>2.8400000000000022E-2</v>
      </c>
      <c r="L222">
        <f>4.06*(1-95%)</f>
        <v>0.20300000000000015</v>
      </c>
    </row>
    <row r="223" spans="1:13" hidden="1" x14ac:dyDescent="0.2">
      <c r="A223" t="s">
        <v>97</v>
      </c>
      <c r="B223">
        <f t="shared" si="0"/>
        <v>1.3817000000000013</v>
      </c>
      <c r="C223" t="s">
        <v>27</v>
      </c>
      <c r="D223" t="s">
        <v>6</v>
      </c>
      <c r="F223" t="s">
        <v>16</v>
      </c>
      <c r="G223" t="s">
        <v>149</v>
      </c>
      <c r="H223" t="s">
        <v>230</v>
      </c>
      <c r="I223">
        <v>5</v>
      </c>
      <c r="J223">
        <f t="shared" si="1"/>
        <v>1.3817000000000013</v>
      </c>
      <c r="K223">
        <f>33.94*(1-99%)</f>
        <v>0.33940000000000026</v>
      </c>
      <c r="L223">
        <f>48.48*(1-95%)</f>
        <v>2.4240000000000022</v>
      </c>
    </row>
    <row r="224" spans="1:13" hidden="1" x14ac:dyDescent="0.2">
      <c r="A224" t="s">
        <v>87</v>
      </c>
      <c r="B224">
        <f t="shared" si="0"/>
        <v>14.559999999999999</v>
      </c>
      <c r="C224" t="s">
        <v>27</v>
      </c>
      <c r="D224" t="s">
        <v>6</v>
      </c>
      <c r="F224" t="s">
        <v>16</v>
      </c>
      <c r="G224" t="s">
        <v>92</v>
      </c>
      <c r="I224">
        <v>5</v>
      </c>
      <c r="J224">
        <f t="shared" si="1"/>
        <v>14.559999999999999</v>
      </c>
      <c r="K224">
        <v>11.99</v>
      </c>
      <c r="L224">
        <v>17.13</v>
      </c>
    </row>
    <row r="225" spans="1:19" x14ac:dyDescent="0.2">
      <c r="A225" t="s">
        <v>35</v>
      </c>
      <c r="B225">
        <f t="shared" si="0"/>
        <v>0.34499999999999997</v>
      </c>
      <c r="C225" t="s">
        <v>8</v>
      </c>
      <c r="D225" t="s">
        <v>24</v>
      </c>
      <c r="F225" t="s">
        <v>16</v>
      </c>
      <c r="G225" t="s">
        <v>25</v>
      </c>
      <c r="I225">
        <v>5</v>
      </c>
      <c r="J225">
        <f t="shared" si="1"/>
        <v>0.34499999999999997</v>
      </c>
      <c r="K225">
        <v>0.27</v>
      </c>
      <c r="L225">
        <v>0.42</v>
      </c>
    </row>
    <row r="226" spans="1:19" hidden="1" x14ac:dyDescent="0.2">
      <c r="A226" t="s">
        <v>86</v>
      </c>
      <c r="B226">
        <f t="shared" si="0"/>
        <v>7.4749999999999996</v>
      </c>
      <c r="C226" t="s">
        <v>135</v>
      </c>
      <c r="D226" t="s">
        <v>23</v>
      </c>
      <c r="F226" t="s">
        <v>16</v>
      </c>
      <c r="G226" t="s">
        <v>91</v>
      </c>
      <c r="I226">
        <v>5</v>
      </c>
      <c r="J226">
        <f t="shared" si="1"/>
        <v>7.4749999999999996</v>
      </c>
      <c r="K226">
        <v>2.35</v>
      </c>
      <c r="L226">
        <v>12.6</v>
      </c>
    </row>
    <row r="227" spans="1:19" hidden="1" x14ac:dyDescent="0.2">
      <c r="A227" t="s">
        <v>74</v>
      </c>
      <c r="B227">
        <f t="shared" si="0"/>
        <v>-1.5</v>
      </c>
      <c r="C227" t="s">
        <v>135</v>
      </c>
      <c r="D227" t="s">
        <v>6</v>
      </c>
      <c r="F227" t="s">
        <v>16</v>
      </c>
      <c r="G227" t="s">
        <v>144</v>
      </c>
      <c r="I227">
        <v>5</v>
      </c>
      <c r="J227">
        <f t="shared" si="1"/>
        <v>-1.5</v>
      </c>
      <c r="K227">
        <v>-2.63</v>
      </c>
      <c r="L227">
        <v>-0.37</v>
      </c>
      <c r="M227" t="b">
        <v>1</v>
      </c>
    </row>
    <row r="228" spans="1:19" ht="16" hidden="1" x14ac:dyDescent="0.2">
      <c r="A228" s="2"/>
      <c r="J228" s="2"/>
    </row>
    <row r="229" spans="1:19" ht="16" hidden="1" x14ac:dyDescent="0.2">
      <c r="A229" s="1" t="s">
        <v>0</v>
      </c>
      <c r="B229" s="1" t="s">
        <v>227</v>
      </c>
    </row>
    <row r="230" spans="1:19" hidden="1" x14ac:dyDescent="0.2">
      <c r="A230" t="s">
        <v>1</v>
      </c>
      <c r="B230">
        <v>1</v>
      </c>
    </row>
    <row r="231" spans="1:19" ht="16" hidden="1" x14ac:dyDescent="0.2">
      <c r="A231" t="s">
        <v>2</v>
      </c>
      <c r="B231" s="22" t="s">
        <v>228</v>
      </c>
    </row>
    <row r="232" spans="1:19" hidden="1" x14ac:dyDescent="0.2">
      <c r="A232" t="s">
        <v>3</v>
      </c>
      <c r="B232" t="s">
        <v>4</v>
      </c>
    </row>
    <row r="233" spans="1:19" hidden="1" x14ac:dyDescent="0.2">
      <c r="A233" t="s">
        <v>5</v>
      </c>
      <c r="B233" t="s">
        <v>6</v>
      </c>
    </row>
    <row r="234" spans="1:19" hidden="1" x14ac:dyDescent="0.2">
      <c r="A234" t="s">
        <v>7</v>
      </c>
      <c r="B234" t="s">
        <v>8</v>
      </c>
    </row>
    <row r="235" spans="1:19" hidden="1" x14ac:dyDescent="0.2">
      <c r="A235" t="s">
        <v>9</v>
      </c>
      <c r="B235" t="s">
        <v>229</v>
      </c>
    </row>
    <row r="236" spans="1:19" hidden="1" x14ac:dyDescent="0.2">
      <c r="A236" t="s">
        <v>19</v>
      </c>
      <c r="B236" t="s">
        <v>223</v>
      </c>
    </row>
    <row r="237" spans="1:19" ht="16" hidden="1" x14ac:dyDescent="0.2">
      <c r="A237" s="1" t="s">
        <v>10</v>
      </c>
    </row>
    <row r="238" spans="1:19" hidden="1" x14ac:dyDescent="0.2">
      <c r="A238" s="5" t="s">
        <v>11</v>
      </c>
      <c r="B238" s="5" t="s">
        <v>12</v>
      </c>
      <c r="C238" s="5" t="s">
        <v>7</v>
      </c>
      <c r="D238" s="5" t="s">
        <v>5</v>
      </c>
      <c r="E238" s="5" t="s">
        <v>13</v>
      </c>
      <c r="F238" s="5" t="s">
        <v>3</v>
      </c>
      <c r="G238" s="5" t="s">
        <v>2</v>
      </c>
      <c r="H238" s="5" t="s">
        <v>9</v>
      </c>
      <c r="I238" s="5" t="s">
        <v>180</v>
      </c>
      <c r="J238" s="5" t="s">
        <v>181</v>
      </c>
      <c r="K238" s="5" t="s">
        <v>225</v>
      </c>
      <c r="L238" s="5" t="s">
        <v>226</v>
      </c>
    </row>
    <row r="239" spans="1:19" ht="16" hidden="1" x14ac:dyDescent="0.2">
      <c r="A239" t="str">
        <f>B229</f>
        <v>silica gel production, for sorbent-based direct air capture system</v>
      </c>
      <c r="B239">
        <v>1</v>
      </c>
      <c r="C239" t="s">
        <v>8</v>
      </c>
      <c r="D239" t="s">
        <v>6</v>
      </c>
      <c r="F239" t="s">
        <v>15</v>
      </c>
      <c r="G239" s="7" t="str">
        <f>B231</f>
        <v>silica gel</v>
      </c>
    </row>
    <row r="240" spans="1:19" hidden="1" x14ac:dyDescent="0.2">
      <c r="A240" t="s">
        <v>84</v>
      </c>
      <c r="B240">
        <v>3.9</v>
      </c>
      <c r="C240" t="s">
        <v>27</v>
      </c>
      <c r="D240" t="s">
        <v>6</v>
      </c>
      <c r="F240" t="s">
        <v>16</v>
      </c>
      <c r="G240" t="s">
        <v>89</v>
      </c>
      <c r="Q240" s="4"/>
      <c r="S240" s="4"/>
    </row>
    <row r="241" spans="1:13" hidden="1" x14ac:dyDescent="0.2">
      <c r="A241" t="s">
        <v>85</v>
      </c>
      <c r="B241">
        <v>0.66</v>
      </c>
      <c r="C241" t="s">
        <v>27</v>
      </c>
      <c r="D241" t="s">
        <v>6</v>
      </c>
      <c r="F241" t="s">
        <v>16</v>
      </c>
      <c r="G241" t="s">
        <v>90</v>
      </c>
    </row>
    <row r="242" spans="1:13" hidden="1" x14ac:dyDescent="0.2">
      <c r="A242" t="s">
        <v>86</v>
      </c>
      <c r="B242">
        <v>19.5</v>
      </c>
      <c r="C242" t="s">
        <v>27</v>
      </c>
      <c r="D242" t="s">
        <v>23</v>
      </c>
      <c r="F242" t="s">
        <v>16</v>
      </c>
      <c r="G242" t="s">
        <v>91</v>
      </c>
      <c r="I242">
        <v>5</v>
      </c>
      <c r="J242">
        <f>B242</f>
        <v>19.5</v>
      </c>
      <c r="K242">
        <v>15</v>
      </c>
      <c r="L242">
        <v>24</v>
      </c>
    </row>
    <row r="243" spans="1:13" hidden="1" x14ac:dyDescent="0.2">
      <c r="A243" t="s">
        <v>87</v>
      </c>
      <c r="B243">
        <v>40</v>
      </c>
      <c r="C243" t="s">
        <v>27</v>
      </c>
      <c r="D243" t="s">
        <v>6</v>
      </c>
      <c r="F243" t="s">
        <v>16</v>
      </c>
      <c r="G243" t="s">
        <v>92</v>
      </c>
    </row>
    <row r="244" spans="1:13" ht="16" hidden="1" x14ac:dyDescent="0.2">
      <c r="A244" t="s">
        <v>204</v>
      </c>
      <c r="B244">
        <f>-35/1000</f>
        <v>-3.5000000000000003E-2</v>
      </c>
      <c r="C244" t="s">
        <v>27</v>
      </c>
      <c r="D244" t="s">
        <v>50</v>
      </c>
      <c r="F244" t="s">
        <v>16</v>
      </c>
      <c r="G244" t="s">
        <v>153</v>
      </c>
      <c r="M244" s="2"/>
    </row>
    <row r="245" spans="1:13" hidden="1" x14ac:dyDescent="0.2">
      <c r="A245" t="s">
        <v>152</v>
      </c>
      <c r="B245" s="6">
        <v>1.2999999999999999E-3</v>
      </c>
      <c r="D245" t="s">
        <v>6</v>
      </c>
      <c r="E245" t="s">
        <v>88</v>
      </c>
      <c r="F245" t="s">
        <v>21</v>
      </c>
    </row>
    <row r="246" spans="1:13" ht="16" hidden="1" x14ac:dyDescent="0.2">
      <c r="A246" s="2"/>
      <c r="J246" s="2"/>
    </row>
    <row r="247" spans="1:13" ht="16" hidden="1" x14ac:dyDescent="0.2">
      <c r="A247" s="1" t="s">
        <v>0</v>
      </c>
      <c r="B247" s="1" t="s">
        <v>100</v>
      </c>
    </row>
    <row r="248" spans="1:13" hidden="1" x14ac:dyDescent="0.2">
      <c r="A248" t="s">
        <v>1</v>
      </c>
      <c r="B248">
        <v>1</v>
      </c>
    </row>
    <row r="249" spans="1:13" ht="16" hidden="1" x14ac:dyDescent="0.2">
      <c r="A249" t="s">
        <v>2</v>
      </c>
      <c r="B249" s="8" t="s">
        <v>101</v>
      </c>
    </row>
    <row r="250" spans="1:13" hidden="1" x14ac:dyDescent="0.2">
      <c r="A250" t="s">
        <v>3</v>
      </c>
      <c r="B250" t="s">
        <v>4</v>
      </c>
    </row>
    <row r="251" spans="1:13" hidden="1" x14ac:dyDescent="0.2">
      <c r="A251" t="s">
        <v>5</v>
      </c>
      <c r="B251" t="s">
        <v>6</v>
      </c>
    </row>
    <row r="252" spans="1:13" hidden="1" x14ac:dyDescent="0.2">
      <c r="A252" t="s">
        <v>7</v>
      </c>
      <c r="B252" t="s">
        <v>8</v>
      </c>
    </row>
    <row r="253" spans="1:13" hidden="1" x14ac:dyDescent="0.2">
      <c r="A253" t="s">
        <v>9</v>
      </c>
      <c r="B253" t="s">
        <v>102</v>
      </c>
    </row>
    <row r="254" spans="1:13" hidden="1" x14ac:dyDescent="0.2">
      <c r="A254" t="s">
        <v>19</v>
      </c>
      <c r="B254" t="s">
        <v>41</v>
      </c>
    </row>
    <row r="255" spans="1:13" ht="16" hidden="1" x14ac:dyDescent="0.2">
      <c r="A255" s="1" t="s">
        <v>10</v>
      </c>
    </row>
    <row r="256" spans="1:13" hidden="1" x14ac:dyDescent="0.2">
      <c r="A256" t="s">
        <v>11</v>
      </c>
      <c r="B256" t="s">
        <v>12</v>
      </c>
      <c r="C256" t="s">
        <v>7</v>
      </c>
      <c r="D256" t="s">
        <v>5</v>
      </c>
      <c r="E256" t="s">
        <v>13</v>
      </c>
      <c r="F256" t="s">
        <v>3</v>
      </c>
      <c r="G256" t="s">
        <v>2</v>
      </c>
      <c r="H256" t="s">
        <v>9</v>
      </c>
    </row>
    <row r="257" spans="1:10" ht="16" hidden="1" x14ac:dyDescent="0.2">
      <c r="A257" t="s">
        <v>100</v>
      </c>
      <c r="B257">
        <v>1</v>
      </c>
      <c r="C257" t="s">
        <v>8</v>
      </c>
      <c r="D257" t="s">
        <v>6</v>
      </c>
      <c r="F257" t="s">
        <v>15</v>
      </c>
      <c r="G257" s="8" t="s">
        <v>101</v>
      </c>
    </row>
    <row r="258" spans="1:10" hidden="1" x14ac:dyDescent="0.2">
      <c r="A258" t="s">
        <v>203</v>
      </c>
      <c r="B258">
        <v>9.9999999999999986E-10</v>
      </c>
      <c r="C258" t="s">
        <v>22</v>
      </c>
      <c r="D258" t="s">
        <v>50</v>
      </c>
      <c r="F258" t="s">
        <v>16</v>
      </c>
      <c r="G258" t="s">
        <v>205</v>
      </c>
      <c r="H258" t="s">
        <v>104</v>
      </c>
    </row>
    <row r="259" spans="1:10" hidden="1" x14ac:dyDescent="0.2">
      <c r="A259" t="s">
        <v>156</v>
      </c>
      <c r="B259">
        <v>1.0000000000000001E-7</v>
      </c>
      <c r="C259" t="s">
        <v>18</v>
      </c>
      <c r="D259" t="s">
        <v>6</v>
      </c>
      <c r="F259" t="s">
        <v>16</v>
      </c>
      <c r="G259" t="s">
        <v>157</v>
      </c>
      <c r="H259" t="s">
        <v>104</v>
      </c>
    </row>
    <row r="260" spans="1:10" hidden="1" x14ac:dyDescent="0.2">
      <c r="A260" t="s">
        <v>43</v>
      </c>
      <c r="B260">
        <v>9.9999999999999995E-7</v>
      </c>
      <c r="C260" t="s">
        <v>18</v>
      </c>
      <c r="D260" t="s">
        <v>6</v>
      </c>
      <c r="F260" t="s">
        <v>16</v>
      </c>
      <c r="G260" t="s">
        <v>31</v>
      </c>
      <c r="H260" t="s">
        <v>104</v>
      </c>
    </row>
    <row r="261" spans="1:10" hidden="1" x14ac:dyDescent="0.2">
      <c r="A261" t="s">
        <v>103</v>
      </c>
      <c r="B261">
        <v>2.9999999999999999E-7</v>
      </c>
      <c r="C261" t="s">
        <v>18</v>
      </c>
      <c r="D261" t="s">
        <v>6</v>
      </c>
      <c r="F261" t="s">
        <v>16</v>
      </c>
      <c r="G261" t="s">
        <v>138</v>
      </c>
      <c r="H261" t="s">
        <v>104</v>
      </c>
    </row>
    <row r="262" spans="1:10" hidden="1" x14ac:dyDescent="0.2">
      <c r="A262" t="s">
        <v>150</v>
      </c>
      <c r="B262">
        <v>3.1999999999999999E-5</v>
      </c>
      <c r="C262" t="s">
        <v>18</v>
      </c>
      <c r="D262" t="s">
        <v>23</v>
      </c>
      <c r="F262" t="s">
        <v>16</v>
      </c>
      <c r="G262" t="s">
        <v>151</v>
      </c>
      <c r="H262" t="s">
        <v>104</v>
      </c>
    </row>
    <row r="263" spans="1:10" x14ac:dyDescent="0.2">
      <c r="A263" t="s">
        <v>79</v>
      </c>
      <c r="B263">
        <v>9.9999999999999995E-7</v>
      </c>
      <c r="C263" t="s">
        <v>8</v>
      </c>
      <c r="D263" t="s">
        <v>24</v>
      </c>
      <c r="F263" t="s">
        <v>16</v>
      </c>
      <c r="G263" t="s">
        <v>80</v>
      </c>
      <c r="H263" t="s">
        <v>104</v>
      </c>
    </row>
    <row r="264" spans="1:10" ht="16" hidden="1" x14ac:dyDescent="0.2">
      <c r="A264" t="s">
        <v>105</v>
      </c>
      <c r="B264">
        <v>1.0400000000000001E-3</v>
      </c>
      <c r="C264" t="s">
        <v>22</v>
      </c>
      <c r="D264" s="10" t="s">
        <v>6</v>
      </c>
      <c r="F264" t="s">
        <v>16</v>
      </c>
      <c r="G264" t="s">
        <v>136</v>
      </c>
      <c r="H264" t="s">
        <v>110</v>
      </c>
      <c r="J264" s="2"/>
    </row>
    <row r="265" spans="1:10" hidden="1" x14ac:dyDescent="0.2">
      <c r="A265" t="s">
        <v>106</v>
      </c>
      <c r="B265">
        <v>1.3000000000000002E-4</v>
      </c>
      <c r="C265" t="s">
        <v>18</v>
      </c>
      <c r="D265" s="10" t="s">
        <v>6</v>
      </c>
      <c r="F265" t="s">
        <v>16</v>
      </c>
      <c r="G265" t="s">
        <v>34</v>
      </c>
      <c r="H265" t="s">
        <v>110</v>
      </c>
    </row>
    <row r="266" spans="1:10" hidden="1" x14ac:dyDescent="0.2">
      <c r="A266" t="s">
        <v>107</v>
      </c>
      <c r="B266">
        <v>1.3000000000000002E-4</v>
      </c>
      <c r="C266" t="s">
        <v>18</v>
      </c>
      <c r="D266" s="10" t="s">
        <v>6</v>
      </c>
      <c r="F266" t="s">
        <v>16</v>
      </c>
      <c r="G266" t="s">
        <v>139</v>
      </c>
      <c r="H266" t="s">
        <v>110</v>
      </c>
    </row>
    <row r="267" spans="1:10" hidden="1" x14ac:dyDescent="0.2">
      <c r="A267" t="s">
        <v>108</v>
      </c>
      <c r="B267">
        <v>1.1999999999999999E-6</v>
      </c>
      <c r="C267" t="s">
        <v>18</v>
      </c>
      <c r="D267" s="10" t="s">
        <v>6</v>
      </c>
      <c r="F267" t="s">
        <v>16</v>
      </c>
      <c r="G267" t="s">
        <v>140</v>
      </c>
      <c r="H267" t="s">
        <v>110</v>
      </c>
    </row>
    <row r="268" spans="1:10" hidden="1" x14ac:dyDescent="0.2">
      <c r="A268" t="s">
        <v>103</v>
      </c>
      <c r="B268">
        <v>2.5000000000000002E-6</v>
      </c>
      <c r="C268" t="s">
        <v>18</v>
      </c>
      <c r="D268" s="10" t="s">
        <v>6</v>
      </c>
      <c r="F268" t="s">
        <v>16</v>
      </c>
      <c r="G268" t="s">
        <v>138</v>
      </c>
      <c r="H268" t="s">
        <v>110</v>
      </c>
    </row>
    <row r="269" spans="1:10" hidden="1" x14ac:dyDescent="0.2">
      <c r="A269" t="s">
        <v>150</v>
      </c>
      <c r="B269">
        <v>1.8E-3</v>
      </c>
      <c r="C269" t="s">
        <v>18</v>
      </c>
      <c r="D269" s="10" t="s">
        <v>23</v>
      </c>
      <c r="F269" t="s">
        <v>16</v>
      </c>
      <c r="G269" t="s">
        <v>151</v>
      </c>
      <c r="H269" t="s">
        <v>110</v>
      </c>
    </row>
    <row r="270" spans="1:10" hidden="1" x14ac:dyDescent="0.2">
      <c r="A270" t="s">
        <v>36</v>
      </c>
      <c r="B270">
        <v>1.1999999999999999E-4</v>
      </c>
      <c r="C270" t="s">
        <v>8</v>
      </c>
      <c r="D270" s="10" t="s">
        <v>29</v>
      </c>
      <c r="F270" t="s">
        <v>16</v>
      </c>
      <c r="G270" t="s">
        <v>37</v>
      </c>
      <c r="H270" t="s">
        <v>110</v>
      </c>
    </row>
    <row r="271" spans="1:10" hidden="1" x14ac:dyDescent="0.2">
      <c r="A271" t="s">
        <v>109</v>
      </c>
      <c r="B271" s="6">
        <v>8.2000000000000001E-11</v>
      </c>
      <c r="C271" t="s">
        <v>18</v>
      </c>
      <c r="D271" s="10" t="s">
        <v>143</v>
      </c>
      <c r="F271" t="s">
        <v>16</v>
      </c>
      <c r="G271" t="s">
        <v>137</v>
      </c>
      <c r="H271" t="s">
        <v>111</v>
      </c>
    </row>
    <row r="272" spans="1:10" hidden="1" x14ac:dyDescent="0.2">
      <c r="A272" t="s">
        <v>105</v>
      </c>
      <c r="B272">
        <v>3.3E-3</v>
      </c>
      <c r="C272" t="s">
        <v>22</v>
      </c>
      <c r="D272" s="10" t="s">
        <v>6</v>
      </c>
      <c r="F272" t="s">
        <v>16</v>
      </c>
      <c r="G272" t="s">
        <v>136</v>
      </c>
      <c r="H272" t="s">
        <v>111</v>
      </c>
    </row>
    <row r="273" spans="1:16" ht="16" hidden="1" x14ac:dyDescent="0.2">
      <c r="A273" t="s">
        <v>60</v>
      </c>
      <c r="B273" s="2">
        <v>1.7E-5</v>
      </c>
      <c r="C273" t="s">
        <v>18</v>
      </c>
      <c r="D273" s="10" t="s">
        <v>6</v>
      </c>
      <c r="F273" t="s">
        <v>16</v>
      </c>
      <c r="G273" t="s">
        <v>132</v>
      </c>
      <c r="H273" t="s">
        <v>111</v>
      </c>
    </row>
    <row r="274" spans="1:16" hidden="1" x14ac:dyDescent="0.2">
      <c r="A274" t="s">
        <v>43</v>
      </c>
      <c r="B274">
        <v>3.6999999999999998E-5</v>
      </c>
      <c r="C274" t="s">
        <v>18</v>
      </c>
      <c r="D274" s="10" t="s">
        <v>6</v>
      </c>
      <c r="F274" t="s">
        <v>16</v>
      </c>
      <c r="G274" t="s">
        <v>31</v>
      </c>
      <c r="H274" t="s">
        <v>111</v>
      </c>
    </row>
    <row r="275" spans="1:16" hidden="1" x14ac:dyDescent="0.2">
      <c r="A275" t="s">
        <v>203</v>
      </c>
      <c r="B275">
        <v>4.8E-8</v>
      </c>
      <c r="C275" t="s">
        <v>22</v>
      </c>
      <c r="D275" s="10" t="s">
        <v>50</v>
      </c>
      <c r="F275" t="s">
        <v>16</v>
      </c>
      <c r="G275" t="s">
        <v>205</v>
      </c>
      <c r="H275" t="s">
        <v>111</v>
      </c>
    </row>
    <row r="276" spans="1:16" hidden="1" x14ac:dyDescent="0.2">
      <c r="A276" t="s">
        <v>156</v>
      </c>
      <c r="B276">
        <v>1.9E-6</v>
      </c>
      <c r="C276" t="s">
        <v>18</v>
      </c>
      <c r="D276" s="10" t="s">
        <v>6</v>
      </c>
      <c r="F276" t="s">
        <v>16</v>
      </c>
      <c r="G276" t="s">
        <v>157</v>
      </c>
      <c r="H276" t="s">
        <v>111</v>
      </c>
    </row>
    <row r="277" spans="1:16" hidden="1" x14ac:dyDescent="0.2">
      <c r="A277" t="s">
        <v>36</v>
      </c>
      <c r="B277">
        <v>3.4000000000000002E-4</v>
      </c>
      <c r="C277" t="s">
        <v>8</v>
      </c>
      <c r="D277" s="10" t="s">
        <v>29</v>
      </c>
      <c r="F277" t="s">
        <v>16</v>
      </c>
      <c r="G277" t="s">
        <v>37</v>
      </c>
      <c r="H277" t="s">
        <v>111</v>
      </c>
    </row>
    <row r="278" spans="1:16" x14ac:dyDescent="0.2">
      <c r="A278" t="s">
        <v>79</v>
      </c>
      <c r="B278">
        <v>0.11799999999999999</v>
      </c>
      <c r="C278" t="s">
        <v>8</v>
      </c>
      <c r="D278" s="10" t="s">
        <v>24</v>
      </c>
      <c r="F278" t="s">
        <v>16</v>
      </c>
      <c r="G278" t="s">
        <v>80</v>
      </c>
      <c r="H278" t="s">
        <v>112</v>
      </c>
    </row>
    <row r="279" spans="1:16" hidden="1" x14ac:dyDescent="0.2">
      <c r="A279" t="s">
        <v>66</v>
      </c>
      <c r="B279">
        <v>-4.4000000000000003E-3</v>
      </c>
      <c r="C279" t="s">
        <v>135</v>
      </c>
      <c r="D279" s="10" t="s">
        <v>6</v>
      </c>
      <c r="F279" t="s">
        <v>16</v>
      </c>
      <c r="G279" t="s">
        <v>165</v>
      </c>
      <c r="H279" t="s">
        <v>78</v>
      </c>
    </row>
    <row r="280" spans="1:16" ht="16" hidden="1" x14ac:dyDescent="0.2">
      <c r="A280" t="s">
        <v>67</v>
      </c>
      <c r="B280">
        <v>-2.5999999999999998E-4</v>
      </c>
      <c r="C280" t="s">
        <v>22</v>
      </c>
      <c r="D280" s="10" t="s">
        <v>6</v>
      </c>
      <c r="F280" t="s">
        <v>16</v>
      </c>
      <c r="G280" t="s">
        <v>164</v>
      </c>
      <c r="H280" t="s">
        <v>78</v>
      </c>
      <c r="J280" s="2"/>
    </row>
    <row r="281" spans="1:16" hidden="1" x14ac:dyDescent="0.2">
      <c r="A281" t="s">
        <v>113</v>
      </c>
      <c r="B281">
        <v>-1.9999999999999999E-6</v>
      </c>
      <c r="C281" t="s">
        <v>135</v>
      </c>
      <c r="D281" s="10" t="s">
        <v>6</v>
      </c>
      <c r="F281" t="s">
        <v>16</v>
      </c>
      <c r="G281" t="s">
        <v>155</v>
      </c>
      <c r="H281" t="s">
        <v>78</v>
      </c>
    </row>
    <row r="282" spans="1:16" hidden="1" x14ac:dyDescent="0.2">
      <c r="A282" t="s">
        <v>114</v>
      </c>
      <c r="B282">
        <v>-2.7999999999999999E-6</v>
      </c>
      <c r="C282" t="s">
        <v>22</v>
      </c>
      <c r="D282" s="10" t="s">
        <v>6</v>
      </c>
      <c r="F282" t="s">
        <v>16</v>
      </c>
      <c r="G282" t="s">
        <v>142</v>
      </c>
      <c r="H282" t="s">
        <v>78</v>
      </c>
    </row>
    <row r="283" spans="1:16" hidden="1" x14ac:dyDescent="0.2">
      <c r="A283" t="s">
        <v>115</v>
      </c>
      <c r="B283">
        <v>-1.1999999999999999E-6</v>
      </c>
      <c r="C283" t="s">
        <v>135</v>
      </c>
      <c r="D283" s="10" t="s">
        <v>6</v>
      </c>
      <c r="F283" t="s">
        <v>16</v>
      </c>
      <c r="G283" t="s">
        <v>141</v>
      </c>
      <c r="H283" t="s">
        <v>78</v>
      </c>
    </row>
    <row r="284" spans="1:16" hidden="1" x14ac:dyDescent="0.2"/>
    <row r="285" spans="1:16" s="15" customFormat="1" ht="16" hidden="1" x14ac:dyDescent="0.2">
      <c r="A285" s="14" t="s">
        <v>0</v>
      </c>
      <c r="B285" s="14" t="s">
        <v>177</v>
      </c>
      <c r="K285" s="16"/>
      <c r="L285" s="16"/>
      <c r="M285" s="16"/>
      <c r="N285" s="16"/>
      <c r="O285" s="16"/>
      <c r="P285" s="16"/>
    </row>
    <row r="286" spans="1:16" s="15" customFormat="1" ht="16" hidden="1" x14ac:dyDescent="0.2">
      <c r="A286" s="15" t="s">
        <v>7</v>
      </c>
      <c r="B286" s="15" t="s">
        <v>8</v>
      </c>
      <c r="K286" s="16"/>
      <c r="L286" s="16"/>
      <c r="M286" s="16"/>
      <c r="N286" s="16"/>
      <c r="O286" s="16"/>
      <c r="P286" s="16"/>
    </row>
    <row r="287" spans="1:16" s="15" customFormat="1" ht="16" hidden="1" x14ac:dyDescent="0.2">
      <c r="A287" s="15" t="s">
        <v>1</v>
      </c>
      <c r="B287" s="15">
        <v>1</v>
      </c>
      <c r="K287" s="16"/>
      <c r="L287" s="16"/>
      <c r="M287" s="16"/>
      <c r="N287" s="16"/>
      <c r="O287" s="16"/>
      <c r="P287" s="16"/>
    </row>
    <row r="288" spans="1:16" s="15" customFormat="1" ht="16" hidden="1" x14ac:dyDescent="0.2">
      <c r="A288" s="15" t="s">
        <v>2</v>
      </c>
      <c r="B288" s="15" t="s">
        <v>178</v>
      </c>
      <c r="K288" s="16"/>
      <c r="L288" s="16"/>
      <c r="M288" s="16"/>
      <c r="N288" s="16"/>
      <c r="O288" s="16"/>
      <c r="P288" s="16"/>
    </row>
    <row r="289" spans="1:20" s="15" customFormat="1" ht="16" hidden="1" x14ac:dyDescent="0.2">
      <c r="A289" s="15" t="s">
        <v>3</v>
      </c>
      <c r="B289" s="15" t="s">
        <v>4</v>
      </c>
      <c r="K289" s="16"/>
      <c r="L289" s="16"/>
      <c r="M289" s="16"/>
      <c r="N289" s="16"/>
      <c r="O289" s="16"/>
      <c r="P289" s="16"/>
    </row>
    <row r="290" spans="1:20" s="15" customFormat="1" ht="16" hidden="1" x14ac:dyDescent="0.2">
      <c r="A290" s="15" t="s">
        <v>5</v>
      </c>
      <c r="B290" s="15" t="s">
        <v>6</v>
      </c>
      <c r="K290" s="16"/>
      <c r="L290" s="16"/>
      <c r="M290" s="16"/>
      <c r="N290" s="16"/>
      <c r="O290" s="16"/>
      <c r="P290" s="16"/>
    </row>
    <row r="291" spans="1:20" s="15" customFormat="1" ht="16" hidden="1" x14ac:dyDescent="0.2">
      <c r="A291" s="15" t="s">
        <v>9</v>
      </c>
      <c r="B291" s="15" t="s">
        <v>208</v>
      </c>
      <c r="K291" s="16"/>
      <c r="L291" s="16"/>
      <c r="M291" s="16"/>
      <c r="N291" s="16"/>
      <c r="O291" s="16"/>
      <c r="P291" s="16"/>
    </row>
    <row r="292" spans="1:20" s="15" customFormat="1" ht="16" hidden="1" x14ac:dyDescent="0.2">
      <c r="A292" s="15" t="s">
        <v>179</v>
      </c>
      <c r="B292" s="17">
        <v>0.61363636363636365</v>
      </c>
      <c r="K292" s="16"/>
      <c r="L292" s="16"/>
      <c r="M292" s="16"/>
      <c r="N292" s="16"/>
      <c r="O292" s="16"/>
      <c r="P292" s="16"/>
    </row>
    <row r="293" spans="1:20" s="15" customFormat="1" ht="16" hidden="1" x14ac:dyDescent="0.2">
      <c r="A293" s="14" t="s">
        <v>10</v>
      </c>
      <c r="K293" s="16"/>
      <c r="L293" s="16"/>
      <c r="M293" s="16"/>
      <c r="N293" s="16"/>
      <c r="O293" s="16"/>
      <c r="P293" s="16"/>
    </row>
    <row r="294" spans="1:20" s="15" customFormat="1" ht="16" hidden="1" x14ac:dyDescent="0.2">
      <c r="A294" s="14" t="s">
        <v>11</v>
      </c>
      <c r="B294" s="14" t="s">
        <v>12</v>
      </c>
      <c r="C294" s="14" t="s">
        <v>7</v>
      </c>
      <c r="D294" s="14" t="s">
        <v>5</v>
      </c>
      <c r="E294" s="14" t="s">
        <v>13</v>
      </c>
      <c r="F294" s="14" t="s">
        <v>3</v>
      </c>
      <c r="G294" s="14" t="s">
        <v>2</v>
      </c>
      <c r="H294" s="14" t="s">
        <v>9</v>
      </c>
      <c r="I294" s="14" t="s">
        <v>180</v>
      </c>
      <c r="J294" s="1" t="s">
        <v>181</v>
      </c>
      <c r="K294" s="18" t="s">
        <v>182</v>
      </c>
      <c r="L294" s="18" t="s">
        <v>183</v>
      </c>
      <c r="M294" s="18" t="s">
        <v>184</v>
      </c>
      <c r="N294" s="18" t="s">
        <v>185</v>
      </c>
      <c r="O294" s="18" t="s">
        <v>186</v>
      </c>
      <c r="P294" s="18" t="s">
        <v>187</v>
      </c>
      <c r="Q294" s="1" t="s">
        <v>188</v>
      </c>
      <c r="R294" s="1" t="s">
        <v>189</v>
      </c>
      <c r="S294" s="14" t="s">
        <v>190</v>
      </c>
      <c r="T294" s="1"/>
    </row>
    <row r="295" spans="1:20" s="15" customFormat="1" ht="16" hidden="1" x14ac:dyDescent="0.2">
      <c r="A295" s="15" t="s">
        <v>177</v>
      </c>
      <c r="B295" s="15">
        <v>1</v>
      </c>
      <c r="C295" s="15" t="s">
        <v>8</v>
      </c>
      <c r="D295" s="15" t="s">
        <v>6</v>
      </c>
      <c r="F295" s="15" t="s">
        <v>15</v>
      </c>
      <c r="G295" s="15" t="s">
        <v>178</v>
      </c>
      <c r="H295" s="15" t="s">
        <v>191</v>
      </c>
      <c r="K295" s="16"/>
      <c r="L295" s="16"/>
      <c r="M295" s="16"/>
      <c r="N295" s="16"/>
      <c r="O295" s="16"/>
      <c r="P295" s="16"/>
      <c r="T295"/>
    </row>
    <row r="296" spans="1:20" s="15" customFormat="1" ht="16" hidden="1" x14ac:dyDescent="0.2">
      <c r="A296" s="15" t="s">
        <v>192</v>
      </c>
      <c r="B296" s="19">
        <v>6.7613636363636362E-2</v>
      </c>
      <c r="D296" s="15" t="s">
        <v>6</v>
      </c>
      <c r="E296" s="15" t="s">
        <v>88</v>
      </c>
      <c r="F296" s="15" t="s">
        <v>21</v>
      </c>
      <c r="H296" s="15" t="s">
        <v>193</v>
      </c>
      <c r="I296" s="15">
        <v>2</v>
      </c>
      <c r="J296">
        <v>-2.6939455949206681</v>
      </c>
      <c r="K296" s="4">
        <v>1.1000000000000001</v>
      </c>
      <c r="L296" s="4">
        <v>1.2</v>
      </c>
      <c r="M296" s="4">
        <v>1</v>
      </c>
      <c r="N296" s="4">
        <v>1.01</v>
      </c>
      <c r="O296" s="4">
        <v>1.2</v>
      </c>
      <c r="P296" s="4">
        <v>1.2</v>
      </c>
      <c r="Q296" s="4">
        <v>1.05</v>
      </c>
      <c r="R296">
        <v>0.16679850853156178</v>
      </c>
    </row>
    <row r="297" spans="1:20" s="15" customFormat="1" ht="16" hidden="1" x14ac:dyDescent="0.2">
      <c r="A297" s="15" t="s">
        <v>39</v>
      </c>
      <c r="B297" s="19">
        <v>0.10738636363636363</v>
      </c>
      <c r="D297" s="15" t="s">
        <v>6</v>
      </c>
      <c r="E297" s="15" t="s">
        <v>88</v>
      </c>
      <c r="F297" s="15" t="s">
        <v>21</v>
      </c>
      <c r="H297" s="15" t="s">
        <v>193</v>
      </c>
      <c r="I297" s="15">
        <v>2</v>
      </c>
      <c r="J297">
        <v>-2.2313220729725551</v>
      </c>
      <c r="K297" s="4">
        <v>1.1000000000000001</v>
      </c>
      <c r="L297" s="4">
        <v>1.2</v>
      </c>
      <c r="M297" s="4">
        <v>1</v>
      </c>
      <c r="N297" s="4">
        <v>1.01</v>
      </c>
      <c r="O297" s="4">
        <v>1.2</v>
      </c>
      <c r="P297" s="4">
        <v>1.2</v>
      </c>
      <c r="Q297" s="4">
        <v>1.05</v>
      </c>
      <c r="R297">
        <v>0.16679850853156178</v>
      </c>
    </row>
    <row r="298" spans="1:20" s="15" customFormat="1" ht="16" hidden="1" x14ac:dyDescent="0.2">
      <c r="A298" s="15" t="s">
        <v>194</v>
      </c>
      <c r="B298" s="20">
        <v>1E-4</v>
      </c>
      <c r="D298" s="15" t="s">
        <v>6</v>
      </c>
      <c r="E298" s="15" t="s">
        <v>88</v>
      </c>
      <c r="F298" s="15" t="s">
        <v>21</v>
      </c>
      <c r="I298" s="15">
        <v>2</v>
      </c>
      <c r="J298">
        <v>-9.2103403719761818</v>
      </c>
      <c r="K298" s="4">
        <v>1.1000000000000001</v>
      </c>
      <c r="L298" s="4">
        <v>1.2</v>
      </c>
      <c r="M298" s="4">
        <v>1</v>
      </c>
      <c r="N298" s="4">
        <v>1.01</v>
      </c>
      <c r="O298" s="4">
        <v>1.2</v>
      </c>
      <c r="P298" s="4">
        <v>1.2</v>
      </c>
      <c r="Q298" s="4">
        <v>1.5</v>
      </c>
      <c r="R298">
        <v>0.26139455023340635</v>
      </c>
    </row>
    <row r="299" spans="1:20" s="15" customFormat="1" ht="16" hidden="1" x14ac:dyDescent="0.2">
      <c r="A299" s="15" t="s">
        <v>32</v>
      </c>
      <c r="B299" s="15">
        <v>9.6600000000000002E-3</v>
      </c>
      <c r="C299" s="15" t="s">
        <v>135</v>
      </c>
      <c r="D299" s="15" t="s">
        <v>6</v>
      </c>
      <c r="F299" s="15" t="s">
        <v>16</v>
      </c>
      <c r="G299" s="15" t="s">
        <v>33</v>
      </c>
      <c r="I299" s="15">
        <v>2</v>
      </c>
      <c r="J299">
        <v>-4.6397616307577101</v>
      </c>
      <c r="K299" s="4">
        <v>1.1000000000000001</v>
      </c>
      <c r="L299" s="4">
        <v>1.2</v>
      </c>
      <c r="M299" s="4">
        <v>1</v>
      </c>
      <c r="N299" s="4">
        <v>1.01</v>
      </c>
      <c r="O299" s="4">
        <v>1.2</v>
      </c>
      <c r="P299" s="4">
        <v>1.2</v>
      </c>
      <c r="Q299">
        <v>1.05</v>
      </c>
      <c r="R299">
        <v>0.16679850853156178</v>
      </c>
    </row>
    <row r="300" spans="1:20" s="15" customFormat="1" ht="16" x14ac:dyDescent="0.2">
      <c r="A300" s="15" t="s">
        <v>35</v>
      </c>
      <c r="B300" s="15">
        <v>0.1</v>
      </c>
      <c r="C300" s="15" t="s">
        <v>8</v>
      </c>
      <c r="D300" s="15" t="s">
        <v>24</v>
      </c>
      <c r="F300" s="15" t="s">
        <v>16</v>
      </c>
      <c r="G300" s="15" t="s">
        <v>25</v>
      </c>
      <c r="I300" s="15">
        <v>2</v>
      </c>
      <c r="J300">
        <v>-2.3025850929940455</v>
      </c>
      <c r="K300" s="4">
        <v>1.1000000000000001</v>
      </c>
      <c r="L300" s="4">
        <v>1.2</v>
      </c>
      <c r="M300" s="4">
        <v>1</v>
      </c>
      <c r="N300" s="4">
        <v>1.01</v>
      </c>
      <c r="O300" s="4">
        <v>1.2</v>
      </c>
      <c r="P300" s="4">
        <v>1.2</v>
      </c>
      <c r="Q300">
        <v>1.05</v>
      </c>
      <c r="R300">
        <v>0.16679850853156178</v>
      </c>
    </row>
    <row r="301" spans="1:20" s="15" customFormat="1" ht="16" hidden="1" x14ac:dyDescent="0.2">
      <c r="A301" s="15" t="s">
        <v>195</v>
      </c>
      <c r="B301" s="15">
        <f>0.4+((3.7-0.4)*0.4)</f>
        <v>1.7200000000000002</v>
      </c>
      <c r="C301" s="15" t="s">
        <v>8</v>
      </c>
      <c r="D301" s="15" t="s">
        <v>23</v>
      </c>
      <c r="F301" s="15" t="s">
        <v>16</v>
      </c>
      <c r="G301" s="15" t="s">
        <v>196</v>
      </c>
      <c r="H301" s="15" t="s">
        <v>207</v>
      </c>
      <c r="I301" s="15">
        <v>2</v>
      </c>
      <c r="J301">
        <v>0.40546510810816438</v>
      </c>
      <c r="K301" s="4">
        <v>1.1000000000000001</v>
      </c>
      <c r="L301" s="4">
        <v>1.2</v>
      </c>
      <c r="M301" s="4">
        <v>1</v>
      </c>
      <c r="N301" s="4">
        <v>1.01</v>
      </c>
      <c r="O301" s="4">
        <v>1.2</v>
      </c>
      <c r="P301" s="4">
        <v>1.2</v>
      </c>
      <c r="Q301">
        <v>1.05</v>
      </c>
      <c r="R301">
        <v>0.16679850853156178</v>
      </c>
    </row>
    <row r="302" spans="1:20" s="15" customFormat="1" ht="16" hidden="1" x14ac:dyDescent="0.2">
      <c r="A302" s="15" t="s">
        <v>93</v>
      </c>
      <c r="B302" s="15">
        <v>4.0000000000000001E-3</v>
      </c>
      <c r="C302" s="15" t="s">
        <v>18</v>
      </c>
      <c r="D302" s="15" t="s">
        <v>6</v>
      </c>
      <c r="F302" s="15" t="s">
        <v>16</v>
      </c>
      <c r="G302" s="15" t="s">
        <v>145</v>
      </c>
      <c r="I302" s="15">
        <v>2</v>
      </c>
      <c r="J302">
        <v>-5.521460917862246</v>
      </c>
      <c r="K302" s="4">
        <v>1.1000000000000001</v>
      </c>
      <c r="L302" s="4">
        <v>1.2</v>
      </c>
      <c r="M302" s="4">
        <v>1</v>
      </c>
      <c r="N302" s="4">
        <v>1.01</v>
      </c>
      <c r="O302" s="4">
        <v>1.2</v>
      </c>
      <c r="P302" s="4">
        <v>1.2</v>
      </c>
      <c r="Q302">
        <v>1.05</v>
      </c>
      <c r="R302">
        <v>0.16679850853156178</v>
      </c>
    </row>
    <row r="303" spans="1:20" s="15" customFormat="1" ht="16" hidden="1" x14ac:dyDescent="0.2">
      <c r="A303" s="15" t="s">
        <v>94</v>
      </c>
      <c r="B303" s="15">
        <v>1E-4</v>
      </c>
      <c r="C303" s="15" t="s">
        <v>18</v>
      </c>
      <c r="D303" s="15" t="s">
        <v>6</v>
      </c>
      <c r="F303" s="15" t="s">
        <v>16</v>
      </c>
      <c r="G303" s="15" t="s">
        <v>146</v>
      </c>
      <c r="I303" s="15">
        <v>2</v>
      </c>
      <c r="J303">
        <v>-9.2103403719761818</v>
      </c>
      <c r="K303" s="4">
        <v>1.1000000000000001</v>
      </c>
      <c r="L303" s="4">
        <v>1.2</v>
      </c>
      <c r="M303" s="4">
        <v>1</v>
      </c>
      <c r="N303" s="4">
        <v>1.01</v>
      </c>
      <c r="O303" s="4">
        <v>1.2</v>
      </c>
      <c r="P303" s="4">
        <v>1.2</v>
      </c>
      <c r="Q303">
        <v>1.05</v>
      </c>
      <c r="R303">
        <v>0.16679850853156178</v>
      </c>
    </row>
    <row r="304" spans="1:20" s="15" customFormat="1" ht="16" hidden="1" x14ac:dyDescent="0.2">
      <c r="A304" s="15" t="s">
        <v>197</v>
      </c>
      <c r="B304" s="15">
        <v>1E-4</v>
      </c>
      <c r="C304" s="15" t="s">
        <v>18</v>
      </c>
      <c r="D304" s="15" t="s">
        <v>6</v>
      </c>
      <c r="F304" s="15" t="s">
        <v>16</v>
      </c>
      <c r="G304" s="15" t="s">
        <v>198</v>
      </c>
      <c r="I304" s="15">
        <v>2</v>
      </c>
      <c r="J304">
        <v>-9.2103403719761818</v>
      </c>
      <c r="K304" s="4">
        <v>1.1000000000000001</v>
      </c>
      <c r="L304" s="4">
        <v>1.2</v>
      </c>
      <c r="M304" s="4">
        <v>1</v>
      </c>
      <c r="N304" s="4">
        <v>1.01</v>
      </c>
      <c r="O304" s="4">
        <v>1.2</v>
      </c>
      <c r="P304" s="4">
        <v>1.2</v>
      </c>
      <c r="Q304">
        <v>1.05</v>
      </c>
      <c r="R304">
        <v>0.16679850853156178</v>
      </c>
    </row>
    <row r="305" spans="1:19" s="15" customFormat="1" ht="16" hidden="1" x14ac:dyDescent="0.2">
      <c r="K305" s="16"/>
      <c r="L305" s="16"/>
      <c r="M305" s="16"/>
      <c r="N305" s="16"/>
      <c r="O305" s="16"/>
      <c r="P305" s="16"/>
    </row>
    <row r="306" spans="1:19" ht="16" hidden="1" x14ac:dyDescent="0.2">
      <c r="A306" s="1" t="s">
        <v>0</v>
      </c>
      <c r="B306" s="5" t="s">
        <v>199</v>
      </c>
    </row>
    <row r="307" spans="1:19" hidden="1" x14ac:dyDescent="0.2">
      <c r="A307" t="s">
        <v>7</v>
      </c>
      <c r="B307" t="s">
        <v>8</v>
      </c>
    </row>
    <row r="308" spans="1:19" ht="16" hidden="1" x14ac:dyDescent="0.2">
      <c r="A308" s="2" t="s">
        <v>1</v>
      </c>
      <c r="B308">
        <v>1</v>
      </c>
    </row>
    <row r="309" spans="1:19" hidden="1" x14ac:dyDescent="0.2">
      <c r="A309" t="s">
        <v>2</v>
      </c>
      <c r="B309" t="s">
        <v>178</v>
      </c>
    </row>
    <row r="310" spans="1:19" hidden="1" x14ac:dyDescent="0.2">
      <c r="A310" t="s">
        <v>3</v>
      </c>
      <c r="B310" t="s">
        <v>4</v>
      </c>
    </row>
    <row r="311" spans="1:19" hidden="1" x14ac:dyDescent="0.2">
      <c r="A311" t="s">
        <v>5</v>
      </c>
      <c r="B311" t="s">
        <v>6</v>
      </c>
    </row>
    <row r="312" spans="1:19" hidden="1" x14ac:dyDescent="0.2">
      <c r="A312" t="s">
        <v>19</v>
      </c>
      <c r="B312" t="s">
        <v>200</v>
      </c>
    </row>
    <row r="313" spans="1:19" hidden="1" x14ac:dyDescent="0.2">
      <c r="A313" t="s">
        <v>9</v>
      </c>
      <c r="B313" t="s">
        <v>209</v>
      </c>
    </row>
    <row r="314" spans="1:19" hidden="1" x14ac:dyDescent="0.2">
      <c r="A314" t="s">
        <v>179</v>
      </c>
      <c r="B314">
        <v>0.06</v>
      </c>
    </row>
    <row r="315" spans="1:19" hidden="1" x14ac:dyDescent="0.2">
      <c r="A315" t="s">
        <v>201</v>
      </c>
      <c r="B315">
        <v>1</v>
      </c>
    </row>
    <row r="316" spans="1:19" hidden="1" x14ac:dyDescent="0.2">
      <c r="A316" t="s">
        <v>10</v>
      </c>
    </row>
    <row r="317" spans="1:19" ht="16" hidden="1" x14ac:dyDescent="0.2">
      <c r="A317" s="1" t="s">
        <v>11</v>
      </c>
      <c r="B317" s="1" t="s">
        <v>12</v>
      </c>
      <c r="C317" s="5" t="s">
        <v>7</v>
      </c>
      <c r="D317" s="5" t="s">
        <v>5</v>
      </c>
      <c r="E317" s="5" t="s">
        <v>13</v>
      </c>
      <c r="F317" s="5" t="s">
        <v>3</v>
      </c>
      <c r="G317" s="5" t="s">
        <v>2</v>
      </c>
      <c r="H317" s="5" t="s">
        <v>9</v>
      </c>
      <c r="I317" s="5" t="s">
        <v>180</v>
      </c>
      <c r="J317" s="5" t="s">
        <v>181</v>
      </c>
      <c r="K317" s="5" t="s">
        <v>182</v>
      </c>
      <c r="L317" s="5" t="s">
        <v>183</v>
      </c>
      <c r="M317" s="5" t="s">
        <v>184</v>
      </c>
      <c r="N317" s="5" t="s">
        <v>185</v>
      </c>
      <c r="O317" s="5" t="s">
        <v>186</v>
      </c>
      <c r="P317" s="5" t="s">
        <v>187</v>
      </c>
      <c r="Q317" s="5" t="s">
        <v>188</v>
      </c>
      <c r="R317" s="5" t="s">
        <v>189</v>
      </c>
      <c r="S317" s="5" t="s">
        <v>190</v>
      </c>
    </row>
    <row r="318" spans="1:19" hidden="1" x14ac:dyDescent="0.2">
      <c r="A318" t="s">
        <v>199</v>
      </c>
      <c r="B318">
        <v>1</v>
      </c>
      <c r="C318" t="s">
        <v>8</v>
      </c>
      <c r="D318" t="s">
        <v>6</v>
      </c>
      <c r="F318" t="s">
        <v>15</v>
      </c>
      <c r="G318" t="s">
        <v>178</v>
      </c>
    </row>
    <row r="319" spans="1:19" hidden="1" x14ac:dyDescent="0.2">
      <c r="A319" t="s">
        <v>192</v>
      </c>
      <c r="B319">
        <f>0.11*(1-B314)</f>
        <v>0.10339999999999999</v>
      </c>
      <c r="D319" t="s">
        <v>6</v>
      </c>
      <c r="E319" t="s">
        <v>88</v>
      </c>
      <c r="F319" t="s">
        <v>21</v>
      </c>
      <c r="H319" t="s">
        <v>202</v>
      </c>
      <c r="I319">
        <v>2</v>
      </c>
      <c r="J319">
        <v>-2.2678230385440798</v>
      </c>
      <c r="K319">
        <v>1.1000000000000001</v>
      </c>
      <c r="L319">
        <v>1.2</v>
      </c>
      <c r="M319">
        <v>1</v>
      </c>
      <c r="N319">
        <v>1.01</v>
      </c>
      <c r="O319">
        <v>1.2</v>
      </c>
      <c r="P319">
        <v>1.2</v>
      </c>
      <c r="Q319">
        <v>1.05</v>
      </c>
      <c r="R319">
        <v>0.16679850853156178</v>
      </c>
    </row>
    <row r="320" spans="1:19" hidden="1" x14ac:dyDescent="0.2">
      <c r="A320" t="s">
        <v>39</v>
      </c>
      <c r="B320">
        <f>0.11-B319</f>
        <v>6.6000000000000086E-3</v>
      </c>
      <c r="D320" t="s">
        <v>6</v>
      </c>
      <c r="E320" t="s">
        <v>88</v>
      </c>
      <c r="F320" t="s">
        <v>21</v>
      </c>
      <c r="H320" t="s">
        <v>202</v>
      </c>
      <c r="I320">
        <v>2</v>
      </c>
      <c r="J320">
        <v>-5.0417129971418326</v>
      </c>
      <c r="K320">
        <v>1.1000000000000001</v>
      </c>
      <c r="L320">
        <v>1.2</v>
      </c>
      <c r="M320">
        <v>1</v>
      </c>
      <c r="N320">
        <v>1.01</v>
      </c>
      <c r="O320">
        <v>1.2</v>
      </c>
      <c r="P320">
        <v>1.2</v>
      </c>
      <c r="Q320">
        <v>1.05</v>
      </c>
      <c r="R320">
        <v>0.16679850853156178</v>
      </c>
    </row>
    <row r="321" spans="1:19" hidden="1" x14ac:dyDescent="0.2">
      <c r="A321" t="s">
        <v>32</v>
      </c>
      <c r="B321">
        <v>9.6600000000000002E-3</v>
      </c>
      <c r="C321" t="s">
        <v>135</v>
      </c>
      <c r="D321" t="s">
        <v>6</v>
      </c>
      <c r="F321" t="s">
        <v>16</v>
      </c>
      <c r="G321" t="s">
        <v>33</v>
      </c>
      <c r="I321">
        <v>2</v>
      </c>
      <c r="J321">
        <v>-4.6397616307577101</v>
      </c>
      <c r="K321">
        <v>1.1000000000000001</v>
      </c>
      <c r="L321">
        <v>1.2</v>
      </c>
      <c r="M321">
        <v>1</v>
      </c>
      <c r="N321">
        <v>1.01</v>
      </c>
      <c r="O321">
        <v>1.2</v>
      </c>
      <c r="P321">
        <v>1.2</v>
      </c>
      <c r="Q321">
        <v>1.05</v>
      </c>
      <c r="R321">
        <v>0.16679850853156178</v>
      </c>
    </row>
    <row r="322" spans="1:19" x14ac:dyDescent="0.2">
      <c r="A322" t="s">
        <v>35</v>
      </c>
      <c r="B322">
        <v>6.9000000000000008E-3</v>
      </c>
      <c r="C322" t="s">
        <v>8</v>
      </c>
      <c r="D322" t="s">
        <v>24</v>
      </c>
      <c r="F322" t="s">
        <v>16</v>
      </c>
      <c r="G322" t="s">
        <v>25</v>
      </c>
      <c r="I322">
        <v>2</v>
      </c>
      <c r="J322">
        <v>-4.976233867378923</v>
      </c>
      <c r="K322">
        <v>1.1000000000000001</v>
      </c>
      <c r="L322">
        <v>1.2</v>
      </c>
      <c r="M322">
        <v>1</v>
      </c>
      <c r="N322">
        <v>1.01</v>
      </c>
      <c r="O322">
        <v>1.2</v>
      </c>
      <c r="P322">
        <v>1.2</v>
      </c>
      <c r="Q322">
        <v>1.05</v>
      </c>
      <c r="R322">
        <v>0.16679850853156178</v>
      </c>
    </row>
    <row r="323" spans="1:19" hidden="1" x14ac:dyDescent="0.2">
      <c r="A323" t="s">
        <v>195</v>
      </c>
      <c r="B323">
        <f>3.66*0.7</f>
        <v>2.5619999999999998</v>
      </c>
      <c r="C323" t="s">
        <v>8</v>
      </c>
      <c r="D323" t="s">
        <v>23</v>
      </c>
      <c r="F323" t="s">
        <v>16</v>
      </c>
      <c r="G323" t="s">
        <v>196</v>
      </c>
      <c r="I323">
        <v>2</v>
      </c>
      <c r="J323">
        <v>0.99635805462935334</v>
      </c>
      <c r="K323">
        <v>1.1000000000000001</v>
      </c>
      <c r="L323">
        <v>1.2</v>
      </c>
      <c r="M323">
        <v>1</v>
      </c>
      <c r="N323">
        <v>1.01</v>
      </c>
      <c r="O323">
        <v>1.2</v>
      </c>
      <c r="P323">
        <v>1.2</v>
      </c>
      <c r="Q323">
        <v>1.05</v>
      </c>
      <c r="R323">
        <v>0.16679850853156178</v>
      </c>
    </row>
    <row r="324" spans="1:19" ht="16" hidden="1" x14ac:dyDescent="0.2">
      <c r="A324" s="21" t="s">
        <v>93</v>
      </c>
      <c r="B324">
        <v>4.0000000000000001E-3</v>
      </c>
      <c r="C324" t="s">
        <v>18</v>
      </c>
      <c r="D324" t="s">
        <v>6</v>
      </c>
      <c r="F324" t="s">
        <v>16</v>
      </c>
      <c r="G324" t="s">
        <v>145</v>
      </c>
      <c r="I324">
        <v>2</v>
      </c>
      <c r="J324">
        <v>-6.9077552789821368</v>
      </c>
      <c r="K324">
        <v>1.1000000000000001</v>
      </c>
      <c r="L324">
        <v>1.2</v>
      </c>
      <c r="M324">
        <v>1</v>
      </c>
      <c r="N324">
        <v>1.01</v>
      </c>
      <c r="O324">
        <v>1.2</v>
      </c>
      <c r="P324">
        <v>1.2</v>
      </c>
      <c r="Q324">
        <v>1.05</v>
      </c>
      <c r="R324">
        <v>0.16679850853156178</v>
      </c>
    </row>
    <row r="325" spans="1:19" hidden="1" x14ac:dyDescent="0.2"/>
    <row r="326" spans="1:19" ht="16" hidden="1" x14ac:dyDescent="0.2">
      <c r="A326" s="1" t="s">
        <v>0</v>
      </c>
      <c r="B326" s="5" t="s">
        <v>235</v>
      </c>
    </row>
    <row r="327" spans="1:19" hidden="1" x14ac:dyDescent="0.2">
      <c r="A327" t="s">
        <v>7</v>
      </c>
      <c r="B327" t="s">
        <v>8</v>
      </c>
    </row>
    <row r="328" spans="1:19" ht="16" hidden="1" x14ac:dyDescent="0.2">
      <c r="A328" s="2" t="s">
        <v>1</v>
      </c>
      <c r="B328">
        <v>1</v>
      </c>
    </row>
    <row r="329" spans="1:19" hidden="1" x14ac:dyDescent="0.2">
      <c r="A329" t="s">
        <v>2</v>
      </c>
      <c r="B329" t="s">
        <v>236</v>
      </c>
    </row>
    <row r="330" spans="1:19" hidden="1" x14ac:dyDescent="0.2">
      <c r="A330" t="s">
        <v>3</v>
      </c>
      <c r="B330" t="s">
        <v>4</v>
      </c>
    </row>
    <row r="331" spans="1:19" hidden="1" x14ac:dyDescent="0.2">
      <c r="A331" t="s">
        <v>5</v>
      </c>
      <c r="B331" t="s">
        <v>6</v>
      </c>
    </row>
    <row r="332" spans="1:19" hidden="1" x14ac:dyDescent="0.2">
      <c r="A332" t="s">
        <v>19</v>
      </c>
      <c r="B332" t="s">
        <v>249</v>
      </c>
    </row>
    <row r="333" spans="1:19" hidden="1" x14ac:dyDescent="0.2">
      <c r="A333" t="s">
        <v>9</v>
      </c>
      <c r="B333" t="s">
        <v>237</v>
      </c>
    </row>
    <row r="334" spans="1:19" hidden="1" x14ac:dyDescent="0.2">
      <c r="A334" t="s">
        <v>10</v>
      </c>
    </row>
    <row r="335" spans="1:19" ht="16" hidden="1" x14ac:dyDescent="0.2">
      <c r="A335" s="1" t="s">
        <v>11</v>
      </c>
      <c r="B335" s="1" t="s">
        <v>12</v>
      </c>
      <c r="C335" s="5" t="s">
        <v>7</v>
      </c>
      <c r="D335" s="5" t="s">
        <v>5</v>
      </c>
      <c r="E335" s="5" t="s">
        <v>13</v>
      </c>
      <c r="F335" s="5" t="s">
        <v>3</v>
      </c>
      <c r="G335" s="5" t="s">
        <v>2</v>
      </c>
      <c r="H335" s="5" t="s">
        <v>9</v>
      </c>
      <c r="I335" s="5"/>
      <c r="J335" s="5"/>
      <c r="K335" s="5"/>
      <c r="L335" s="5"/>
      <c r="M335" s="5"/>
      <c r="N335" s="5"/>
      <c r="O335" s="5"/>
      <c r="P335" s="5"/>
      <c r="Q335" s="5"/>
      <c r="R335" s="5"/>
      <c r="S335" s="5"/>
    </row>
    <row r="336" spans="1:19" s="28" customFormat="1" hidden="1" x14ac:dyDescent="0.2">
      <c r="A336" s="28" t="str">
        <f>B326</f>
        <v>carbon dioxide, captured at cement production plant, using monoethanolamine</v>
      </c>
      <c r="B336" s="28">
        <v>1</v>
      </c>
      <c r="C336" s="28" t="s">
        <v>8</v>
      </c>
      <c r="D336" s="28" t="s">
        <v>6</v>
      </c>
      <c r="F336" s="28" t="s">
        <v>15</v>
      </c>
      <c r="G336" s="28" t="str">
        <f>B329</f>
        <v>carbon dioxide, captured at cement plant</v>
      </c>
    </row>
    <row r="337" spans="1:17" s="28" customFormat="1" hidden="1" x14ac:dyDescent="0.2">
      <c r="A337" s="28" t="s">
        <v>248</v>
      </c>
      <c r="B337" s="29">
        <v>1</v>
      </c>
      <c r="C337" s="28" t="s">
        <v>8</v>
      </c>
      <c r="D337" s="28" t="s">
        <v>6</v>
      </c>
      <c r="F337" s="28" t="s">
        <v>16</v>
      </c>
      <c r="G337" s="28" t="s">
        <v>248</v>
      </c>
    </row>
    <row r="338" spans="1:17" s="28" customFormat="1" hidden="1" x14ac:dyDescent="0.2">
      <c r="A338" s="28" t="s">
        <v>93</v>
      </c>
      <c r="B338" s="29">
        <f>1.4/1000</f>
        <v>1.4E-3</v>
      </c>
      <c r="C338" s="28" t="s">
        <v>18</v>
      </c>
      <c r="D338" s="28" t="s">
        <v>6</v>
      </c>
      <c r="F338" s="28" t="s">
        <v>16</v>
      </c>
      <c r="G338" s="28" t="s">
        <v>145</v>
      </c>
      <c r="H338" s="28" t="s">
        <v>238</v>
      </c>
      <c r="N338" s="29"/>
    </row>
    <row r="339" spans="1:17" s="28" customFormat="1" hidden="1" x14ac:dyDescent="0.2">
      <c r="A339" s="28" t="s">
        <v>94</v>
      </c>
      <c r="B339" s="29">
        <f>0.000355*1.25*(1/0.828)</f>
        <v>5.3592995169082129E-4</v>
      </c>
      <c r="C339" s="28" t="s">
        <v>18</v>
      </c>
      <c r="D339" s="28" t="s">
        <v>6</v>
      </c>
      <c r="F339" s="28" t="s">
        <v>16</v>
      </c>
      <c r="G339" s="28" t="s">
        <v>146</v>
      </c>
      <c r="H339" s="28" t="s">
        <v>251</v>
      </c>
      <c r="N339" s="29"/>
      <c r="P339" s="29"/>
    </row>
    <row r="340" spans="1:17" s="28" customFormat="1" hidden="1" x14ac:dyDescent="0.2">
      <c r="A340" s="28" t="s">
        <v>81</v>
      </c>
      <c r="B340" s="29">
        <f>(3.76-0.11)/0.9</f>
        <v>4.0555555555555554</v>
      </c>
      <c r="C340" s="28" t="s">
        <v>135</v>
      </c>
      <c r="D340" s="28" t="s">
        <v>23</v>
      </c>
      <c r="F340" s="28" t="s">
        <v>16</v>
      </c>
      <c r="G340" s="28" t="s">
        <v>166</v>
      </c>
      <c r="H340" s="28" t="s">
        <v>247</v>
      </c>
      <c r="N340" s="29"/>
    </row>
    <row r="341" spans="1:17" s="28" customFormat="1" x14ac:dyDescent="0.2">
      <c r="A341" s="28" t="s">
        <v>35</v>
      </c>
      <c r="B341" s="29">
        <f>188/761*0.459/3.6</f>
        <v>3.1498028909329831E-2</v>
      </c>
      <c r="C341" s="28" t="s">
        <v>8</v>
      </c>
      <c r="D341" s="28" t="s">
        <v>24</v>
      </c>
      <c r="F341" s="28" t="s">
        <v>16</v>
      </c>
      <c r="G341" s="28" t="s">
        <v>25</v>
      </c>
      <c r="H341" s="28" t="s">
        <v>239</v>
      </c>
      <c r="N341" s="29"/>
    </row>
    <row r="342" spans="1:17" s="28" customFormat="1" x14ac:dyDescent="0.2">
      <c r="A342" s="28" t="s">
        <v>35</v>
      </c>
      <c r="B342" s="29">
        <f>123/761*0.459/3.6</f>
        <v>2.0607752956636003E-2</v>
      </c>
      <c r="C342" s="28" t="s">
        <v>8</v>
      </c>
      <c r="D342" s="28" t="s">
        <v>24</v>
      </c>
      <c r="F342" s="28" t="s">
        <v>16</v>
      </c>
      <c r="G342" s="28" t="s">
        <v>25</v>
      </c>
      <c r="H342" s="28" t="s">
        <v>240</v>
      </c>
      <c r="N342" s="29"/>
    </row>
    <row r="343" spans="1:17" s="28" customFormat="1" x14ac:dyDescent="0.2">
      <c r="A343" s="28" t="s">
        <v>35</v>
      </c>
      <c r="B343" s="29">
        <f>575/761*0.459/3.6</f>
        <v>9.63370565045992E-2</v>
      </c>
      <c r="C343" s="28" t="s">
        <v>8</v>
      </c>
      <c r="D343" s="28" t="s">
        <v>24</v>
      </c>
      <c r="F343" s="28" t="s">
        <v>16</v>
      </c>
      <c r="G343" s="28" t="s">
        <v>25</v>
      </c>
      <c r="H343" s="28" t="s">
        <v>250</v>
      </c>
      <c r="N343" s="29"/>
      <c r="Q343" s="30"/>
    </row>
    <row r="344" spans="1:17" s="28" customFormat="1" hidden="1" x14ac:dyDescent="0.2">
      <c r="A344" s="28" t="s">
        <v>241</v>
      </c>
      <c r="B344" s="29">
        <f>0.473</f>
        <v>0.47299999999999998</v>
      </c>
      <c r="C344" s="28" t="s">
        <v>18</v>
      </c>
      <c r="D344" s="28" t="s">
        <v>6</v>
      </c>
      <c r="F344" s="28" t="s">
        <v>16</v>
      </c>
      <c r="G344" s="28" t="s">
        <v>33</v>
      </c>
      <c r="H344" s="28" t="s">
        <v>242</v>
      </c>
    </row>
    <row r="345" spans="1:17" s="28" customFormat="1" hidden="1" x14ac:dyDescent="0.2">
      <c r="A345" s="28" t="s">
        <v>74</v>
      </c>
      <c r="B345" s="29">
        <f>-B338*0.227/(0.227+0.006)</f>
        <v>-1.3639484978540772E-3</v>
      </c>
      <c r="C345" s="28" t="s">
        <v>135</v>
      </c>
      <c r="D345" s="28" t="s">
        <v>6</v>
      </c>
      <c r="F345" s="28" t="s">
        <v>16</v>
      </c>
      <c r="G345" s="28" t="s">
        <v>144</v>
      </c>
      <c r="H345" s="28" t="s">
        <v>243</v>
      </c>
    </row>
    <row r="346" spans="1:17" s="28" customFormat="1" hidden="1" x14ac:dyDescent="0.2">
      <c r="A346" s="28" t="s">
        <v>244</v>
      </c>
      <c r="B346" s="29">
        <f>1.4/1000*(0.006/0.227+0.006)</f>
        <v>4.5404405286343617E-5</v>
      </c>
      <c r="D346" s="28" t="s">
        <v>6</v>
      </c>
      <c r="E346" s="28" t="s">
        <v>88</v>
      </c>
      <c r="F346" s="28" t="s">
        <v>21</v>
      </c>
      <c r="H346" s="28" t="s">
        <v>245</v>
      </c>
    </row>
    <row r="347" spans="1:17" s="28" customFormat="1" hidden="1" x14ac:dyDescent="0.2">
      <c r="A347" s="28" t="s">
        <v>246</v>
      </c>
      <c r="B347" s="29">
        <f>B344/1000</f>
        <v>4.7299999999999995E-4</v>
      </c>
      <c r="D347" s="28" t="s">
        <v>50</v>
      </c>
      <c r="E347" s="28" t="s">
        <v>88</v>
      </c>
      <c r="F347" s="28" t="s">
        <v>21</v>
      </c>
      <c r="G347" s="29"/>
    </row>
    <row r="348" spans="1:17" hidden="1" x14ac:dyDescent="0.2"/>
    <row r="349" spans="1:17" ht="16" hidden="1" x14ac:dyDescent="0.2">
      <c r="A349" s="1" t="s">
        <v>0</v>
      </c>
      <c r="B349" s="5" t="s">
        <v>252</v>
      </c>
    </row>
    <row r="350" spans="1:17" hidden="1" x14ac:dyDescent="0.2">
      <c r="A350" t="s">
        <v>7</v>
      </c>
      <c r="B350" t="s">
        <v>8</v>
      </c>
    </row>
    <row r="351" spans="1:17" ht="16" hidden="1" x14ac:dyDescent="0.2">
      <c r="A351" s="2" t="s">
        <v>1</v>
      </c>
      <c r="B351">
        <v>1</v>
      </c>
    </row>
    <row r="352" spans="1:17" hidden="1" x14ac:dyDescent="0.2">
      <c r="A352" t="s">
        <v>2</v>
      </c>
      <c r="B352" t="s">
        <v>236</v>
      </c>
    </row>
    <row r="353" spans="1:19" hidden="1" x14ac:dyDescent="0.2">
      <c r="A353" t="s">
        <v>3</v>
      </c>
      <c r="B353" t="s">
        <v>4</v>
      </c>
    </row>
    <row r="354" spans="1:19" hidden="1" x14ac:dyDescent="0.2">
      <c r="A354" t="s">
        <v>5</v>
      </c>
      <c r="B354" t="s">
        <v>6</v>
      </c>
    </row>
    <row r="355" spans="1:19" hidden="1" x14ac:dyDescent="0.2">
      <c r="A355" t="s">
        <v>19</v>
      </c>
      <c r="B355" t="s">
        <v>249</v>
      </c>
    </row>
    <row r="356" spans="1:19" hidden="1" x14ac:dyDescent="0.2">
      <c r="A356" t="s">
        <v>9</v>
      </c>
      <c r="B356" t="s">
        <v>253</v>
      </c>
    </row>
    <row r="357" spans="1:19" hidden="1" x14ac:dyDescent="0.2">
      <c r="A357" t="s">
        <v>10</v>
      </c>
    </row>
    <row r="358" spans="1:19" ht="16" hidden="1" x14ac:dyDescent="0.2">
      <c r="A358" s="1" t="s">
        <v>11</v>
      </c>
      <c r="B358" s="1" t="s">
        <v>12</v>
      </c>
      <c r="C358" s="5" t="s">
        <v>7</v>
      </c>
      <c r="D358" s="5" t="s">
        <v>5</v>
      </c>
      <c r="E358" s="5" t="s">
        <v>13</v>
      </c>
      <c r="F358" s="5" t="s">
        <v>3</v>
      </c>
      <c r="G358" s="5" t="s">
        <v>2</v>
      </c>
      <c r="H358" s="5" t="s">
        <v>9</v>
      </c>
      <c r="I358" s="5"/>
      <c r="J358" s="5"/>
      <c r="K358" s="5"/>
      <c r="L358" s="5"/>
      <c r="M358" s="5"/>
      <c r="N358" s="5"/>
      <c r="O358" s="5"/>
      <c r="P358" s="5"/>
      <c r="Q358" s="5"/>
      <c r="R358" s="5"/>
      <c r="S358" s="5"/>
    </row>
    <row r="359" spans="1:19" s="28" customFormat="1" hidden="1" x14ac:dyDescent="0.2">
      <c r="A359" s="28" t="str">
        <f>B349</f>
        <v>carbon dioxide, captured at cement production plant, using direct separation</v>
      </c>
      <c r="B359" s="28">
        <v>1</v>
      </c>
      <c r="C359" s="28" t="s">
        <v>8</v>
      </c>
      <c r="D359" s="28" t="s">
        <v>6</v>
      </c>
      <c r="F359" s="28" t="s">
        <v>15</v>
      </c>
      <c r="G359" s="28" t="str">
        <f>B352</f>
        <v>carbon dioxide, captured at cement plant</v>
      </c>
    </row>
    <row r="360" spans="1:19" hidden="1" x14ac:dyDescent="0.2">
      <c r="A360" s="28" t="s">
        <v>248</v>
      </c>
      <c r="B360" s="29">
        <v>1</v>
      </c>
      <c r="C360" s="28" t="s">
        <v>8</v>
      </c>
      <c r="D360" s="28" t="s">
        <v>6</v>
      </c>
      <c r="E360" s="28"/>
      <c r="F360" s="28" t="s">
        <v>16</v>
      </c>
      <c r="G360" s="28" t="s">
        <v>248</v>
      </c>
      <c r="H360" s="28"/>
    </row>
    <row r="361" spans="1:19" s="26" customFormat="1" x14ac:dyDescent="0.2">
      <c r="A361" s="26" t="s">
        <v>35</v>
      </c>
      <c r="B361" s="32">
        <f>77*1/0.558/1000</f>
        <v>0.13799283154121864</v>
      </c>
      <c r="C361" s="26" t="s">
        <v>8</v>
      </c>
      <c r="D361" s="26" t="s">
        <v>24</v>
      </c>
      <c r="F361" s="26" t="s">
        <v>16</v>
      </c>
      <c r="G361" s="26" t="s">
        <v>25</v>
      </c>
      <c r="H361" s="26" t="s">
        <v>254</v>
      </c>
      <c r="N361" s="32"/>
    </row>
    <row r="362" spans="1:19" hidden="1" x14ac:dyDescent="0.2"/>
    <row r="363" spans="1:19" hidden="1" x14ac:dyDescent="0.2"/>
    <row r="364" spans="1:19" ht="16" hidden="1" x14ac:dyDescent="0.2">
      <c r="A364" s="1" t="s">
        <v>0</v>
      </c>
      <c r="B364" s="5" t="s">
        <v>255</v>
      </c>
    </row>
    <row r="365" spans="1:19" hidden="1" x14ac:dyDescent="0.2">
      <c r="A365" t="s">
        <v>7</v>
      </c>
      <c r="B365" t="s">
        <v>8</v>
      </c>
    </row>
    <row r="366" spans="1:19" ht="16" hidden="1" x14ac:dyDescent="0.2">
      <c r="A366" s="2" t="s">
        <v>1</v>
      </c>
      <c r="B366">
        <v>1</v>
      </c>
    </row>
    <row r="367" spans="1:19" hidden="1" x14ac:dyDescent="0.2">
      <c r="A367" t="s">
        <v>2</v>
      </c>
      <c r="B367" t="s">
        <v>236</v>
      </c>
    </row>
    <row r="368" spans="1:19" hidden="1" x14ac:dyDescent="0.2">
      <c r="A368" t="s">
        <v>3</v>
      </c>
      <c r="B368" t="s">
        <v>4</v>
      </c>
    </row>
    <row r="369" spans="1:19" hidden="1" x14ac:dyDescent="0.2">
      <c r="A369" t="s">
        <v>5</v>
      </c>
      <c r="B369" t="s">
        <v>6</v>
      </c>
    </row>
    <row r="370" spans="1:19" hidden="1" x14ac:dyDescent="0.2">
      <c r="A370" t="s">
        <v>19</v>
      </c>
      <c r="B370" t="s">
        <v>249</v>
      </c>
    </row>
    <row r="371" spans="1:19" hidden="1" x14ac:dyDescent="0.2">
      <c r="A371" t="s">
        <v>9</v>
      </c>
      <c r="B371" t="s">
        <v>256</v>
      </c>
    </row>
    <row r="372" spans="1:19" hidden="1" x14ac:dyDescent="0.2">
      <c r="A372" t="s">
        <v>10</v>
      </c>
    </row>
    <row r="373" spans="1:19" ht="16" hidden="1" x14ac:dyDescent="0.2">
      <c r="A373" s="1" t="s">
        <v>11</v>
      </c>
      <c r="B373" s="1" t="s">
        <v>12</v>
      </c>
      <c r="C373" s="5" t="s">
        <v>7</v>
      </c>
      <c r="D373" s="5" t="s">
        <v>5</v>
      </c>
      <c r="E373" s="5" t="s">
        <v>13</v>
      </c>
      <c r="F373" s="5" t="s">
        <v>3</v>
      </c>
      <c r="G373" s="5" t="s">
        <v>2</v>
      </c>
      <c r="H373" s="5" t="s">
        <v>9</v>
      </c>
      <c r="I373" s="5"/>
      <c r="J373" s="5"/>
      <c r="K373" s="5"/>
      <c r="L373" s="5"/>
      <c r="M373" s="5"/>
      <c r="N373" s="5"/>
      <c r="O373" s="5"/>
      <c r="P373" s="5"/>
      <c r="Q373" s="5"/>
      <c r="R373" s="5"/>
      <c r="S373" s="5"/>
    </row>
    <row r="374" spans="1:19" s="28" customFormat="1" hidden="1" x14ac:dyDescent="0.2">
      <c r="A374" s="28" t="str">
        <f>B364</f>
        <v>carbon dioxide, captured at cement production plant, using oxyfuel</v>
      </c>
      <c r="B374" s="28">
        <v>1</v>
      </c>
      <c r="C374" s="28" t="s">
        <v>8</v>
      </c>
      <c r="D374" s="28" t="s">
        <v>6</v>
      </c>
      <c r="F374" s="28" t="s">
        <v>15</v>
      </c>
      <c r="G374" s="28" t="str">
        <f>B367</f>
        <v>carbon dioxide, captured at cement plant</v>
      </c>
    </row>
    <row r="375" spans="1:19" hidden="1" x14ac:dyDescent="0.2">
      <c r="A375" s="28" t="s">
        <v>248</v>
      </c>
      <c r="B375" s="29">
        <v>1</v>
      </c>
      <c r="C375" s="28" t="s">
        <v>8</v>
      </c>
      <c r="D375" s="28" t="s">
        <v>6</v>
      </c>
      <c r="E375" s="28"/>
      <c r="F375" s="28" t="s">
        <v>16</v>
      </c>
      <c r="G375" s="28" t="s">
        <v>248</v>
      </c>
      <c r="H375" s="28"/>
    </row>
    <row r="376" spans="1:19" hidden="1" x14ac:dyDescent="0.2">
      <c r="A376" t="s">
        <v>263</v>
      </c>
      <c r="B376" s="6">
        <f>B374*32/44/(1-0.11)</f>
        <v>0.81716036772216549</v>
      </c>
      <c r="C376" t="s">
        <v>27</v>
      </c>
      <c r="D376" t="s">
        <v>6</v>
      </c>
      <c r="F376" t="s">
        <v>16</v>
      </c>
      <c r="G376" t="s">
        <v>261</v>
      </c>
      <c r="H376" t="s">
        <v>257</v>
      </c>
    </row>
    <row r="377" spans="1:19" x14ac:dyDescent="0.2">
      <c r="A377" t="s">
        <v>35</v>
      </c>
      <c r="B377" s="6">
        <f>(122-182-62)/758*0.459/3.6</f>
        <v>-2.0521108179419524E-2</v>
      </c>
      <c r="C377" t="s">
        <v>8</v>
      </c>
      <c r="D377" t="s">
        <v>24</v>
      </c>
      <c r="F377" t="s">
        <v>16</v>
      </c>
      <c r="G377" t="s">
        <v>25</v>
      </c>
      <c r="H377" t="s">
        <v>258</v>
      </c>
    </row>
    <row r="378" spans="1:19" ht="16.75" customHeight="1" x14ac:dyDescent="0.2">
      <c r="A378" t="s">
        <v>35</v>
      </c>
      <c r="B378" s="6">
        <f>59/758*0.459/3.6</f>
        <v>9.9241424802110813E-3</v>
      </c>
      <c r="C378" t="s">
        <v>8</v>
      </c>
      <c r="D378" t="s">
        <v>24</v>
      </c>
      <c r="F378" t="s">
        <v>16</v>
      </c>
      <c r="G378" t="s">
        <v>25</v>
      </c>
      <c r="H378" s="26" t="s">
        <v>259</v>
      </c>
    </row>
    <row r="379" spans="1:19" x14ac:dyDescent="0.2">
      <c r="A379" t="s">
        <v>35</v>
      </c>
      <c r="B379" s="6">
        <f>440/3600</f>
        <v>0.12222222222222222</v>
      </c>
      <c r="C379" t="s">
        <v>8</v>
      </c>
      <c r="D379" t="s">
        <v>24</v>
      </c>
      <c r="F379" t="s">
        <v>16</v>
      </c>
      <c r="G379" t="s">
        <v>25</v>
      </c>
      <c r="H379" t="s">
        <v>260</v>
      </c>
      <c r="M379" s="27"/>
      <c r="N379" s="31"/>
    </row>
    <row r="380" spans="1:19" x14ac:dyDescent="0.2">
      <c r="A380" t="s">
        <v>35</v>
      </c>
      <c r="B380" s="6">
        <f>0.03/3600</f>
        <v>8.3333333333333337E-6</v>
      </c>
      <c r="C380" t="s">
        <v>8</v>
      </c>
      <c r="D380" t="s">
        <v>24</v>
      </c>
      <c r="F380" t="s">
        <v>16</v>
      </c>
      <c r="G380" t="s">
        <v>25</v>
      </c>
      <c r="H380" t="s">
        <v>262</v>
      </c>
      <c r="M380" s="27"/>
      <c r="N380" s="31"/>
    </row>
  </sheetData>
  <autoFilter ref="A1:T380" xr:uid="{00000000-0001-0000-0000-000000000000}">
    <filterColumn colId="0">
      <filters>
        <filter val="market group for electricity, low voltage"/>
        <filter val="market group for electricity, medium voltage"/>
      </filters>
    </filterColumn>
  </autoFilter>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2020-03-25T12:49:40Z</dcterms:created>
  <dcterms:modified xsi:type="dcterms:W3CDTF">2024-07-19T09:44:59Z</dcterms:modified>
</cp:coreProperties>
</file>